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1.xml" ContentType="application/vnd.openxmlformats-officedocument.spreadsheetml.comments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omments2.xml" ContentType="application/vnd.openxmlformats-officedocument.spreadsheetml.comments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drawings/drawing5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tanoia14\Downloads\"/>
    </mc:Choice>
  </mc:AlternateContent>
  <xr:revisionPtr revIDLastSave="0" documentId="13_ncr:1_{68E45CF4-AC7C-45A4-BEBC-6819879C7B7D}" xr6:coauthVersionLast="47" xr6:coauthVersionMax="47" xr10:uidLastSave="{00000000-0000-0000-0000-000000000000}"/>
  <bookViews>
    <workbookView xWindow="4710" yWindow="4185" windowWidth="21600" windowHeight="11295" tabRatio="73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_xlnm.Print_Area" localSheetId="10">'Cutting Ro-1'!$A$1:$N$44</definedName>
    <definedName name="_xlnm.Print_Area" localSheetId="13">'Cutting Ro-2'!$A$1:$N$44</definedName>
    <definedName name="_xlnm.Print_Area" localSheetId="3">Royal!$A$1:$Z$85</definedName>
    <definedName name="_xlnm.Print_Area" localSheetId="4">Royal2!$A$1:$L$87</definedName>
    <definedName name="_xlnm.Print_Area" localSheetId="0">Sheet2!#REF!</definedName>
    <definedName name="_xlnm.Print_Area" localSheetId="1">تسعير!$A$1:$X$115</definedName>
    <definedName name="ش1">تسعير!$CH$14</definedName>
    <definedName name="ف45">تسعير!$BE$44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H8" i="26" l="1"/>
  <c r="CH7" i="26"/>
  <c r="CH5" i="26"/>
  <c r="CH82" i="26"/>
  <c r="CH81" i="26"/>
  <c r="CH79" i="26"/>
  <c r="BH107" i="26"/>
  <c r="M38" i="26"/>
  <c r="BH37" i="26"/>
  <c r="M40" i="25"/>
  <c r="AM8" i="22"/>
  <c r="AM7" i="22"/>
  <c r="AM5" i="22"/>
  <c r="D1" i="27"/>
  <c r="G10" i="27" s="1"/>
  <c r="C28" i="27"/>
  <c r="C27" i="27"/>
  <c r="C26" i="27"/>
  <c r="D26" i="27" s="1"/>
  <c r="B32" i="27"/>
  <c r="D32" i="27" s="1"/>
  <c r="C24" i="27"/>
  <c r="B24" i="27"/>
  <c r="F6" i="24"/>
  <c r="W6" i="24"/>
  <c r="F4" i="24"/>
  <c r="V82" i="28"/>
  <c r="W82" i="28" s="1"/>
  <c r="V81" i="28"/>
  <c r="W81" i="28" s="1"/>
  <c r="V66" i="28"/>
  <c r="W66" i="28" s="1"/>
  <c r="V65" i="28"/>
  <c r="W65" i="28" s="1"/>
  <c r="V50" i="28"/>
  <c r="V49" i="28"/>
  <c r="W49" i="28" s="1"/>
  <c r="V34" i="28"/>
  <c r="W34" i="28" s="1"/>
  <c r="V19" i="28"/>
  <c r="V18" i="28"/>
  <c r="E43" i="28"/>
  <c r="F43" i="28" s="1"/>
  <c r="E42" i="28"/>
  <c r="F42" i="28" s="1"/>
  <c r="O29" i="28"/>
  <c r="P29" i="28" s="1"/>
  <c r="O28" i="28"/>
  <c r="E8" i="28"/>
  <c r="F8" i="28" s="1"/>
  <c r="E9" i="28"/>
  <c r="F9" i="28" s="1"/>
  <c r="K3" i="28"/>
  <c r="C3" i="28"/>
  <c r="D3" i="28"/>
  <c r="M11" i="28" s="1"/>
  <c r="N15" i="28" s="1"/>
  <c r="E3" i="28"/>
  <c r="F7" i="28" s="1"/>
  <c r="F3" i="28"/>
  <c r="Q11" i="28" s="1"/>
  <c r="B3" i="28"/>
  <c r="AM63" i="3"/>
  <c r="AH62" i="3"/>
  <c r="AM62" i="3"/>
  <c r="D243" i="28"/>
  <c r="D235" i="28"/>
  <c r="D228" i="28"/>
  <c r="B228" i="28"/>
  <c r="I201" i="28"/>
  <c r="I200" i="28"/>
  <c r="I203" i="28" s="1"/>
  <c r="I204" i="28" s="1"/>
  <c r="H200" i="28"/>
  <c r="H203" i="28" s="1"/>
  <c r="H204" i="28" s="1"/>
  <c r="G200" i="28"/>
  <c r="G203" i="28" s="1"/>
  <c r="G204" i="28" s="1"/>
  <c r="F200" i="28"/>
  <c r="F203" i="28" s="1"/>
  <c r="F204" i="28" s="1"/>
  <c r="E200" i="28"/>
  <c r="E203" i="28" s="1"/>
  <c r="E204" i="28" s="1"/>
  <c r="I192" i="28"/>
  <c r="I191" i="28"/>
  <c r="I194" i="28" s="1"/>
  <c r="I195" i="28" s="1"/>
  <c r="H191" i="28"/>
  <c r="H194" i="28" s="1"/>
  <c r="H195" i="28" s="1"/>
  <c r="G191" i="28"/>
  <c r="G194" i="28" s="1"/>
  <c r="G195" i="28" s="1"/>
  <c r="F191" i="28"/>
  <c r="F194" i="28" s="1"/>
  <c r="F195" i="28" s="1"/>
  <c r="E191" i="28"/>
  <c r="E194" i="28" s="1"/>
  <c r="E195" i="28" s="1"/>
  <c r="I183" i="28"/>
  <c r="I182" i="28"/>
  <c r="I185" i="28" s="1"/>
  <c r="I186" i="28" s="1"/>
  <c r="H182" i="28"/>
  <c r="H185" i="28" s="1"/>
  <c r="H186" i="28" s="1"/>
  <c r="G182" i="28"/>
  <c r="G185" i="28" s="1"/>
  <c r="G186" i="28" s="1"/>
  <c r="F182" i="28"/>
  <c r="F185" i="28" s="1"/>
  <c r="F186" i="28" s="1"/>
  <c r="E182" i="28"/>
  <c r="E185" i="28" s="1"/>
  <c r="E186" i="28" s="1"/>
  <c r="M178" i="28"/>
  <c r="K178" i="28"/>
  <c r="E178" i="28"/>
  <c r="C178" i="28"/>
  <c r="M177" i="28"/>
  <c r="K177" i="28"/>
  <c r="E177" i="28"/>
  <c r="C177" i="28"/>
  <c r="M176" i="28"/>
  <c r="K176" i="28"/>
  <c r="E176" i="28"/>
  <c r="C176" i="28"/>
  <c r="M175" i="28"/>
  <c r="K175" i="28"/>
  <c r="E175" i="28"/>
  <c r="C175" i="28"/>
  <c r="P174" i="28"/>
  <c r="M174" i="28"/>
  <c r="K174" i="28"/>
  <c r="O174" i="28" s="1"/>
  <c r="H174" i="28"/>
  <c r="E174" i="28"/>
  <c r="C174" i="28"/>
  <c r="G174" i="28" s="1"/>
  <c r="M173" i="28"/>
  <c r="K173" i="28"/>
  <c r="E173" i="28"/>
  <c r="C173" i="28"/>
  <c r="M172" i="28"/>
  <c r="K172" i="28"/>
  <c r="E172" i="28"/>
  <c r="C172" i="28"/>
  <c r="M171" i="28"/>
  <c r="K171" i="28"/>
  <c r="E171" i="28"/>
  <c r="C171" i="28"/>
  <c r="P170" i="28"/>
  <c r="M170" i="28"/>
  <c r="K170" i="28"/>
  <c r="O170" i="28" s="1"/>
  <c r="H170" i="28"/>
  <c r="E170" i="28"/>
  <c r="C170" i="28"/>
  <c r="G170" i="28" s="1"/>
  <c r="M169" i="28"/>
  <c r="K169" i="28"/>
  <c r="E169" i="28"/>
  <c r="C169" i="28"/>
  <c r="M168" i="28"/>
  <c r="K168" i="28"/>
  <c r="E168" i="28"/>
  <c r="C168" i="28"/>
  <c r="M167" i="28"/>
  <c r="K167" i="28"/>
  <c r="E167" i="28"/>
  <c r="C167" i="28"/>
  <c r="M166" i="28"/>
  <c r="K166" i="28"/>
  <c r="E166" i="28"/>
  <c r="C166" i="28"/>
  <c r="P165" i="28"/>
  <c r="M165" i="28"/>
  <c r="K165" i="28"/>
  <c r="O165" i="28" s="1"/>
  <c r="H165" i="28"/>
  <c r="E165" i="28"/>
  <c r="C165" i="28"/>
  <c r="G165" i="28" s="1"/>
  <c r="M164" i="28"/>
  <c r="K164" i="28"/>
  <c r="E164" i="28"/>
  <c r="C164" i="28"/>
  <c r="M163" i="28"/>
  <c r="K163" i="28"/>
  <c r="E163" i="28"/>
  <c r="C163" i="28"/>
  <c r="M162" i="28"/>
  <c r="K162" i="28"/>
  <c r="E162" i="28"/>
  <c r="C162" i="28"/>
  <c r="M161" i="28"/>
  <c r="K161" i="28"/>
  <c r="E161" i="28"/>
  <c r="C161" i="28"/>
  <c r="P160" i="28"/>
  <c r="O160" i="28"/>
  <c r="M160" i="28"/>
  <c r="H160" i="28"/>
  <c r="G160" i="28"/>
  <c r="E160" i="28"/>
  <c r="C151" i="28"/>
  <c r="C208" i="28" s="1"/>
  <c r="L113" i="28"/>
  <c r="L111" i="28"/>
  <c r="L109" i="28"/>
  <c r="K103" i="28" s="1"/>
  <c r="L107" i="28"/>
  <c r="C105" i="28"/>
  <c r="F103" i="28"/>
  <c r="M102" i="28"/>
  <c r="F102" i="28"/>
  <c r="F101" i="28"/>
  <c r="B101" i="28"/>
  <c r="D87" i="28"/>
  <c r="D86" i="28"/>
  <c r="W85" i="28"/>
  <c r="W84" i="28"/>
  <c r="W83" i="28"/>
  <c r="C80" i="28"/>
  <c r="E80" i="28" s="1"/>
  <c r="C78" i="28"/>
  <c r="C77" i="28"/>
  <c r="C76" i="28"/>
  <c r="E76" i="28" s="1"/>
  <c r="C75" i="28"/>
  <c r="E75" i="28" s="1"/>
  <c r="C71" i="28"/>
  <c r="E71" i="28" s="1"/>
  <c r="W70" i="28"/>
  <c r="W69" i="28"/>
  <c r="E69" i="28"/>
  <c r="W68" i="28"/>
  <c r="W67" i="28"/>
  <c r="C67" i="28"/>
  <c r="E67" i="28" s="1"/>
  <c r="C66" i="28"/>
  <c r="C62" i="28"/>
  <c r="C61" i="28"/>
  <c r="K60" i="28"/>
  <c r="N60" i="28" s="1"/>
  <c r="B60" i="28"/>
  <c r="K59" i="28"/>
  <c r="C59" i="28"/>
  <c r="K58" i="28"/>
  <c r="C58" i="28"/>
  <c r="K56" i="28"/>
  <c r="C56" i="28"/>
  <c r="W54" i="28"/>
  <c r="C54" i="28"/>
  <c r="N54" i="28" s="1"/>
  <c r="W53" i="28"/>
  <c r="C53" i="28"/>
  <c r="W52" i="28"/>
  <c r="C52" i="28"/>
  <c r="W51" i="28"/>
  <c r="W50" i="28"/>
  <c r="F47" i="28"/>
  <c r="F46" i="28"/>
  <c r="F44" i="28"/>
  <c r="W37" i="28"/>
  <c r="W36" i="28"/>
  <c r="W35" i="28"/>
  <c r="G34" i="28"/>
  <c r="P33" i="28"/>
  <c r="P32" i="28"/>
  <c r="P31" i="28"/>
  <c r="G29" i="28"/>
  <c r="P28" i="28"/>
  <c r="G26" i="28"/>
  <c r="G25" i="28"/>
  <c r="W24" i="28"/>
  <c r="W23" i="28"/>
  <c r="Q23" i="28"/>
  <c r="W22" i="28"/>
  <c r="W21" i="28"/>
  <c r="G21" i="28"/>
  <c r="Q20" i="28"/>
  <c r="W19" i="28"/>
  <c r="Q19" i="28"/>
  <c r="W18" i="28"/>
  <c r="Q16" i="28"/>
  <c r="R27" i="27"/>
  <c r="S25" i="27"/>
  <c r="R25" i="27"/>
  <c r="Q25" i="27"/>
  <c r="Q37" i="27" s="1"/>
  <c r="R37" i="27"/>
  <c r="R28" i="27"/>
  <c r="S28" i="27" s="1"/>
  <c r="S1" i="27"/>
  <c r="U20" i="27" s="1"/>
  <c r="U6" i="27"/>
  <c r="V6" i="27" s="1"/>
  <c r="U5" i="27"/>
  <c r="W5" i="27" s="1"/>
  <c r="U4" i="27"/>
  <c r="W4" i="27" s="1"/>
  <c r="G6" i="27"/>
  <c r="G5" i="27"/>
  <c r="G4" i="27"/>
  <c r="G3" i="27"/>
  <c r="C30" i="27"/>
  <c r="C31" i="27"/>
  <c r="S36" i="27"/>
  <c r="S35" i="27"/>
  <c r="S34" i="27"/>
  <c r="S33" i="27"/>
  <c r="S32" i="27"/>
  <c r="S31" i="27"/>
  <c r="I31" i="27"/>
  <c r="I32" i="27" s="1"/>
  <c r="S30" i="27"/>
  <c r="S29" i="27"/>
  <c r="D29" i="27"/>
  <c r="F1" i="27"/>
  <c r="G9" i="27" s="1"/>
  <c r="Q1" i="27"/>
  <c r="F3" i="27"/>
  <c r="L3" i="27" s="1"/>
  <c r="M3" i="27" s="1"/>
  <c r="F4" i="27"/>
  <c r="L4" i="27" s="1"/>
  <c r="M4" i="27" s="1"/>
  <c r="F5" i="27"/>
  <c r="F6" i="27"/>
  <c r="F7" i="27"/>
  <c r="H7" i="27" s="1"/>
  <c r="V7" i="27"/>
  <c r="F8" i="27"/>
  <c r="H8" i="27" s="1"/>
  <c r="V8" i="27"/>
  <c r="V9" i="27"/>
  <c r="F10" i="27"/>
  <c r="V10" i="27"/>
  <c r="F11" i="27"/>
  <c r="H11" i="27" s="1"/>
  <c r="V11" i="27"/>
  <c r="F12" i="27"/>
  <c r="H12" i="27" s="1"/>
  <c r="V12" i="27"/>
  <c r="F13" i="27"/>
  <c r="H13" i="27" s="1"/>
  <c r="V13" i="27"/>
  <c r="F14" i="27"/>
  <c r="H14" i="27" s="1"/>
  <c r="V14" i="27"/>
  <c r="F15" i="27"/>
  <c r="H15" i="27" s="1"/>
  <c r="V15" i="27"/>
  <c r="F16" i="27"/>
  <c r="H16" i="27" s="1"/>
  <c r="V16" i="27"/>
  <c r="F17" i="27"/>
  <c r="H17" i="27" s="1"/>
  <c r="V17" i="27"/>
  <c r="F18" i="27"/>
  <c r="H18" i="27" s="1"/>
  <c r="V18" i="27"/>
  <c r="F19" i="27"/>
  <c r="H19" i="27" s="1"/>
  <c r="V19" i="27"/>
  <c r="F20" i="27"/>
  <c r="H20" i="27" s="1"/>
  <c r="F21" i="27"/>
  <c r="H21" i="27" s="1"/>
  <c r="V21" i="27"/>
  <c r="W19" i="27"/>
  <c r="W18" i="27"/>
  <c r="W16" i="27"/>
  <c r="W15" i="27"/>
  <c r="W14" i="27"/>
  <c r="W12" i="27"/>
  <c r="W11" i="27"/>
  <c r="W10" i="27"/>
  <c r="D68" i="2"/>
  <c r="D69" i="2"/>
  <c r="D70" i="2"/>
  <c r="D67" i="2"/>
  <c r="D70" i="23"/>
  <c r="D71" i="23"/>
  <c r="D72" i="23"/>
  <c r="D69" i="23"/>
  <c r="O124" i="26"/>
  <c r="O125" i="26"/>
  <c r="O126" i="26"/>
  <c r="O123" i="26"/>
  <c r="O53" i="26"/>
  <c r="O54" i="26"/>
  <c r="O55" i="26"/>
  <c r="O52" i="26"/>
  <c r="BJ52" i="26"/>
  <c r="BJ53" i="26"/>
  <c r="BJ54" i="26"/>
  <c r="BJ51" i="26"/>
  <c r="BJ123" i="26"/>
  <c r="BJ124" i="26"/>
  <c r="BJ125" i="26"/>
  <c r="BJ122" i="26"/>
  <c r="O56" i="25"/>
  <c r="O57" i="25"/>
  <c r="O58" i="25"/>
  <c r="O55" i="25"/>
  <c r="O56" i="22"/>
  <c r="O57" i="22"/>
  <c r="O58" i="22"/>
  <c r="O55" i="22"/>
  <c r="K65" i="24"/>
  <c r="K66" i="24"/>
  <c r="K67" i="24"/>
  <c r="K64" i="24"/>
  <c r="K32" i="24"/>
  <c r="K33" i="24"/>
  <c r="K34" i="24"/>
  <c r="K31" i="24"/>
  <c r="W21" i="27"/>
  <c r="W17" i="27"/>
  <c r="W13" i="27"/>
  <c r="W9" i="27"/>
  <c r="W8" i="27"/>
  <c r="W7" i="27"/>
  <c r="H5" i="27" l="1"/>
  <c r="N58" i="28"/>
  <c r="N56" i="28"/>
  <c r="T7" i="28"/>
  <c r="T15" i="28" s="1"/>
  <c r="V9" i="28" s="1"/>
  <c r="T10" i="28" s="1"/>
  <c r="U14" i="28"/>
  <c r="L46" i="28"/>
  <c r="B10" i="27"/>
  <c r="N59" i="28"/>
  <c r="P26" i="28"/>
  <c r="W12" i="28"/>
  <c r="Q14" i="28"/>
  <c r="Q15" i="28"/>
  <c r="U79" i="28"/>
  <c r="U48" i="28"/>
  <c r="C45" i="28"/>
  <c r="F45" i="28" s="1"/>
  <c r="T79" i="28"/>
  <c r="T86" i="28" s="1"/>
  <c r="W86" i="28" s="1"/>
  <c r="T75" i="28"/>
  <c r="T74" i="28" s="1"/>
  <c r="T80" i="28" s="1"/>
  <c r="T33" i="28"/>
  <c r="W33" i="28" s="1"/>
  <c r="J43" i="28"/>
  <c r="D40" i="28"/>
  <c r="F40" i="28" s="1"/>
  <c r="D110" i="28"/>
  <c r="U63" i="28"/>
  <c r="T43" i="28"/>
  <c r="U78" i="28"/>
  <c r="W78" i="28" s="1"/>
  <c r="U64" i="28"/>
  <c r="W64" i="28" s="1"/>
  <c r="U47" i="28"/>
  <c r="W47" i="28" s="1"/>
  <c r="U46" i="28"/>
  <c r="W46" i="28" s="1"/>
  <c r="L43" i="28"/>
  <c r="T42" i="28"/>
  <c r="F110" i="28"/>
  <c r="U80" i="28"/>
  <c r="U62" i="28"/>
  <c r="W62" i="28" s="1"/>
  <c r="T58" i="28"/>
  <c r="T59" i="28" s="1"/>
  <c r="T63" i="28" s="1"/>
  <c r="O11" i="28"/>
  <c r="C13" i="28"/>
  <c r="M13" i="28"/>
  <c r="W45" i="28"/>
  <c r="F39" i="28"/>
  <c r="W61" i="28"/>
  <c r="W77" i="28"/>
  <c r="T6" i="28"/>
  <c r="T14" i="28" s="1"/>
  <c r="T9" i="28" s="1"/>
  <c r="E13" i="28"/>
  <c r="G13" i="28"/>
  <c r="U13" i="28"/>
  <c r="W13" i="28" s="1"/>
  <c r="U15" i="28"/>
  <c r="U32" i="28"/>
  <c r="W32" i="28" s="1"/>
  <c r="W31" i="28"/>
  <c r="C86" i="28"/>
  <c r="E86" i="28" s="1"/>
  <c r="C89" i="28"/>
  <c r="E89" i="28" s="1"/>
  <c r="C93" i="28"/>
  <c r="E93" i="28" s="1"/>
  <c r="E66" i="28"/>
  <c r="C87" i="28"/>
  <c r="E87" i="28" s="1"/>
  <c r="C90" i="28"/>
  <c r="E90" i="28" s="1"/>
  <c r="C94" i="28"/>
  <c r="E94" i="28" s="1"/>
  <c r="Q27" i="27"/>
  <c r="S27" i="27" s="1"/>
  <c r="V20" i="27"/>
  <c r="W6" i="27"/>
  <c r="V5" i="27"/>
  <c r="V4" i="27"/>
  <c r="H6" i="27"/>
  <c r="D30" i="27"/>
  <c r="B28" i="27"/>
  <c r="D28" i="27" s="1"/>
  <c r="B27" i="27"/>
  <c r="D27" i="27" s="1"/>
  <c r="H3" i="27"/>
  <c r="E9" i="27"/>
  <c r="F9" i="27" s="1"/>
  <c r="H9" i="27" s="1"/>
  <c r="H10" i="27"/>
  <c r="H4" i="27"/>
  <c r="B9" i="27"/>
  <c r="S37" i="27"/>
  <c r="B31" i="27"/>
  <c r="D31" i="27" s="1"/>
  <c r="W20" i="27"/>
  <c r="W15" i="28" l="1"/>
  <c r="W22" i="27"/>
  <c r="W23" i="27" s="1"/>
  <c r="V22" i="27"/>
  <c r="V23" i="27" s="1"/>
  <c r="W63" i="28"/>
  <c r="W71" i="28" s="1"/>
  <c r="W72" i="28" s="1"/>
  <c r="W80" i="28"/>
  <c r="W38" i="28"/>
  <c r="W39" i="28"/>
  <c r="U17" i="28"/>
  <c r="U16" i="28"/>
  <c r="W14" i="28"/>
  <c r="D17" i="28"/>
  <c r="I17" i="28" s="1"/>
  <c r="J17" i="28" s="1"/>
  <c r="K17" i="28" s="1"/>
  <c r="G17" i="28" s="1"/>
  <c r="D19" i="28"/>
  <c r="I19" i="28" s="1"/>
  <c r="J19" i="28" s="1"/>
  <c r="K19" i="28" s="1"/>
  <c r="G19" i="28" s="1"/>
  <c r="C15" i="28"/>
  <c r="H74" i="28"/>
  <c r="D60" i="28"/>
  <c r="L60" i="28" s="1"/>
  <c r="M60" i="28" s="1"/>
  <c r="J44" i="28"/>
  <c r="J45" i="28"/>
  <c r="W79" i="28"/>
  <c r="N21" i="28"/>
  <c r="Q21" i="28" s="1"/>
  <c r="N17" i="28"/>
  <c r="Q17" i="28" s="1"/>
  <c r="N18" i="28"/>
  <c r="Q18" i="28" s="1"/>
  <c r="N16" i="28"/>
  <c r="N22" i="28"/>
  <c r="Q22" i="28" s="1"/>
  <c r="N27" i="28"/>
  <c r="P27" i="28" s="1"/>
  <c r="N14" i="28"/>
  <c r="N13" i="28"/>
  <c r="I24" i="28" s="1"/>
  <c r="J24" i="28" s="1"/>
  <c r="K24" i="28" s="1"/>
  <c r="L202" i="28"/>
  <c r="O194" i="28" s="1"/>
  <c r="H199" i="28"/>
  <c r="M193" i="28"/>
  <c r="I190" i="28"/>
  <c r="E190" i="28"/>
  <c r="H181" i="28"/>
  <c r="C228" i="28"/>
  <c r="G199" i="28"/>
  <c r="L193" i="28"/>
  <c r="H190" i="28"/>
  <c r="G181" i="28"/>
  <c r="C210" i="28"/>
  <c r="F199" i="28"/>
  <c r="G190" i="28"/>
  <c r="M185" i="28"/>
  <c r="F181" i="28"/>
  <c r="M202" i="28"/>
  <c r="P194" i="28" s="1"/>
  <c r="L45" i="28" s="1"/>
  <c r="N102" i="28" s="1"/>
  <c r="I199" i="28"/>
  <c r="E199" i="28"/>
  <c r="F190" i="28"/>
  <c r="L185" i="28"/>
  <c r="I181" i="28"/>
  <c r="E181" i="28"/>
  <c r="P60" i="28"/>
  <c r="P59" i="28"/>
  <c r="P58" i="28"/>
  <c r="D78" i="28"/>
  <c r="E78" i="28" s="1"/>
  <c r="D77" i="28"/>
  <c r="E77" i="28" s="1"/>
  <c r="P56" i="28"/>
  <c r="P54" i="28"/>
  <c r="D15" i="28"/>
  <c r="D18" i="28"/>
  <c r="I18" i="28" s="1"/>
  <c r="J18" i="28" s="1"/>
  <c r="K18" i="28" s="1"/>
  <c r="G18" i="28" s="1"/>
  <c r="D16" i="28"/>
  <c r="I16" i="28" s="1"/>
  <c r="J16" i="28" s="1"/>
  <c r="K16" i="28" s="1"/>
  <c r="G16" i="28" s="1"/>
  <c r="T8" i="28"/>
  <c r="T17" i="28" s="1"/>
  <c r="U43" i="28"/>
  <c r="T48" i="28" s="1"/>
  <c r="W48" i="28" s="1"/>
  <c r="W55" i="28" s="1"/>
  <c r="C152" i="28"/>
  <c r="D153" i="28" s="1"/>
  <c r="H130" i="28" s="1"/>
  <c r="C209" i="28"/>
  <c r="H22" i="27"/>
  <c r="I1" i="27" s="1"/>
  <c r="AG13" i="3" s="1"/>
  <c r="S39" i="27"/>
  <c r="D34" i="27"/>
  <c r="T1" i="27" l="1"/>
  <c r="D24" i="27"/>
  <c r="AG47" i="3" s="1"/>
  <c r="T25" i="27"/>
  <c r="AG35" i="3" s="1"/>
  <c r="W17" i="28"/>
  <c r="W87" i="28"/>
  <c r="W88" i="28" s="1"/>
  <c r="P8" i="28"/>
  <c r="Q13" i="28"/>
  <c r="Q24" i="28" s="1"/>
  <c r="H133" i="28"/>
  <c r="I133" i="28" s="1"/>
  <c r="H78" i="28" s="1"/>
  <c r="I78" i="28" s="1"/>
  <c r="I130" i="28"/>
  <c r="H132" i="28" s="1"/>
  <c r="I132" i="28" s="1"/>
  <c r="D57" i="28"/>
  <c r="D61" i="28"/>
  <c r="D53" i="28"/>
  <c r="D58" i="28"/>
  <c r="L58" i="28" s="1"/>
  <c r="M58" i="28" s="1"/>
  <c r="D59" i="28"/>
  <c r="L59" i="28" s="1"/>
  <c r="M59" i="28" s="1"/>
  <c r="D54" i="28"/>
  <c r="L102" i="28"/>
  <c r="C65" i="28"/>
  <c r="E65" i="28" s="1"/>
  <c r="D32" i="28"/>
  <c r="D23" i="28"/>
  <c r="G23" i="28" s="1"/>
  <c r="D28" i="28"/>
  <c r="G28" i="28" s="1"/>
  <c r="D27" i="28"/>
  <c r="G27" i="28" s="1"/>
  <c r="D22" i="28"/>
  <c r="G22" i="28" s="1"/>
  <c r="D21" i="28"/>
  <c r="T20" i="28"/>
  <c r="W20" i="28" s="1"/>
  <c r="T16" i="28"/>
  <c r="W16" i="28" s="1"/>
  <c r="D81" i="28"/>
  <c r="C81" i="28"/>
  <c r="W56" i="28"/>
  <c r="D30" i="28"/>
  <c r="D20" i="28"/>
  <c r="I20" i="28" s="1"/>
  <c r="J20" i="28" s="1"/>
  <c r="K20" i="28" s="1"/>
  <c r="G20" i="28" s="1"/>
  <c r="I15" i="28"/>
  <c r="J15" i="28" s="1"/>
  <c r="K15" i="28" s="1"/>
  <c r="G15" i="28" s="1"/>
  <c r="D244" i="28"/>
  <c r="D241" i="28"/>
  <c r="G242" i="28" s="1"/>
  <c r="C153" i="28" s="1"/>
  <c r="D240" i="28"/>
  <c r="D234" i="28"/>
  <c r="D236" i="28"/>
  <c r="D233" i="28"/>
  <c r="G234" i="28" s="1"/>
  <c r="D52" i="28" s="1"/>
  <c r="D242" i="28"/>
  <c r="D232" i="28"/>
  <c r="E96" i="26"/>
  <c r="E23" i="26"/>
  <c r="S8" i="11"/>
  <c r="B60" i="23"/>
  <c r="B59" i="23"/>
  <c r="B24" i="23"/>
  <c r="D14" i="22"/>
  <c r="D14" i="25"/>
  <c r="B23" i="2"/>
  <c r="B59" i="2"/>
  <c r="B58" i="2"/>
  <c r="S8" i="5"/>
  <c r="D7" i="25"/>
  <c r="D7" i="22"/>
  <c r="G3" i="1"/>
  <c r="D65" i="24"/>
  <c r="D64" i="24"/>
  <c r="D157" i="28" l="1"/>
  <c r="L157" i="28"/>
  <c r="L153" i="28"/>
  <c r="N153" i="28" s="1"/>
  <c r="W25" i="28"/>
  <c r="W26" i="28" s="1"/>
  <c r="D33" i="28"/>
  <c r="G33" i="28" s="1"/>
  <c r="G32" i="28"/>
  <c r="D56" i="28"/>
  <c r="L56" i="28" s="1"/>
  <c r="M56" i="28" s="1"/>
  <c r="L54" i="28"/>
  <c r="M54" i="28" s="1"/>
  <c r="J61" i="28"/>
  <c r="F61" i="28"/>
  <c r="I61" i="28"/>
  <c r="E61" i="28"/>
  <c r="H61" i="28"/>
  <c r="G61" i="28"/>
  <c r="H57" i="28"/>
  <c r="G57" i="28"/>
  <c r="F57" i="28"/>
  <c r="E57" i="28"/>
  <c r="C68" i="28"/>
  <c r="E68" i="28" s="1"/>
  <c r="C84" i="28"/>
  <c r="C91" i="28"/>
  <c r="C79" i="28"/>
  <c r="E79" i="28" s="1"/>
  <c r="P30" i="28"/>
  <c r="M24" i="28"/>
  <c r="D62" i="28"/>
  <c r="L62" i="28" s="1"/>
  <c r="M62" i="28" s="1"/>
  <c r="N62" i="28" s="1"/>
  <c r="P62" i="28" s="1"/>
  <c r="G52" i="28"/>
  <c r="F52" i="28"/>
  <c r="C85" i="28"/>
  <c r="E85" i="28" s="1"/>
  <c r="I52" i="28"/>
  <c r="E52" i="28"/>
  <c r="H52" i="28"/>
  <c r="G30" i="28"/>
  <c r="D31" i="28"/>
  <c r="G31" i="28" s="1"/>
  <c r="E81" i="28"/>
  <c r="F53" i="28"/>
  <c r="E53" i="28"/>
  <c r="H53" i="28"/>
  <c r="D55" i="28"/>
  <c r="G53" i="28"/>
  <c r="D33" i="24"/>
  <c r="D34" i="24"/>
  <c r="D31" i="24"/>
  <c r="D32" i="24"/>
  <c r="BA72" i="26"/>
  <c r="I74" i="26"/>
  <c r="I1" i="26"/>
  <c r="K53" i="28" l="1"/>
  <c r="N53" i="28" s="1"/>
  <c r="P53" i="28" s="1"/>
  <c r="G36" i="28"/>
  <c r="F10" i="28" s="1"/>
  <c r="K61" i="28"/>
  <c r="N61" i="28" s="1"/>
  <c r="P61" i="28" s="1"/>
  <c r="E84" i="28"/>
  <c r="C83" i="28"/>
  <c r="E83" i="28" s="1"/>
  <c r="G55" i="28"/>
  <c r="F55" i="28"/>
  <c r="E55" i="28"/>
  <c r="H55" i="28"/>
  <c r="P34" i="28"/>
  <c r="P35" i="28" s="1"/>
  <c r="Q174" i="28"/>
  <c r="Q165" i="28"/>
  <c r="Q160" i="28" s="1"/>
  <c r="N157" i="28" s="1"/>
  <c r="Q170" i="28"/>
  <c r="K52" i="28"/>
  <c r="L52" i="28" s="1"/>
  <c r="M52" i="28" s="1"/>
  <c r="N52" i="28" s="1"/>
  <c r="P52" i="28" s="1"/>
  <c r="K57" i="28"/>
  <c r="I174" i="28"/>
  <c r="I165" i="28"/>
  <c r="I160" i="28"/>
  <c r="F157" i="28" s="1"/>
  <c r="H131" i="28" s="1"/>
  <c r="I131" i="28" s="1"/>
  <c r="H71" i="28" s="1"/>
  <c r="I170" i="28"/>
  <c r="C82" i="28"/>
  <c r="E82" i="28" s="1"/>
  <c r="C92" i="28"/>
  <c r="E92" i="28" s="1"/>
  <c r="E91" i="28"/>
  <c r="F3" i="24"/>
  <c r="AZ84" i="26"/>
  <c r="L53" i="28" l="1"/>
  <c r="M53" i="28" s="1"/>
  <c r="C36" i="28"/>
  <c r="L61" i="28"/>
  <c r="M61" i="28" s="1"/>
  <c r="N57" i="28"/>
  <c r="P57" i="28" s="1"/>
  <c r="L57" i="28"/>
  <c r="M57" i="28" s="1"/>
  <c r="K55" i="28"/>
  <c r="C211" i="28"/>
  <c r="C72" i="28"/>
  <c r="C55" i="28"/>
  <c r="C73" i="28"/>
  <c r="E73" i="28" s="1"/>
  <c r="C74" i="28"/>
  <c r="E74" i="28" s="1"/>
  <c r="C70" i="28"/>
  <c r="E70" i="28" s="1"/>
  <c r="F11" i="28"/>
  <c r="F12" i="28" s="1"/>
  <c r="G3" i="28" s="1"/>
  <c r="AM60" i="3" s="1"/>
  <c r="AN60" i="3" s="1"/>
  <c r="AZ13" i="26"/>
  <c r="BP99" i="26"/>
  <c r="BP100" i="26"/>
  <c r="BP101" i="26"/>
  <c r="BP102" i="26"/>
  <c r="BP103" i="26"/>
  <c r="BP107" i="26"/>
  <c r="BP112" i="26"/>
  <c r="BQ112" i="26" s="1"/>
  <c r="BP84" i="26"/>
  <c r="BP41" i="26"/>
  <c r="BP111" i="26" s="1"/>
  <c r="BP40" i="26"/>
  <c r="BP110" i="26" s="1"/>
  <c r="BP39" i="26"/>
  <c r="BP109" i="26" s="1"/>
  <c r="BP38" i="26"/>
  <c r="BP108" i="26" s="1"/>
  <c r="BP36" i="26"/>
  <c r="BP106" i="26" s="1"/>
  <c r="BP35" i="26"/>
  <c r="BP105" i="26" s="1"/>
  <c r="BP34" i="26"/>
  <c r="BP104" i="26" s="1"/>
  <c r="BP28" i="26"/>
  <c r="BP98" i="26" s="1"/>
  <c r="BP14" i="26"/>
  <c r="C88" i="28" l="1"/>
  <c r="E88" i="28" s="1"/>
  <c r="E72" i="28"/>
  <c r="M216" i="28"/>
  <c r="M210" i="28"/>
  <c r="P213" i="28" s="1"/>
  <c r="C214" i="28" s="1"/>
  <c r="M222" i="28"/>
  <c r="L55" i="28"/>
  <c r="M55" i="28" s="1"/>
  <c r="N55" i="28"/>
  <c r="P55" i="28" s="1"/>
  <c r="P63" i="28" s="1"/>
  <c r="Q128" i="26"/>
  <c r="O128" i="26" s="1"/>
  <c r="Q129" i="26"/>
  <c r="O129" i="26" s="1"/>
  <c r="Q130" i="26"/>
  <c r="O130" i="26" s="1"/>
  <c r="Q131" i="26"/>
  <c r="Q132" i="26"/>
  <c r="Q133" i="26"/>
  <c r="Q134" i="26"/>
  <c r="Q135" i="26"/>
  <c r="Q127" i="26"/>
  <c r="O127" i="26" s="1"/>
  <c r="F74" i="26"/>
  <c r="D74" i="26"/>
  <c r="C80" i="26" s="1"/>
  <c r="H74" i="26"/>
  <c r="F96" i="26"/>
  <c r="F95" i="26"/>
  <c r="F90" i="26"/>
  <c r="F87" i="26"/>
  <c r="F86" i="26"/>
  <c r="F85" i="26"/>
  <c r="F82" i="26"/>
  <c r="F9" i="26"/>
  <c r="H1" i="26"/>
  <c r="F1" i="26"/>
  <c r="C3" i="26" s="1"/>
  <c r="H3" i="26" s="1"/>
  <c r="D1" i="26"/>
  <c r="F23" i="26"/>
  <c r="F22" i="26"/>
  <c r="F17" i="26"/>
  <c r="F14" i="26"/>
  <c r="F13" i="26"/>
  <c r="F12" i="26"/>
  <c r="E96" i="28" l="1"/>
  <c r="L47" i="28" s="1"/>
  <c r="D121" i="28"/>
  <c r="I124" i="28" s="1"/>
  <c r="C215" i="28"/>
  <c r="F215" i="28" s="1"/>
  <c r="C216" i="28" s="1"/>
  <c r="F216" i="28" s="1"/>
  <c r="C217" i="28" s="1"/>
  <c r="D122" i="28" s="1"/>
  <c r="H80" i="26"/>
  <c r="I80" i="26" s="1"/>
  <c r="J80" i="26" s="1"/>
  <c r="C5" i="26"/>
  <c r="H5" i="26" s="1"/>
  <c r="N3" i="26"/>
  <c r="B74" i="26"/>
  <c r="B76" i="26"/>
  <c r="C83" i="26" s="1"/>
  <c r="F83" i="26" s="1"/>
  <c r="C77" i="26"/>
  <c r="C78" i="26"/>
  <c r="C79" i="26"/>
  <c r="C76" i="26"/>
  <c r="H76" i="26" s="1"/>
  <c r="C8" i="26"/>
  <c r="I3" i="26"/>
  <c r="C6" i="26"/>
  <c r="C4" i="26"/>
  <c r="B1" i="26"/>
  <c r="C7" i="26"/>
  <c r="H7" i="26" s="1"/>
  <c r="B3" i="26"/>
  <c r="C15" i="26" s="1"/>
  <c r="F15" i="26" s="1"/>
  <c r="F41" i="28" l="1"/>
  <c r="L48" i="28"/>
  <c r="F48" i="28"/>
  <c r="F49" i="28"/>
  <c r="D123" i="28"/>
  <c r="H8" i="26"/>
  <c r="I8" i="26" s="1"/>
  <c r="J8" i="26" s="1"/>
  <c r="H77" i="26"/>
  <c r="I77" i="26" s="1"/>
  <c r="J77" i="26" s="1"/>
  <c r="H78" i="26"/>
  <c r="I78" i="26" s="1"/>
  <c r="J78" i="26" s="1"/>
  <c r="H4" i="26"/>
  <c r="I4" i="26" s="1"/>
  <c r="J4" i="26" s="1"/>
  <c r="H6" i="26"/>
  <c r="I6" i="26" s="1"/>
  <c r="J6" i="26" s="1"/>
  <c r="H79" i="26"/>
  <c r="I79" i="26" s="1"/>
  <c r="J79" i="26" s="1"/>
  <c r="I7" i="26"/>
  <c r="J7" i="26" s="1"/>
  <c r="I5" i="26"/>
  <c r="J5" i="26" s="1"/>
  <c r="C88" i="26"/>
  <c r="F88" i="26" s="1"/>
  <c r="C82" i="26"/>
  <c r="C89" i="26"/>
  <c r="F89" i="26" s="1"/>
  <c r="C93" i="26"/>
  <c r="F93" i="26" s="1"/>
  <c r="C84" i="26"/>
  <c r="F84" i="26" s="1"/>
  <c r="C91" i="26"/>
  <c r="I76" i="26"/>
  <c r="J76" i="26" s="1"/>
  <c r="C81" i="26"/>
  <c r="C10" i="26"/>
  <c r="F10" i="26" s="1"/>
  <c r="C16" i="26"/>
  <c r="F16" i="26" s="1"/>
  <c r="C20" i="26"/>
  <c r="C19" i="26"/>
  <c r="C11" i="26"/>
  <c r="F11" i="26" s="1"/>
  <c r="J3" i="26"/>
  <c r="C9" i="26"/>
  <c r="H81" i="26" l="1"/>
  <c r="I81" i="26" s="1"/>
  <c r="J81" i="26" s="1"/>
  <c r="F91" i="26"/>
  <c r="C92" i="26"/>
  <c r="F92" i="26" s="1"/>
  <c r="F19" i="26"/>
  <c r="C18" i="26"/>
  <c r="F18" i="26" s="1"/>
  <c r="C21" i="26"/>
  <c r="F21" i="26" s="1"/>
  <c r="F20" i="26"/>
  <c r="C94" i="26"/>
  <c r="F94" i="26" s="1"/>
  <c r="BG14" i="3" l="1"/>
  <c r="AV14" i="3" l="1"/>
  <c r="U37" i="3" l="1"/>
  <c r="V14" i="3"/>
  <c r="U107" i="26" l="1"/>
  <c r="U106" i="26"/>
  <c r="U105" i="26"/>
  <c r="U101" i="26"/>
  <c r="U100" i="26"/>
  <c r="U99" i="26"/>
  <c r="V73" i="26"/>
  <c r="U73" i="26"/>
  <c r="T73" i="26"/>
  <c r="S73" i="26"/>
  <c r="U36" i="26"/>
  <c r="U35" i="26"/>
  <c r="U34" i="26"/>
  <c r="U30" i="26"/>
  <c r="U29" i="26"/>
  <c r="U28" i="26"/>
  <c r="W14" i="24"/>
  <c r="D51" i="24"/>
  <c r="D85" i="24"/>
  <c r="D81" i="24"/>
  <c r="D76" i="24"/>
  <c r="D75" i="24"/>
  <c r="D74" i="24"/>
  <c r="D73" i="24"/>
  <c r="D72" i="24"/>
  <c r="D71" i="24"/>
  <c r="D70" i="24"/>
  <c r="D69" i="24"/>
  <c r="D68" i="24"/>
  <c r="D67" i="24"/>
  <c r="D66" i="24"/>
  <c r="D35" i="24"/>
  <c r="D47" i="24"/>
  <c r="D44" i="24"/>
  <c r="D42" i="24"/>
  <c r="D41" i="24"/>
  <c r="D40" i="24"/>
  <c r="D39" i="24"/>
  <c r="D38" i="24"/>
  <c r="D37" i="24"/>
  <c r="D36" i="24"/>
  <c r="AB12" i="24"/>
  <c r="W4" i="24"/>
  <c r="W5" i="24"/>
  <c r="W3" i="24"/>
  <c r="F5" i="24"/>
  <c r="F79" i="26" l="1"/>
  <c r="F80" i="26"/>
  <c r="F81" i="26"/>
  <c r="F78" i="26"/>
  <c r="F77" i="26"/>
  <c r="F76" i="26"/>
  <c r="C17" i="9"/>
  <c r="C9" i="9"/>
  <c r="C2" i="9"/>
  <c r="A2" i="9"/>
  <c r="H22" i="7"/>
  <c r="H21" i="7"/>
  <c r="G21" i="7"/>
  <c r="F21" i="7"/>
  <c r="E21" i="7"/>
  <c r="D21" i="7"/>
  <c r="H13" i="7"/>
  <c r="H12" i="7"/>
  <c r="G12" i="7"/>
  <c r="F12" i="7"/>
  <c r="E12" i="7"/>
  <c r="D12" i="7"/>
  <c r="H4" i="7"/>
  <c r="H3" i="7"/>
  <c r="G3" i="7"/>
  <c r="F3" i="7"/>
  <c r="E3" i="7"/>
  <c r="D3" i="7"/>
  <c r="L52" i="6"/>
  <c r="J52" i="6"/>
  <c r="D52" i="6"/>
  <c r="B52" i="6"/>
  <c r="L51" i="6"/>
  <c r="J51" i="6"/>
  <c r="D51" i="6"/>
  <c r="B51" i="6"/>
  <c r="L50" i="6"/>
  <c r="J50" i="6"/>
  <c r="D50" i="6"/>
  <c r="B50" i="6"/>
  <c r="L49" i="6"/>
  <c r="J49" i="6"/>
  <c r="D49" i="6"/>
  <c r="B49" i="6"/>
  <c r="O48" i="6"/>
  <c r="L48" i="6"/>
  <c r="J48" i="6"/>
  <c r="N48" i="6" s="1"/>
  <c r="G48" i="6"/>
  <c r="D48" i="6"/>
  <c r="B48" i="6"/>
  <c r="F48" i="6" s="1"/>
  <c r="L47" i="6"/>
  <c r="J47" i="6"/>
  <c r="D47" i="6"/>
  <c r="B47" i="6"/>
  <c r="L46" i="6"/>
  <c r="J46" i="6"/>
  <c r="D46" i="6"/>
  <c r="B46" i="6"/>
  <c r="L45" i="6"/>
  <c r="J45" i="6"/>
  <c r="D45" i="6"/>
  <c r="B45" i="6"/>
  <c r="O44" i="6"/>
  <c r="L44" i="6"/>
  <c r="J44" i="6"/>
  <c r="N44" i="6" s="1"/>
  <c r="G44" i="6"/>
  <c r="D44" i="6"/>
  <c r="B44" i="6"/>
  <c r="F44" i="6" s="1"/>
  <c r="L43" i="6"/>
  <c r="J43" i="6"/>
  <c r="D43" i="6"/>
  <c r="B43" i="6"/>
  <c r="L42" i="6"/>
  <c r="J42" i="6"/>
  <c r="D42" i="6"/>
  <c r="B42" i="6"/>
  <c r="L41" i="6"/>
  <c r="J41" i="6"/>
  <c r="D41" i="6"/>
  <c r="B41" i="6"/>
  <c r="L40" i="6"/>
  <c r="J40" i="6"/>
  <c r="D40" i="6"/>
  <c r="B40" i="6"/>
  <c r="O39" i="6"/>
  <c r="L39" i="6"/>
  <c r="J39" i="6"/>
  <c r="N39" i="6" s="1"/>
  <c r="G39" i="6"/>
  <c r="D39" i="6"/>
  <c r="B39" i="6"/>
  <c r="F39" i="6" s="1"/>
  <c r="L38" i="6"/>
  <c r="J38" i="6"/>
  <c r="D38" i="6"/>
  <c r="B38" i="6"/>
  <c r="L37" i="6"/>
  <c r="J37" i="6"/>
  <c r="D37" i="6"/>
  <c r="B37" i="6"/>
  <c r="L36" i="6"/>
  <c r="J36" i="6"/>
  <c r="D36" i="6"/>
  <c r="B36" i="6"/>
  <c r="L35" i="6"/>
  <c r="J35" i="6"/>
  <c r="D35" i="6"/>
  <c r="B35" i="6"/>
  <c r="O34" i="6"/>
  <c r="N34" i="6"/>
  <c r="L34" i="6"/>
  <c r="G34" i="6"/>
  <c r="F34" i="6"/>
  <c r="D34" i="6"/>
  <c r="B17" i="6"/>
  <c r="B3" i="8" s="1"/>
  <c r="C17" i="15"/>
  <c r="C9" i="15"/>
  <c r="C2" i="15"/>
  <c r="A2" i="15"/>
  <c r="H22" i="13"/>
  <c r="H21" i="13"/>
  <c r="G21" i="13"/>
  <c r="F21" i="13"/>
  <c r="E21" i="13"/>
  <c r="D21" i="13"/>
  <c r="H13" i="13"/>
  <c r="H12" i="13"/>
  <c r="G12" i="13"/>
  <c r="F12" i="13"/>
  <c r="E12" i="13"/>
  <c r="D12" i="13"/>
  <c r="H4" i="13"/>
  <c r="H3" i="13"/>
  <c r="G3" i="13"/>
  <c r="F3" i="13"/>
  <c r="E3" i="13"/>
  <c r="D3" i="13"/>
  <c r="L52" i="12"/>
  <c r="J52" i="12"/>
  <c r="D52" i="12"/>
  <c r="B52" i="12"/>
  <c r="L51" i="12"/>
  <c r="J51" i="12"/>
  <c r="D51" i="12"/>
  <c r="B51" i="12"/>
  <c r="L50" i="12"/>
  <c r="J50" i="12"/>
  <c r="D50" i="12"/>
  <c r="B50" i="12"/>
  <c r="L49" i="12"/>
  <c r="J49" i="12"/>
  <c r="D49" i="12"/>
  <c r="B49" i="12"/>
  <c r="O48" i="12"/>
  <c r="L48" i="12"/>
  <c r="J48" i="12"/>
  <c r="N48" i="12" s="1"/>
  <c r="G48" i="12"/>
  <c r="D48" i="12"/>
  <c r="B48" i="12"/>
  <c r="F48" i="12" s="1"/>
  <c r="L47" i="12"/>
  <c r="J47" i="12"/>
  <c r="D47" i="12"/>
  <c r="B47" i="12"/>
  <c r="L46" i="12"/>
  <c r="J46" i="12"/>
  <c r="D46" i="12"/>
  <c r="B46" i="12"/>
  <c r="L45" i="12"/>
  <c r="J45" i="12"/>
  <c r="D45" i="12"/>
  <c r="B45" i="12"/>
  <c r="O44" i="12"/>
  <c r="L44" i="12"/>
  <c r="J44" i="12"/>
  <c r="N44" i="12" s="1"/>
  <c r="G44" i="12"/>
  <c r="D44" i="12"/>
  <c r="B44" i="12"/>
  <c r="F44" i="12" s="1"/>
  <c r="L43" i="12"/>
  <c r="J43" i="12"/>
  <c r="D43" i="12"/>
  <c r="B43" i="12"/>
  <c r="L42" i="12"/>
  <c r="J42" i="12"/>
  <c r="D42" i="12"/>
  <c r="B42" i="12"/>
  <c r="L41" i="12"/>
  <c r="J41" i="12"/>
  <c r="D41" i="12"/>
  <c r="B41" i="12"/>
  <c r="L40" i="12"/>
  <c r="J40" i="12"/>
  <c r="D40" i="12"/>
  <c r="B40" i="12"/>
  <c r="O39" i="12"/>
  <c r="L39" i="12"/>
  <c r="J39" i="12"/>
  <c r="N39" i="12" s="1"/>
  <c r="G39" i="12"/>
  <c r="D39" i="12"/>
  <c r="B39" i="12"/>
  <c r="F39" i="12" s="1"/>
  <c r="L38" i="12"/>
  <c r="J38" i="12"/>
  <c r="D38" i="12"/>
  <c r="B38" i="12"/>
  <c r="L37" i="12"/>
  <c r="J37" i="12"/>
  <c r="D37" i="12"/>
  <c r="B37" i="12"/>
  <c r="L36" i="12"/>
  <c r="J36" i="12"/>
  <c r="D36" i="12"/>
  <c r="B36" i="12"/>
  <c r="L35" i="12"/>
  <c r="J35" i="12"/>
  <c r="D35" i="12"/>
  <c r="B35" i="12"/>
  <c r="O34" i="12"/>
  <c r="N34" i="12"/>
  <c r="L34" i="12"/>
  <c r="G34" i="12"/>
  <c r="F34" i="12"/>
  <c r="D34" i="12"/>
  <c r="B17" i="12"/>
  <c r="B3" i="14" s="1"/>
  <c r="E98" i="11"/>
  <c r="L97" i="11"/>
  <c r="E97" i="11"/>
  <c r="A96" i="11"/>
  <c r="L44" i="11"/>
  <c r="J98" i="11" s="1"/>
  <c r="A43" i="11"/>
  <c r="L42" i="11"/>
  <c r="A41" i="11"/>
  <c r="W38" i="11"/>
  <c r="V38" i="11"/>
  <c r="T38" i="11"/>
  <c r="F38" i="11"/>
  <c r="W37" i="11"/>
  <c r="T37" i="11"/>
  <c r="W36" i="11"/>
  <c r="T36" i="11"/>
  <c r="Y35" i="11"/>
  <c r="W35" i="11"/>
  <c r="T35" i="11"/>
  <c r="Y34" i="11"/>
  <c r="W34" i="11"/>
  <c r="T34" i="11"/>
  <c r="W33" i="11"/>
  <c r="T33" i="11"/>
  <c r="W32" i="11"/>
  <c r="T32" i="11"/>
  <c r="W31" i="11"/>
  <c r="T31" i="11"/>
  <c r="Y30" i="11"/>
  <c r="W30" i="11"/>
  <c r="T30" i="11"/>
  <c r="Y29" i="11"/>
  <c r="W29" i="11"/>
  <c r="T29" i="11"/>
  <c r="W28" i="11"/>
  <c r="T28" i="11"/>
  <c r="AA27" i="11"/>
  <c r="W27" i="11"/>
  <c r="T27" i="11"/>
  <c r="W26" i="11"/>
  <c r="T26" i="11"/>
  <c r="Y25" i="11"/>
  <c r="W25" i="11"/>
  <c r="T25" i="11"/>
  <c r="W24" i="11"/>
  <c r="T24" i="11"/>
  <c r="W21" i="11"/>
  <c r="G19" i="11"/>
  <c r="A19" i="11"/>
  <c r="Y1" i="11"/>
  <c r="A5" i="11" s="1"/>
  <c r="E7" i="10"/>
  <c r="G11" i="13" s="1"/>
  <c r="C7" i="10"/>
  <c r="B18" i="12" s="1"/>
  <c r="C19" i="12" s="1"/>
  <c r="G27" i="10" s="1"/>
  <c r="H27" i="10" s="1"/>
  <c r="L11" i="11" s="1"/>
  <c r="B2" i="10"/>
  <c r="E98" i="5"/>
  <c r="L97" i="5"/>
  <c r="E97" i="5"/>
  <c r="A96" i="5"/>
  <c r="L44" i="5"/>
  <c r="J98" i="5" s="1"/>
  <c r="A43" i="5"/>
  <c r="L42" i="5"/>
  <c r="A41" i="5"/>
  <c r="W38" i="5"/>
  <c r="V38" i="5"/>
  <c r="T38" i="5"/>
  <c r="F38" i="5"/>
  <c r="W37" i="5"/>
  <c r="T37" i="5"/>
  <c r="W36" i="5"/>
  <c r="T36" i="5"/>
  <c r="Y35" i="5"/>
  <c r="W35" i="5"/>
  <c r="T35" i="5"/>
  <c r="Y34" i="5"/>
  <c r="W34" i="5"/>
  <c r="T34" i="5"/>
  <c r="W33" i="5"/>
  <c r="T33" i="5"/>
  <c r="W32" i="5"/>
  <c r="T32" i="5"/>
  <c r="W31" i="5"/>
  <c r="T31" i="5"/>
  <c r="Y30" i="5"/>
  <c r="W30" i="5"/>
  <c r="T30" i="5"/>
  <c r="Y29" i="5"/>
  <c r="W29" i="5"/>
  <c r="T29" i="5"/>
  <c r="W28" i="5"/>
  <c r="T28" i="5"/>
  <c r="AA27" i="5"/>
  <c r="W27" i="5"/>
  <c r="T27" i="5"/>
  <c r="W26" i="5"/>
  <c r="T26" i="5"/>
  <c r="Y25" i="5"/>
  <c r="W25" i="5"/>
  <c r="T25" i="5"/>
  <c r="W24" i="5"/>
  <c r="T24" i="5"/>
  <c r="W21" i="5"/>
  <c r="G19" i="5"/>
  <c r="A19" i="5"/>
  <c r="Y1" i="5"/>
  <c r="A5" i="5" s="1"/>
  <c r="E7" i="4"/>
  <c r="H20" i="7" s="1"/>
  <c r="C7" i="4"/>
  <c r="B2" i="4"/>
  <c r="BL134" i="26"/>
  <c r="BL139" i="26" s="1"/>
  <c r="Q140" i="26"/>
  <c r="BL133" i="26"/>
  <c r="BN133" i="26" s="1"/>
  <c r="BP133" i="26" s="1"/>
  <c r="BH133" i="26"/>
  <c r="S134" i="26"/>
  <c r="U134" i="26" s="1"/>
  <c r="M134" i="26"/>
  <c r="BL132" i="26"/>
  <c r="BN132" i="26" s="1"/>
  <c r="BP132" i="26" s="1"/>
  <c r="BQ132" i="26" s="1"/>
  <c r="S133" i="26"/>
  <c r="U133" i="26" s="1"/>
  <c r="V133" i="26" s="1"/>
  <c r="BL131" i="26"/>
  <c r="BN131" i="26" s="1"/>
  <c r="BP131" i="26" s="1"/>
  <c r="BH131" i="26"/>
  <c r="BH134" i="26" s="1"/>
  <c r="S132" i="26"/>
  <c r="U132" i="26" s="1"/>
  <c r="M132" i="26"/>
  <c r="M135" i="26" s="1"/>
  <c r="BL130" i="26"/>
  <c r="BN130" i="26" s="1"/>
  <c r="BH130" i="26"/>
  <c r="S131" i="26"/>
  <c r="U131" i="26" s="1"/>
  <c r="M131" i="26"/>
  <c r="BL129" i="26"/>
  <c r="BP128" i="26"/>
  <c r="BQ128" i="26" s="1"/>
  <c r="BL128" i="26"/>
  <c r="U129" i="26"/>
  <c r="V129" i="26" s="1"/>
  <c r="BL127" i="26"/>
  <c r="BL126" i="26"/>
  <c r="BK125" i="26"/>
  <c r="P126" i="26"/>
  <c r="BP124" i="26"/>
  <c r="BQ124" i="26" s="1"/>
  <c r="BK124" i="26"/>
  <c r="U125" i="26"/>
  <c r="V125" i="26" s="1"/>
  <c r="P125" i="26"/>
  <c r="BK123" i="26"/>
  <c r="P124" i="26"/>
  <c r="BK122" i="26"/>
  <c r="P123" i="26"/>
  <c r="BL119" i="26"/>
  <c r="Q120" i="26"/>
  <c r="U113" i="26"/>
  <c r="U112" i="26"/>
  <c r="U111" i="26"/>
  <c r="U110" i="26"/>
  <c r="V108" i="26"/>
  <c r="BQ103" i="26"/>
  <c r="V104" i="26"/>
  <c r="BQ102" i="26"/>
  <c r="V103" i="26"/>
  <c r="BQ101" i="26"/>
  <c r="V102" i="26"/>
  <c r="BQ100" i="26"/>
  <c r="V101" i="26"/>
  <c r="BQ99" i="26"/>
  <c r="V100" i="26"/>
  <c r="BL93" i="26"/>
  <c r="Q94" i="26"/>
  <c r="BL92" i="26"/>
  <c r="Q93" i="26"/>
  <c r="BP88" i="26"/>
  <c r="U89" i="26"/>
  <c r="BQ86" i="26"/>
  <c r="BA84" i="26"/>
  <c r="V87" i="26"/>
  <c r="BQ85" i="26"/>
  <c r="V86" i="26"/>
  <c r="BQ84" i="26"/>
  <c r="U85" i="26"/>
  <c r="V85" i="26" s="1"/>
  <c r="BA81" i="26"/>
  <c r="BA80" i="26"/>
  <c r="BL79" i="26"/>
  <c r="BO79" i="26" s="1"/>
  <c r="BA77" i="26"/>
  <c r="Q80" i="26"/>
  <c r="T80" i="26" s="1"/>
  <c r="M93" i="26"/>
  <c r="BD72" i="26"/>
  <c r="BH88" i="26" s="1"/>
  <c r="AY72" i="26"/>
  <c r="BM73" i="26"/>
  <c r="R74" i="26"/>
  <c r="BQ72" i="26"/>
  <c r="BP72" i="26"/>
  <c r="BO72" i="26"/>
  <c r="BN72" i="26"/>
  <c r="BL72" i="26"/>
  <c r="Q73" i="26"/>
  <c r="BL63" i="26"/>
  <c r="BL68" i="26" s="1"/>
  <c r="Q64" i="26"/>
  <c r="Q69" i="26" s="1"/>
  <c r="BL62" i="26"/>
  <c r="BN62" i="26" s="1"/>
  <c r="BP62" i="26" s="1"/>
  <c r="BH62" i="26"/>
  <c r="Q63" i="26"/>
  <c r="S63" i="26" s="1"/>
  <c r="U63" i="26" s="1"/>
  <c r="M63" i="26"/>
  <c r="BL61" i="26"/>
  <c r="BN61" i="26" s="1"/>
  <c r="BP61" i="26" s="1"/>
  <c r="BQ61" i="26" s="1"/>
  <c r="Q62" i="26"/>
  <c r="S62" i="26" s="1"/>
  <c r="U62" i="26" s="1"/>
  <c r="V62" i="26" s="1"/>
  <c r="BL60" i="26"/>
  <c r="BN60" i="26" s="1"/>
  <c r="BP60" i="26" s="1"/>
  <c r="BH60" i="26"/>
  <c r="BH63" i="26" s="1"/>
  <c r="Q61" i="26"/>
  <c r="S61" i="26" s="1"/>
  <c r="U61" i="26" s="1"/>
  <c r="M61" i="26"/>
  <c r="M64" i="26" s="1"/>
  <c r="BL59" i="26"/>
  <c r="BN59" i="26" s="1"/>
  <c r="BH59" i="26"/>
  <c r="Q60" i="26"/>
  <c r="S60" i="26" s="1"/>
  <c r="U60" i="26" s="1"/>
  <c r="M60" i="26"/>
  <c r="BL58" i="26"/>
  <c r="Q59" i="26"/>
  <c r="O59" i="26" s="1"/>
  <c r="BP57" i="26"/>
  <c r="BQ57" i="26" s="1"/>
  <c r="BL57" i="26"/>
  <c r="U58" i="26"/>
  <c r="V58" i="26" s="1"/>
  <c r="Q58" i="26"/>
  <c r="O58" i="26" s="1"/>
  <c r="BL56" i="26"/>
  <c r="Q57" i="26"/>
  <c r="O57" i="26" s="1"/>
  <c r="BL55" i="26"/>
  <c r="BJ55" i="26" s="1"/>
  <c r="Q56" i="26"/>
  <c r="O56" i="26" s="1"/>
  <c r="BK54" i="26"/>
  <c r="P55" i="26"/>
  <c r="BP53" i="26"/>
  <c r="BQ53" i="26" s="1"/>
  <c r="BK53" i="26"/>
  <c r="U54" i="26"/>
  <c r="V54" i="26" s="1"/>
  <c r="P54" i="26"/>
  <c r="BK52" i="26"/>
  <c r="P53" i="26"/>
  <c r="U53" i="26" s="1"/>
  <c r="V53" i="26" s="1"/>
  <c r="BK51" i="26"/>
  <c r="P52" i="26"/>
  <c r="BL48" i="26"/>
  <c r="Q49" i="26"/>
  <c r="U42" i="26"/>
  <c r="U41" i="26"/>
  <c r="U40" i="26"/>
  <c r="U39" i="26"/>
  <c r="V37" i="26"/>
  <c r="BQ33" i="26"/>
  <c r="V33" i="26"/>
  <c r="BQ32" i="26"/>
  <c r="V32" i="26"/>
  <c r="BQ31" i="26"/>
  <c r="V31" i="26"/>
  <c r="BQ30" i="26"/>
  <c r="V30" i="26"/>
  <c r="BQ29" i="26"/>
  <c r="V29" i="26"/>
  <c r="BL23" i="26"/>
  <c r="Q23" i="26"/>
  <c r="BL22" i="26"/>
  <c r="Q22" i="26"/>
  <c r="BP18" i="26"/>
  <c r="U18" i="26"/>
  <c r="BQ16" i="26"/>
  <c r="V16" i="26"/>
  <c r="BQ15" i="26"/>
  <c r="V15" i="26"/>
  <c r="BQ14" i="26"/>
  <c r="U14" i="26"/>
  <c r="V14" i="26" s="1"/>
  <c r="BA13" i="26"/>
  <c r="BA10" i="26"/>
  <c r="BL9" i="26"/>
  <c r="BO9" i="26" s="1"/>
  <c r="BA9" i="26"/>
  <c r="Q9" i="26"/>
  <c r="T9" i="26" s="1"/>
  <c r="BA6" i="26"/>
  <c r="BM3" i="26"/>
  <c r="R3" i="26"/>
  <c r="BQ2" i="26"/>
  <c r="BP2" i="26"/>
  <c r="BO2" i="26"/>
  <c r="BN2" i="26"/>
  <c r="BL2" i="26"/>
  <c r="V2" i="26"/>
  <c r="U2" i="26"/>
  <c r="T2" i="26"/>
  <c r="S2" i="26"/>
  <c r="U23" i="26" s="1"/>
  <c r="V23" i="26" s="1"/>
  <c r="Q2" i="26"/>
  <c r="BD1" i="26"/>
  <c r="BH22" i="26" s="1"/>
  <c r="BA1" i="26"/>
  <c r="AX4" i="26" s="1"/>
  <c r="AY1" i="26"/>
  <c r="D86" i="24"/>
  <c r="D84" i="24"/>
  <c r="D82" i="24"/>
  <c r="N81" i="24"/>
  <c r="M76" i="24"/>
  <c r="O76" i="24" s="1"/>
  <c r="Q76" i="24" s="1"/>
  <c r="M75" i="24"/>
  <c r="O75" i="24" s="1"/>
  <c r="Q75" i="24" s="1"/>
  <c r="R75" i="24" s="1"/>
  <c r="S75" i="24" s="1"/>
  <c r="M74" i="24"/>
  <c r="O74" i="24" s="1"/>
  <c r="Q74" i="24" s="1"/>
  <c r="R74" i="24" s="1"/>
  <c r="S74" i="24" s="1"/>
  <c r="M73" i="24"/>
  <c r="M72" i="24"/>
  <c r="O72" i="24" s="1"/>
  <c r="I72" i="24"/>
  <c r="Q71" i="24"/>
  <c r="R71" i="24" s="1"/>
  <c r="S71" i="24" s="1"/>
  <c r="M71" i="24"/>
  <c r="K71" i="24" s="1"/>
  <c r="M70" i="24"/>
  <c r="K70" i="24" s="1"/>
  <c r="M69" i="24"/>
  <c r="K69" i="24" s="1"/>
  <c r="M68" i="24"/>
  <c r="K68" i="24" s="1"/>
  <c r="Q67" i="24"/>
  <c r="R67" i="24" s="1"/>
  <c r="S67" i="24" s="1"/>
  <c r="L67" i="24"/>
  <c r="L66" i="24"/>
  <c r="L65" i="24"/>
  <c r="L64" i="24"/>
  <c r="D63" i="24"/>
  <c r="D62" i="24"/>
  <c r="D61" i="24"/>
  <c r="D52" i="24"/>
  <c r="D50" i="24"/>
  <c r="N48" i="24"/>
  <c r="D48" i="24"/>
  <c r="M43" i="24"/>
  <c r="O43" i="24" s="1"/>
  <c r="Q43" i="24" s="1"/>
  <c r="M42" i="24"/>
  <c r="O42" i="24" s="1"/>
  <c r="Q42" i="24" s="1"/>
  <c r="R42" i="24" s="1"/>
  <c r="S42" i="24" s="1"/>
  <c r="M41" i="24"/>
  <c r="O41" i="24" s="1"/>
  <c r="Q41" i="24" s="1"/>
  <c r="R41" i="24" s="1"/>
  <c r="S41" i="24" s="1"/>
  <c r="M40" i="24"/>
  <c r="M51" i="24" s="1"/>
  <c r="M39" i="24"/>
  <c r="O39" i="24" s="1"/>
  <c r="Q39" i="24" s="1"/>
  <c r="I39" i="24"/>
  <c r="Q38" i="24"/>
  <c r="R38" i="24" s="1"/>
  <c r="S38" i="24" s="1"/>
  <c r="M38" i="24"/>
  <c r="K38" i="24" s="1"/>
  <c r="M37" i="24"/>
  <c r="K37" i="24" s="1"/>
  <c r="M36" i="24"/>
  <c r="K36" i="24" s="1"/>
  <c r="M35" i="24"/>
  <c r="K35" i="24" s="1"/>
  <c r="Q34" i="24"/>
  <c r="R34" i="24" s="1"/>
  <c r="S34" i="24" s="1"/>
  <c r="L34" i="24"/>
  <c r="L33" i="24"/>
  <c r="L32" i="24"/>
  <c r="L31" i="24"/>
  <c r="D30" i="24"/>
  <c r="D29" i="24"/>
  <c r="D28" i="24"/>
  <c r="AB13" i="24"/>
  <c r="N12" i="24"/>
  <c r="AE11" i="24"/>
  <c r="AB11" i="24"/>
  <c r="W11" i="24"/>
  <c r="N11" i="24"/>
  <c r="O8" i="24" s="1"/>
  <c r="AB10" i="24"/>
  <c r="K10" i="24"/>
  <c r="AB9" i="24"/>
  <c r="W9" i="24"/>
  <c r="F9" i="24" s="1"/>
  <c r="N5" i="24" s="1"/>
  <c r="O6" i="24" s="1"/>
  <c r="K9" i="24"/>
  <c r="AB8" i="24"/>
  <c r="W8" i="24"/>
  <c r="K8" i="24"/>
  <c r="AE7" i="24"/>
  <c r="AB7" i="24"/>
  <c r="N7" i="24"/>
  <c r="K7" i="24"/>
  <c r="AB6" i="24"/>
  <c r="K6" i="24"/>
  <c r="AB5" i="24"/>
  <c r="K5" i="24"/>
  <c r="AB4" i="24"/>
  <c r="N4" i="24"/>
  <c r="K4" i="24"/>
  <c r="AE3" i="24"/>
  <c r="AE8" i="24" s="1"/>
  <c r="AB3" i="24"/>
  <c r="N3" i="24"/>
  <c r="N8" i="24" s="1"/>
  <c r="K3" i="24"/>
  <c r="Q67" i="25"/>
  <c r="Q72" i="25" s="1"/>
  <c r="M67" i="25"/>
  <c r="Q66" i="25"/>
  <c r="S66" i="25" s="1"/>
  <c r="U66" i="25" s="1"/>
  <c r="M66" i="25"/>
  <c r="Q65" i="25"/>
  <c r="S65" i="25" s="1"/>
  <c r="U65" i="25" s="1"/>
  <c r="V65" i="25" s="1"/>
  <c r="Q64" i="25"/>
  <c r="S64" i="25" s="1"/>
  <c r="M64" i="25"/>
  <c r="Q63" i="25"/>
  <c r="S63" i="25" s="1"/>
  <c r="U63" i="25" s="1"/>
  <c r="M63" i="25"/>
  <c r="Q62" i="25"/>
  <c r="O62" i="25" s="1"/>
  <c r="U61" i="25"/>
  <c r="V61" i="25" s="1"/>
  <c r="Q61" i="25"/>
  <c r="O61" i="25" s="1"/>
  <c r="T60" i="25"/>
  <c r="U60" i="25" s="1"/>
  <c r="V60" i="25" s="1"/>
  <c r="Q60" i="25"/>
  <c r="O60" i="25" s="1"/>
  <c r="T59" i="25"/>
  <c r="Q59" i="25"/>
  <c r="O59" i="25" s="1"/>
  <c r="P58" i="25"/>
  <c r="P57" i="25"/>
  <c r="T56" i="25"/>
  <c r="P56" i="25"/>
  <c r="T55" i="25"/>
  <c r="P55" i="25"/>
  <c r="Q52" i="25"/>
  <c r="V49" i="25"/>
  <c r="U44" i="25"/>
  <c r="U43" i="25"/>
  <c r="U42" i="25"/>
  <c r="U41" i="25"/>
  <c r="V39" i="25"/>
  <c r="V38" i="25"/>
  <c r="V37" i="25"/>
  <c r="V36" i="25"/>
  <c r="V35" i="25"/>
  <c r="U34" i="25"/>
  <c r="U33" i="25"/>
  <c r="U32" i="25"/>
  <c r="V31" i="25"/>
  <c r="V30" i="25"/>
  <c r="V29" i="25"/>
  <c r="V28" i="25"/>
  <c r="V27" i="25"/>
  <c r="U26" i="25"/>
  <c r="U17" i="25"/>
  <c r="V16" i="25"/>
  <c r="V15" i="25"/>
  <c r="B14" i="25"/>
  <c r="F14" i="25" s="1"/>
  <c r="V13" i="25"/>
  <c r="V12" i="25"/>
  <c r="B12" i="25"/>
  <c r="F12" i="25" s="1"/>
  <c r="U11" i="25"/>
  <c r="V11" i="25" s="1"/>
  <c r="F11" i="25"/>
  <c r="F10" i="25"/>
  <c r="F9" i="25"/>
  <c r="R3" i="25"/>
  <c r="N3" i="25"/>
  <c r="M21" i="25" s="1"/>
  <c r="V2" i="25"/>
  <c r="U2" i="25"/>
  <c r="T2" i="25"/>
  <c r="S2" i="25"/>
  <c r="U22" i="25" s="1"/>
  <c r="Q2" i="25"/>
  <c r="F1" i="25"/>
  <c r="D1" i="25"/>
  <c r="Q67" i="22"/>
  <c r="Q72" i="22" s="1"/>
  <c r="Q66" i="22"/>
  <c r="S66" i="22" s="1"/>
  <c r="U66" i="22" s="1"/>
  <c r="M66" i="22"/>
  <c r="Q65" i="22"/>
  <c r="S65" i="22" s="1"/>
  <c r="U65" i="22" s="1"/>
  <c r="V65" i="22" s="1"/>
  <c r="Q64" i="22"/>
  <c r="S64" i="22" s="1"/>
  <c r="U64" i="22" s="1"/>
  <c r="Q63" i="22"/>
  <c r="S63" i="22" s="1"/>
  <c r="U63" i="22" s="1"/>
  <c r="M63" i="22"/>
  <c r="Q62" i="22"/>
  <c r="O62" i="22" s="1"/>
  <c r="U61" i="22"/>
  <c r="V61" i="22" s="1"/>
  <c r="Q61" i="22"/>
  <c r="O61" i="22" s="1"/>
  <c r="T60" i="22"/>
  <c r="Q60" i="22"/>
  <c r="O60" i="22" s="1"/>
  <c r="T59" i="22"/>
  <c r="Q59" i="22"/>
  <c r="O59" i="22" s="1"/>
  <c r="P58" i="22"/>
  <c r="P57" i="22"/>
  <c r="T56" i="22"/>
  <c r="P56" i="22"/>
  <c r="T55" i="22"/>
  <c r="P55" i="22"/>
  <c r="Q52" i="22"/>
  <c r="V49" i="22"/>
  <c r="U44" i="22"/>
  <c r="U43" i="22"/>
  <c r="U42" i="22"/>
  <c r="U41" i="22"/>
  <c r="V39" i="22"/>
  <c r="V38" i="22"/>
  <c r="V37" i="22"/>
  <c r="V36" i="22"/>
  <c r="V35" i="22"/>
  <c r="U34" i="22"/>
  <c r="U33" i="22"/>
  <c r="U32" i="22"/>
  <c r="V31" i="22"/>
  <c r="V30" i="22"/>
  <c r="V29" i="22"/>
  <c r="V28" i="22"/>
  <c r="V27" i="22"/>
  <c r="U26" i="22"/>
  <c r="U17" i="22"/>
  <c r="V16" i="22"/>
  <c r="V15" i="22"/>
  <c r="B14" i="22"/>
  <c r="F14" i="22" s="1"/>
  <c r="V13" i="22"/>
  <c r="V12" i="22"/>
  <c r="B12" i="22"/>
  <c r="F12" i="22" s="1"/>
  <c r="U11" i="22"/>
  <c r="V11" i="22" s="1"/>
  <c r="F11" i="22"/>
  <c r="F10" i="22"/>
  <c r="F9" i="22"/>
  <c r="R3" i="22"/>
  <c r="N3" i="22"/>
  <c r="M17" i="22" s="1"/>
  <c r="V2" i="22"/>
  <c r="U2" i="22"/>
  <c r="T2" i="22"/>
  <c r="S2" i="22"/>
  <c r="U7" i="22" s="1"/>
  <c r="Q2" i="22"/>
  <c r="F1" i="22"/>
  <c r="H4" i="22" s="1"/>
  <c r="D1" i="22"/>
  <c r="I3" i="22" s="1"/>
  <c r="F81" i="23"/>
  <c r="F80" i="23"/>
  <c r="H80" i="23" s="1"/>
  <c r="J80" i="23" s="1"/>
  <c r="K80" i="23" s="1"/>
  <c r="F79" i="23"/>
  <c r="H79" i="23" s="1"/>
  <c r="J79" i="23" s="1"/>
  <c r="K79" i="23" s="1"/>
  <c r="F78" i="23"/>
  <c r="H78" i="23" s="1"/>
  <c r="J78" i="23" s="1"/>
  <c r="F77" i="23"/>
  <c r="H77" i="23" s="1"/>
  <c r="J77" i="23" s="1"/>
  <c r="B77" i="23"/>
  <c r="F76" i="23"/>
  <c r="D76" i="23" s="1"/>
  <c r="J75" i="23"/>
  <c r="K75" i="23" s="1"/>
  <c r="F75" i="23"/>
  <c r="D75" i="23" s="1"/>
  <c r="F74" i="23"/>
  <c r="D74" i="23" s="1"/>
  <c r="F73" i="23"/>
  <c r="D73" i="23" s="1"/>
  <c r="E72" i="23"/>
  <c r="E71" i="23"/>
  <c r="E70" i="23"/>
  <c r="E69" i="23"/>
  <c r="J69" i="23" s="1"/>
  <c r="K69" i="23" s="1"/>
  <c r="F66" i="23"/>
  <c r="D62" i="23"/>
  <c r="F56" i="23"/>
  <c r="J55" i="23"/>
  <c r="I49" i="23"/>
  <c r="I48" i="23"/>
  <c r="I47" i="23"/>
  <c r="I46" i="23"/>
  <c r="K45" i="23"/>
  <c r="K44" i="23"/>
  <c r="K43" i="23"/>
  <c r="K42" i="23"/>
  <c r="K41" i="23"/>
  <c r="K40" i="23"/>
  <c r="J39" i="23"/>
  <c r="J38" i="23"/>
  <c r="J37" i="23"/>
  <c r="J36" i="23"/>
  <c r="J27" i="23"/>
  <c r="J26" i="23"/>
  <c r="J24" i="23"/>
  <c r="J18" i="23"/>
  <c r="B14" i="23"/>
  <c r="I14" i="23" s="1"/>
  <c r="B13" i="23"/>
  <c r="B8" i="23"/>
  <c r="G3" i="23"/>
  <c r="K2" i="23"/>
  <c r="J2" i="23"/>
  <c r="I2" i="23"/>
  <c r="J14" i="23" s="1"/>
  <c r="H2" i="23"/>
  <c r="I31" i="23" s="1"/>
  <c r="F2" i="23"/>
  <c r="F79" i="2"/>
  <c r="F78" i="2"/>
  <c r="H78" i="2" s="1"/>
  <c r="J78" i="2" s="1"/>
  <c r="K78" i="2" s="1"/>
  <c r="F77" i="2"/>
  <c r="H77" i="2" s="1"/>
  <c r="J77" i="2" s="1"/>
  <c r="K77" i="2" s="1"/>
  <c r="F76" i="2"/>
  <c r="H76" i="2" s="1"/>
  <c r="J76" i="2" s="1"/>
  <c r="F75" i="2"/>
  <c r="H75" i="2" s="1"/>
  <c r="B75" i="2"/>
  <c r="F74" i="2"/>
  <c r="D74" i="2" s="1"/>
  <c r="J73" i="2"/>
  <c r="K73" i="2" s="1"/>
  <c r="F73" i="2"/>
  <c r="D73" i="2" s="1"/>
  <c r="F72" i="2"/>
  <c r="D72" i="2" s="1"/>
  <c r="F71" i="2"/>
  <c r="D71" i="2" s="1"/>
  <c r="E70" i="2"/>
  <c r="E69" i="2"/>
  <c r="E68" i="2"/>
  <c r="E67" i="2"/>
  <c r="D61" i="2"/>
  <c r="F55" i="2"/>
  <c r="J54" i="2"/>
  <c r="J48" i="2"/>
  <c r="J47" i="2"/>
  <c r="J46" i="2"/>
  <c r="J45" i="2"/>
  <c r="J43" i="2"/>
  <c r="J42" i="2"/>
  <c r="J41" i="2"/>
  <c r="J40" i="2"/>
  <c r="K39" i="2"/>
  <c r="K38" i="2"/>
  <c r="K37" i="2"/>
  <c r="K36" i="2"/>
  <c r="K35" i="2"/>
  <c r="J26" i="2"/>
  <c r="J25" i="2"/>
  <c r="J23" i="2"/>
  <c r="J17" i="2"/>
  <c r="B13" i="2"/>
  <c r="F13" i="2" s="1"/>
  <c r="I13" i="2" s="1"/>
  <c r="B12" i="2"/>
  <c r="F12" i="2" s="1"/>
  <c r="I12" i="2" s="1"/>
  <c r="G3" i="2"/>
  <c r="K2" i="2"/>
  <c r="J2" i="2"/>
  <c r="W1" i="5" s="1"/>
  <c r="I2" i="2"/>
  <c r="J13" i="2" s="1"/>
  <c r="H2" i="2"/>
  <c r="J6" i="2" s="1"/>
  <c r="F2" i="2"/>
  <c r="W75" i="3"/>
  <c r="AC71" i="3"/>
  <c r="T69" i="3"/>
  <c r="T65" i="3"/>
  <c r="A68" i="24" s="1"/>
  <c r="E68" i="24" s="1"/>
  <c r="W56" i="3"/>
  <c r="AC53" i="3"/>
  <c r="T51" i="3"/>
  <c r="T47" i="3"/>
  <c r="A29" i="24" s="1"/>
  <c r="G29" i="24" s="1"/>
  <c r="BM46" i="3"/>
  <c r="BI46" i="3"/>
  <c r="AX46" i="3"/>
  <c r="AZ45" i="3"/>
  <c r="BK38" i="3"/>
  <c r="BA36" i="3"/>
  <c r="BH25" i="3"/>
  <c r="AW25" i="3"/>
  <c r="G6" i="1"/>
  <c r="H6" i="1" s="1"/>
  <c r="B22" i="23" s="1"/>
  <c r="K22" i="23" s="1"/>
  <c r="H3" i="1"/>
  <c r="BK57" i="26" l="1"/>
  <c r="BJ57" i="26"/>
  <c r="BK126" i="26"/>
  <c r="BJ126" i="26"/>
  <c r="BK56" i="26"/>
  <c r="BJ56" i="26"/>
  <c r="BK127" i="26"/>
  <c r="BJ127" i="26"/>
  <c r="BK129" i="26"/>
  <c r="BP129" i="26" s="1"/>
  <c r="BQ129" i="26" s="1"/>
  <c r="BJ129" i="26"/>
  <c r="BK58" i="26"/>
  <c r="BJ58" i="26"/>
  <c r="BK128" i="26"/>
  <c r="BJ128" i="26"/>
  <c r="BC4" i="26"/>
  <c r="BD4" i="26" s="1"/>
  <c r="BE4" i="26" s="1"/>
  <c r="BA4" i="26" s="1"/>
  <c r="F84" i="2"/>
  <c r="A62" i="24"/>
  <c r="F62" i="24" s="1"/>
  <c r="H15" i="23"/>
  <c r="D4" i="25"/>
  <c r="D3" i="25"/>
  <c r="D3" i="22"/>
  <c r="D4" i="22"/>
  <c r="F5" i="26"/>
  <c r="F7" i="26"/>
  <c r="F8" i="26"/>
  <c r="F6" i="26"/>
  <c r="F4" i="26"/>
  <c r="F3" i="26"/>
  <c r="N9" i="24"/>
  <c r="AE9" i="24"/>
  <c r="BH118" i="26"/>
  <c r="V134" i="26"/>
  <c r="F97" i="26"/>
  <c r="AE5" i="24"/>
  <c r="BH47" i="26"/>
  <c r="BQ88" i="26"/>
  <c r="I68" i="2"/>
  <c r="J68" i="2" s="1"/>
  <c r="K68" i="2" s="1"/>
  <c r="B17" i="2"/>
  <c r="K17" i="2" s="1"/>
  <c r="B6" i="2"/>
  <c r="B26" i="2"/>
  <c r="K26" i="2" s="1"/>
  <c r="AA38" i="11"/>
  <c r="F8" i="24"/>
  <c r="M7" i="25"/>
  <c r="Q7" i="25" s="1"/>
  <c r="M51" i="25"/>
  <c r="S67" i="25"/>
  <c r="U67" i="25" s="1"/>
  <c r="V67" i="25" s="1"/>
  <c r="P60" i="25"/>
  <c r="L69" i="24"/>
  <c r="P59" i="26"/>
  <c r="AW72" i="26"/>
  <c r="P58" i="26"/>
  <c r="P61" i="22"/>
  <c r="L38" i="24"/>
  <c r="L70" i="24"/>
  <c r="P57" i="26"/>
  <c r="BP122" i="26"/>
  <c r="BQ122" i="26" s="1"/>
  <c r="P127" i="26"/>
  <c r="P60" i="22"/>
  <c r="L36" i="24"/>
  <c r="E75" i="23"/>
  <c r="P61" i="25"/>
  <c r="L35" i="24"/>
  <c r="P129" i="26"/>
  <c r="P130" i="26"/>
  <c r="J70" i="23"/>
  <c r="K70" i="23" s="1"/>
  <c r="V17" i="22"/>
  <c r="O40" i="24"/>
  <c r="Q40" i="24" s="1"/>
  <c r="U56" i="22"/>
  <c r="V56" i="22" s="1"/>
  <c r="BP51" i="26"/>
  <c r="BQ51" i="26" s="1"/>
  <c r="U55" i="25"/>
  <c r="V55" i="25" s="1"/>
  <c r="V63" i="25"/>
  <c r="E29" i="24"/>
  <c r="E74" i="2"/>
  <c r="H8" i="22"/>
  <c r="M6" i="25"/>
  <c r="Q6" i="25" s="1"/>
  <c r="BP123" i="26"/>
  <c r="BQ123" i="26" s="1"/>
  <c r="K13" i="2"/>
  <c r="B60" i="2"/>
  <c r="J8" i="23"/>
  <c r="K8" i="23" s="1"/>
  <c r="J31" i="23"/>
  <c r="E73" i="23"/>
  <c r="M7" i="22"/>
  <c r="V7" i="22" s="1"/>
  <c r="M14" i="25"/>
  <c r="V14" i="25" s="1"/>
  <c r="U21" i="25"/>
  <c r="V21" i="25" s="1"/>
  <c r="M119" i="26"/>
  <c r="AA38" i="5"/>
  <c r="J6" i="23"/>
  <c r="U57" i="22"/>
  <c r="V57" i="22" s="1"/>
  <c r="BN63" i="26"/>
  <c r="BP63" i="26" s="1"/>
  <c r="BQ63" i="26" s="1"/>
  <c r="BP125" i="26"/>
  <c r="BQ125" i="26" s="1"/>
  <c r="BN134" i="26"/>
  <c r="BP134" i="26" s="1"/>
  <c r="BQ134" i="26" s="1"/>
  <c r="J9" i="23"/>
  <c r="I32" i="23"/>
  <c r="G4" i="22"/>
  <c r="U56" i="25"/>
  <c r="V56" i="25" s="1"/>
  <c r="BP23" i="26"/>
  <c r="BQ23" i="26" s="1"/>
  <c r="J12" i="2"/>
  <c r="K12" i="2" s="1"/>
  <c r="B21" i="2"/>
  <c r="K21" i="2" s="1"/>
  <c r="E71" i="2"/>
  <c r="K14" i="23"/>
  <c r="E76" i="23"/>
  <c r="B1" i="22"/>
  <c r="G3" i="22"/>
  <c r="E4" i="22"/>
  <c r="B13" i="22" s="1"/>
  <c r="F13" i="22" s="1"/>
  <c r="U6" i="22"/>
  <c r="U58" i="25"/>
  <c r="V58" i="25" s="1"/>
  <c r="F29" i="24"/>
  <c r="L37" i="24"/>
  <c r="A65" i="24"/>
  <c r="E65" i="24" s="1"/>
  <c r="P65" i="24"/>
  <c r="Q65" i="24" s="1"/>
  <c r="R65" i="24" s="1"/>
  <c r="S65" i="24" s="1"/>
  <c r="L71" i="24"/>
  <c r="BP6" i="26"/>
  <c r="M48" i="26"/>
  <c r="N74" i="26"/>
  <c r="M77" i="26" s="1"/>
  <c r="Q77" i="26" s="1"/>
  <c r="BI73" i="26"/>
  <c r="AW74" i="26"/>
  <c r="AX77" i="26" s="1"/>
  <c r="BQ133" i="26"/>
  <c r="B7" i="2"/>
  <c r="F7" i="2" s="1"/>
  <c r="I70" i="2"/>
  <c r="J70" i="2" s="1"/>
  <c r="K70" i="2" s="1"/>
  <c r="H3" i="22"/>
  <c r="A69" i="24"/>
  <c r="E69" i="24" s="1"/>
  <c r="N6" i="5"/>
  <c r="G30" i="10"/>
  <c r="H30" i="10" s="1"/>
  <c r="L21" i="11" s="1"/>
  <c r="M21" i="11" s="1"/>
  <c r="F14" i="2"/>
  <c r="B53" i="2"/>
  <c r="F8" i="23"/>
  <c r="F14" i="23"/>
  <c r="I4" i="22"/>
  <c r="U58" i="22"/>
  <c r="V58" i="22" s="1"/>
  <c r="V66" i="25"/>
  <c r="BI3" i="26"/>
  <c r="BH8" i="26" s="1"/>
  <c r="BP8" i="26"/>
  <c r="AX75" i="26"/>
  <c r="U79" i="26"/>
  <c r="U80" i="26"/>
  <c r="V80" i="26" s="1"/>
  <c r="BH92" i="26"/>
  <c r="BH94" i="26" s="1"/>
  <c r="BH95" i="26" s="1"/>
  <c r="U126" i="26"/>
  <c r="V126" i="26" s="1"/>
  <c r="D2" i="13"/>
  <c r="D6" i="13" s="1"/>
  <c r="D7" i="13" s="1"/>
  <c r="B25" i="2"/>
  <c r="K25" i="2" s="1"/>
  <c r="I8" i="23"/>
  <c r="J32" i="23"/>
  <c r="J4" i="22"/>
  <c r="G8" i="22"/>
  <c r="V63" i="22"/>
  <c r="M17" i="25"/>
  <c r="V17" i="25" s="1"/>
  <c r="AB15" i="24"/>
  <c r="AE10" i="24" s="1"/>
  <c r="R39" i="24"/>
  <c r="S39" i="24" s="1"/>
  <c r="U9" i="26"/>
  <c r="V9" i="26" s="1"/>
  <c r="U22" i="26"/>
  <c r="BP52" i="26"/>
  <c r="BQ52" i="26" s="1"/>
  <c r="U123" i="26"/>
  <c r="V123" i="26" s="1"/>
  <c r="U124" i="26"/>
  <c r="V124" i="26" s="1"/>
  <c r="S135" i="26"/>
  <c r="U135" i="26" s="1"/>
  <c r="V135" i="26" s="1"/>
  <c r="N6" i="11"/>
  <c r="Y24" i="11" s="1"/>
  <c r="F2" i="13"/>
  <c r="F6" i="13" s="1"/>
  <c r="F7" i="13" s="1"/>
  <c r="V132" i="26"/>
  <c r="U52" i="26"/>
  <c r="V52" i="26" s="1"/>
  <c r="V66" i="22"/>
  <c r="U55" i="26"/>
  <c r="V55" i="26" s="1"/>
  <c r="V63" i="26"/>
  <c r="BQ131" i="26"/>
  <c r="E74" i="23"/>
  <c r="M64" i="22"/>
  <c r="BP59" i="26"/>
  <c r="BQ59" i="26" s="1"/>
  <c r="B6" i="23"/>
  <c r="B19" i="23"/>
  <c r="I74" i="23"/>
  <c r="F86" i="23"/>
  <c r="H81" i="23"/>
  <c r="J81" i="23" s="1"/>
  <c r="B61" i="23"/>
  <c r="U55" i="22"/>
  <c r="V55" i="22" s="1"/>
  <c r="I74" i="2"/>
  <c r="I71" i="2"/>
  <c r="B30" i="2"/>
  <c r="B22" i="2"/>
  <c r="K22" i="2" s="1"/>
  <c r="B18" i="2"/>
  <c r="K18" i="2" s="1"/>
  <c r="I72" i="2"/>
  <c r="I67" i="2"/>
  <c r="J67" i="2" s="1"/>
  <c r="K67" i="2" s="1"/>
  <c r="K23" i="2"/>
  <c r="B8" i="2"/>
  <c r="I69" i="2"/>
  <c r="J69" i="2" s="1"/>
  <c r="K69" i="2" s="1"/>
  <c r="B54" i="2"/>
  <c r="K54" i="2" s="1"/>
  <c r="B24" i="2"/>
  <c r="K24" i="2" s="1"/>
  <c r="B19" i="2"/>
  <c r="K19" i="2" s="1"/>
  <c r="H14" i="2"/>
  <c r="B20" i="2"/>
  <c r="K20" i="2" s="1"/>
  <c r="E72" i="2"/>
  <c r="E73" i="2"/>
  <c r="P62" i="22"/>
  <c r="U64" i="25"/>
  <c r="V64" i="25" s="1"/>
  <c r="AE4" i="24"/>
  <c r="M22" i="26"/>
  <c r="V60" i="26"/>
  <c r="I76" i="23"/>
  <c r="I73" i="23"/>
  <c r="B27" i="23"/>
  <c r="K27" i="23" s="1"/>
  <c r="B26" i="23"/>
  <c r="K26" i="23" s="1"/>
  <c r="B20" i="23"/>
  <c r="K20" i="23" s="1"/>
  <c r="I72" i="23"/>
  <c r="J72" i="23" s="1"/>
  <c r="K72" i="23" s="1"/>
  <c r="B55" i="23"/>
  <c r="K55" i="23" s="1"/>
  <c r="B54" i="23"/>
  <c r="B9" i="23"/>
  <c r="B31" i="23"/>
  <c r="B21" i="23"/>
  <c r="K21" i="23" s="1"/>
  <c r="P37" i="24"/>
  <c r="A36" i="24"/>
  <c r="E36" i="24" s="1"/>
  <c r="P35" i="24"/>
  <c r="P33" i="24"/>
  <c r="Q33" i="24" s="1"/>
  <c r="R33" i="24" s="1"/>
  <c r="S33" i="24" s="1"/>
  <c r="P32" i="24"/>
  <c r="Q32" i="24" s="1"/>
  <c r="R32" i="24" s="1"/>
  <c r="S32" i="24" s="1"/>
  <c r="A35" i="24"/>
  <c r="E35" i="24" s="1"/>
  <c r="A32" i="24"/>
  <c r="E32" i="24" s="1"/>
  <c r="P31" i="24"/>
  <c r="Q31" i="24" s="1"/>
  <c r="R31" i="24" s="1"/>
  <c r="P36" i="24"/>
  <c r="A28" i="24"/>
  <c r="J7" i="2"/>
  <c r="J31" i="2"/>
  <c r="J8" i="2"/>
  <c r="B7" i="23"/>
  <c r="J13" i="23"/>
  <c r="K13" i="23" s="1"/>
  <c r="K24" i="23"/>
  <c r="J4" i="25"/>
  <c r="B1" i="25"/>
  <c r="H8" i="25"/>
  <c r="I4" i="25"/>
  <c r="G4" i="25"/>
  <c r="W1" i="11"/>
  <c r="I54" i="23"/>
  <c r="J54" i="23" s="1"/>
  <c r="G8" i="25"/>
  <c r="U57" i="25"/>
  <c r="V57" i="25" s="1"/>
  <c r="P62" i="25"/>
  <c r="Q72" i="24"/>
  <c r="R72" i="24" s="1"/>
  <c r="S72" i="24" s="1"/>
  <c r="J30" i="2"/>
  <c r="J75" i="2"/>
  <c r="K75" i="2" s="1"/>
  <c r="I13" i="23"/>
  <c r="I15" i="23" s="1"/>
  <c r="F13" i="23"/>
  <c r="B18" i="23"/>
  <c r="K18" i="23" s="1"/>
  <c r="I71" i="23"/>
  <c r="J71" i="23" s="1"/>
  <c r="K71" i="23" s="1"/>
  <c r="P59" i="22"/>
  <c r="G3" i="25"/>
  <c r="E4" i="25"/>
  <c r="I3" i="25"/>
  <c r="H3" i="25"/>
  <c r="H4" i="25"/>
  <c r="K13" i="24"/>
  <c r="N10" i="24" s="1"/>
  <c r="O4" i="24" s="1"/>
  <c r="M84" i="24"/>
  <c r="O73" i="24"/>
  <c r="Q73" i="24" s="1"/>
  <c r="BK55" i="26"/>
  <c r="BQ62" i="26"/>
  <c r="M95" i="26"/>
  <c r="M96" i="26" s="1"/>
  <c r="A70" i="24"/>
  <c r="E70" i="24" s="1"/>
  <c r="P69" i="24"/>
  <c r="A61" i="24"/>
  <c r="K77" i="23"/>
  <c r="M21" i="22"/>
  <c r="M6" i="22"/>
  <c r="M14" i="22"/>
  <c r="V14" i="22" s="1"/>
  <c r="U21" i="22"/>
  <c r="U22" i="22"/>
  <c r="F10" i="24"/>
  <c r="N6" i="24" s="1"/>
  <c r="P66" i="24"/>
  <c r="Q66" i="24" s="1"/>
  <c r="R66" i="24" s="1"/>
  <c r="S66" i="24" s="1"/>
  <c r="L68" i="24"/>
  <c r="P70" i="24"/>
  <c r="AX5" i="26"/>
  <c r="AW3" i="26"/>
  <c r="BH24" i="26"/>
  <c r="BH25" i="26" s="1"/>
  <c r="BP54" i="26"/>
  <c r="BQ54" i="26" s="1"/>
  <c r="BP130" i="26"/>
  <c r="BQ130" i="26" s="1"/>
  <c r="I5" i="5"/>
  <c r="I53" i="2"/>
  <c r="J53" i="2" s="1"/>
  <c r="H79" i="2"/>
  <c r="J79" i="2" s="1"/>
  <c r="J7" i="23"/>
  <c r="M51" i="22"/>
  <c r="S67" i="22"/>
  <c r="U67" i="22" s="1"/>
  <c r="U7" i="25"/>
  <c r="U6" i="25"/>
  <c r="M22" i="25"/>
  <c r="S23" i="25" s="1"/>
  <c r="Q21" i="25"/>
  <c r="P59" i="25"/>
  <c r="P64" i="24"/>
  <c r="Q64" i="24" s="1"/>
  <c r="R64" i="24" s="1"/>
  <c r="P68" i="24"/>
  <c r="P56" i="26"/>
  <c r="AW1" i="26"/>
  <c r="U95" i="26"/>
  <c r="BP92" i="26"/>
  <c r="BP80" i="26"/>
  <c r="U78" i="26"/>
  <c r="BP76" i="26"/>
  <c r="U77" i="26"/>
  <c r="BP24" i="26"/>
  <c r="BP22" i="26"/>
  <c r="BQ22" i="26" s="1"/>
  <c r="U93" i="26"/>
  <c r="V93" i="26" s="1"/>
  <c r="BP10" i="26"/>
  <c r="U10" i="26"/>
  <c r="BP9" i="26"/>
  <c r="BQ9" i="26" s="1"/>
  <c r="U8" i="26"/>
  <c r="BP7" i="26"/>
  <c r="AX3" i="26"/>
  <c r="U6" i="26"/>
  <c r="U7" i="26"/>
  <c r="U24" i="26"/>
  <c r="AX76" i="26"/>
  <c r="U81" i="26"/>
  <c r="BP93" i="26"/>
  <c r="BQ93" i="26" s="1"/>
  <c r="BQ60" i="26"/>
  <c r="S64" i="26"/>
  <c r="BP77" i="26"/>
  <c r="BP78" i="26"/>
  <c r="BP79" i="26"/>
  <c r="BQ79" i="26" s="1"/>
  <c r="U94" i="26"/>
  <c r="V94" i="26" s="1"/>
  <c r="BP94" i="26"/>
  <c r="P128" i="26"/>
  <c r="V61" i="26"/>
  <c r="AX74" i="26"/>
  <c r="V131" i="26"/>
  <c r="D3" i="11"/>
  <c r="E96" i="11" s="1"/>
  <c r="D3" i="5"/>
  <c r="E96" i="5" s="1"/>
  <c r="M89" i="26"/>
  <c r="V89" i="26" s="1"/>
  <c r="G29" i="10"/>
  <c r="H29" i="10" s="1"/>
  <c r="B18" i="6"/>
  <c r="C19" i="6" s="1"/>
  <c r="G27" i="4" s="1"/>
  <c r="B4" i="8"/>
  <c r="K6" i="5"/>
  <c r="G15" i="13"/>
  <c r="G16" i="13" s="1"/>
  <c r="B4" i="14"/>
  <c r="G20" i="7"/>
  <c r="G24" i="7" s="1"/>
  <c r="G25" i="7" s="1"/>
  <c r="H11" i="7"/>
  <c r="H15" i="7" s="1"/>
  <c r="H16" i="7" s="1"/>
  <c r="D11" i="7"/>
  <c r="D15" i="7" s="1"/>
  <c r="D16" i="7" s="1"/>
  <c r="G2" i="7"/>
  <c r="G6" i="7" s="1"/>
  <c r="G7" i="7" s="1"/>
  <c r="B2" i="9"/>
  <c r="F20" i="7"/>
  <c r="F24" i="7" s="1"/>
  <c r="G11" i="7"/>
  <c r="G15" i="7" s="1"/>
  <c r="G16" i="7" s="1"/>
  <c r="F2" i="7"/>
  <c r="F6" i="7" s="1"/>
  <c r="B5" i="8"/>
  <c r="E20" i="7"/>
  <c r="E24" i="7" s="1"/>
  <c r="E25" i="7" s="1"/>
  <c r="F11" i="7"/>
  <c r="F15" i="7" s="1"/>
  <c r="E2" i="7"/>
  <c r="E6" i="7" s="1"/>
  <c r="E7" i="7" s="1"/>
  <c r="D2" i="7"/>
  <c r="D6" i="7" s="1"/>
  <c r="D7" i="7" s="1"/>
  <c r="E11" i="7"/>
  <c r="E15" i="7" s="1"/>
  <c r="E16" i="7" s="1"/>
  <c r="K6" i="11"/>
  <c r="H2" i="7"/>
  <c r="H6" i="7" s="1"/>
  <c r="H7" i="7" s="1"/>
  <c r="D20" i="7"/>
  <c r="D24" i="7" s="1"/>
  <c r="D25" i="7" s="1"/>
  <c r="K23" i="13"/>
  <c r="Q16" i="13" s="1"/>
  <c r="G20" i="13"/>
  <c r="G24" i="13" s="1"/>
  <c r="G25" i="13" s="1"/>
  <c r="L14" i="13"/>
  <c r="H11" i="13"/>
  <c r="H15" i="13" s="1"/>
  <c r="H16" i="13" s="1"/>
  <c r="D11" i="13"/>
  <c r="D15" i="13" s="1"/>
  <c r="D16" i="13" s="1"/>
  <c r="G2" i="13"/>
  <c r="G6" i="13" s="1"/>
  <c r="G7" i="13" s="1"/>
  <c r="B2" i="15"/>
  <c r="F20" i="13"/>
  <c r="F24" i="13" s="1"/>
  <c r="F25" i="13" s="1"/>
  <c r="K14" i="13"/>
  <c r="B5" i="14"/>
  <c r="E20" i="13"/>
  <c r="E24" i="13" s="1"/>
  <c r="E25" i="13" s="1"/>
  <c r="F11" i="13"/>
  <c r="F15" i="13" s="1"/>
  <c r="F16" i="13" s="1"/>
  <c r="L6" i="13"/>
  <c r="E2" i="13"/>
  <c r="E6" i="13" s="1"/>
  <c r="E7" i="13" s="1"/>
  <c r="H2" i="13"/>
  <c r="H6" i="13" s="1"/>
  <c r="H7" i="13" s="1"/>
  <c r="D20" i="13"/>
  <c r="D24" i="13" s="1"/>
  <c r="D25" i="13" s="1"/>
  <c r="L23" i="13"/>
  <c r="R16" i="13" s="1"/>
  <c r="N8" i="11" s="1"/>
  <c r="M97" i="11" s="1"/>
  <c r="H24" i="7"/>
  <c r="H25" i="7" s="1"/>
  <c r="K6" i="13"/>
  <c r="E11" i="13"/>
  <c r="E15" i="13" s="1"/>
  <c r="E16" i="13" s="1"/>
  <c r="H20" i="13"/>
  <c r="H24" i="13" s="1"/>
  <c r="H25" i="13" s="1"/>
  <c r="BP56" i="26" l="1"/>
  <c r="BQ56" i="26" s="1"/>
  <c r="G62" i="24"/>
  <c r="E62" i="24"/>
  <c r="BP58" i="26"/>
  <c r="BQ58" i="26" s="1"/>
  <c r="BP127" i="26"/>
  <c r="BQ127" i="26" s="1"/>
  <c r="BP126" i="26"/>
  <c r="BQ126" i="26" s="1"/>
  <c r="BC74" i="26"/>
  <c r="BD74" i="26" s="1"/>
  <c r="BE74" i="26" s="1"/>
  <c r="BA74" i="26" s="1"/>
  <c r="BC76" i="26"/>
  <c r="BD76" i="26" s="1"/>
  <c r="BE76" i="26" s="1"/>
  <c r="BA76" i="26" s="1"/>
  <c r="BC5" i="26"/>
  <c r="BD5" i="26" s="1"/>
  <c r="BE5" i="26" s="1"/>
  <c r="BA5" i="26" s="1"/>
  <c r="BC3" i="26"/>
  <c r="BD3" i="26" s="1"/>
  <c r="BE3" i="26" s="1"/>
  <c r="BA3" i="26" s="1"/>
  <c r="BC75" i="26"/>
  <c r="BD75" i="26" s="1"/>
  <c r="BE75" i="26" s="1"/>
  <c r="BA75" i="26" s="1"/>
  <c r="Q70" i="24"/>
  <c r="R70" i="24" s="1"/>
  <c r="S70" i="24" s="1"/>
  <c r="Q8" i="25"/>
  <c r="A82" i="24"/>
  <c r="A48" i="24"/>
  <c r="H10" i="23"/>
  <c r="BD37" i="3"/>
  <c r="S68" i="25"/>
  <c r="O7" i="24"/>
  <c r="N18" i="24"/>
  <c r="N22" i="24" s="1"/>
  <c r="F24" i="26"/>
  <c r="U47" i="26" s="1"/>
  <c r="U119" i="26"/>
  <c r="U118" i="26"/>
  <c r="B97" i="26"/>
  <c r="B8" i="22"/>
  <c r="F8" i="22" s="1"/>
  <c r="V7" i="25"/>
  <c r="Q36" i="24"/>
  <c r="R36" i="24" s="1"/>
  <c r="S36" i="24" s="1"/>
  <c r="AX78" i="26"/>
  <c r="BA78" i="26" s="1"/>
  <c r="AX79" i="26"/>
  <c r="BA79" i="26" s="1"/>
  <c r="U127" i="26"/>
  <c r="V127" i="26" s="1"/>
  <c r="U59" i="26"/>
  <c r="V59" i="26" s="1"/>
  <c r="BQ92" i="26"/>
  <c r="Q69" i="24"/>
  <c r="R69" i="24" s="1"/>
  <c r="S69" i="24" s="1"/>
  <c r="AE6" i="24"/>
  <c r="AE12" i="24" s="1"/>
  <c r="AG23" i="3" s="1"/>
  <c r="V6" i="25"/>
  <c r="S8" i="25"/>
  <c r="V40" i="25" s="1"/>
  <c r="Q7" i="22"/>
  <c r="T7" i="22" s="1"/>
  <c r="S8" i="22"/>
  <c r="U130" i="26"/>
  <c r="V130" i="26" s="1"/>
  <c r="U57" i="26"/>
  <c r="V57" i="26" s="1"/>
  <c r="V18" i="25"/>
  <c r="U60" i="22"/>
  <c r="V60" i="22" s="1"/>
  <c r="J76" i="23"/>
  <c r="K76" i="23" s="1"/>
  <c r="Q37" i="24"/>
  <c r="R37" i="24" s="1"/>
  <c r="S37" i="24" s="1"/>
  <c r="U59" i="25"/>
  <c r="V59" i="25" s="1"/>
  <c r="B6" i="22"/>
  <c r="F6" i="22" s="1"/>
  <c r="K7" i="2"/>
  <c r="F69" i="24"/>
  <c r="J74" i="2"/>
  <c r="K74" i="2" s="1"/>
  <c r="AX82" i="26"/>
  <c r="BA82" i="26" s="1"/>
  <c r="B3" i="22"/>
  <c r="B5" i="22" s="1"/>
  <c r="F5" i="22" s="1"/>
  <c r="F15" i="23"/>
  <c r="AX83" i="26"/>
  <c r="BA83" i="26" s="1"/>
  <c r="O44" i="24"/>
  <c r="BH10" i="26"/>
  <c r="BQ10" i="26" s="1"/>
  <c r="BN64" i="26"/>
  <c r="V77" i="26"/>
  <c r="K53" i="2"/>
  <c r="K55" i="2" s="1"/>
  <c r="BN135" i="26"/>
  <c r="O77" i="24"/>
  <c r="M78" i="26"/>
  <c r="V78" i="26" s="1"/>
  <c r="U59" i="22"/>
  <c r="V59" i="22" s="1"/>
  <c r="B8" i="25"/>
  <c r="F8" i="25" s="1"/>
  <c r="B4" i="25"/>
  <c r="F4" i="25" s="1"/>
  <c r="M79" i="26"/>
  <c r="Q79" i="26" s="1"/>
  <c r="T79" i="26" s="1"/>
  <c r="M81" i="26"/>
  <c r="Q81" i="26" s="1"/>
  <c r="T81" i="26" s="1"/>
  <c r="BH17" i="26"/>
  <c r="BQ17" i="26" s="1"/>
  <c r="BH18" i="26"/>
  <c r="BQ18" i="26" s="1"/>
  <c r="J74" i="23"/>
  <c r="K74" i="23" s="1"/>
  <c r="BH77" i="26"/>
  <c r="BL77" i="26" s="1"/>
  <c r="BO77" i="26" s="1"/>
  <c r="BH80" i="26"/>
  <c r="BL80" i="26" s="1"/>
  <c r="BO80" i="26" s="1"/>
  <c r="BH78" i="26"/>
  <c r="BH76" i="26"/>
  <c r="H80" i="2"/>
  <c r="BH7" i="26"/>
  <c r="BL7" i="26" s="1"/>
  <c r="BO7" i="26" s="1"/>
  <c r="BH6" i="26"/>
  <c r="BQ6" i="26" s="1"/>
  <c r="B4" i="22"/>
  <c r="F4" i="22" s="1"/>
  <c r="B7" i="22"/>
  <c r="F7" i="22" s="1"/>
  <c r="S136" i="26"/>
  <c r="S68" i="22"/>
  <c r="N13" i="24"/>
  <c r="O5" i="24" s="1"/>
  <c r="O3" i="24"/>
  <c r="F16" i="7"/>
  <c r="L14" i="7" s="1"/>
  <c r="K14" i="7"/>
  <c r="K23" i="7"/>
  <c r="Q16" i="7" s="1"/>
  <c r="F25" i="7"/>
  <c r="L23" i="7" s="1"/>
  <c r="R16" i="7" s="1"/>
  <c r="N8" i="5" s="1"/>
  <c r="M97" i="5" s="1"/>
  <c r="K7" i="11"/>
  <c r="M24" i="11" s="1"/>
  <c r="L17" i="11"/>
  <c r="I20" i="11" s="1"/>
  <c r="K8" i="11"/>
  <c r="F8" i="2"/>
  <c r="K8" i="2"/>
  <c r="K27" i="2"/>
  <c r="B76" i="2"/>
  <c r="J71" i="2"/>
  <c r="K71" i="2" s="1"/>
  <c r="U128" i="26"/>
  <c r="V128" i="26" s="1"/>
  <c r="AX11" i="26"/>
  <c r="BA11" i="26" s="1"/>
  <c r="AX8" i="26"/>
  <c r="BA8" i="26" s="1"/>
  <c r="AX12" i="26"/>
  <c r="BA12" i="26" s="1"/>
  <c r="AX7" i="26"/>
  <c r="BA7" i="26" s="1"/>
  <c r="AX6" i="26"/>
  <c r="M88" i="26"/>
  <c r="V88" i="26" s="1"/>
  <c r="S96" i="26"/>
  <c r="Q95" i="26"/>
  <c r="Q96" i="26" s="1"/>
  <c r="V95" i="26"/>
  <c r="I5" i="11"/>
  <c r="K15" i="23"/>
  <c r="H27" i="4"/>
  <c r="L11" i="5" s="1"/>
  <c r="G30" i="4"/>
  <c r="H30" i="4" s="1"/>
  <c r="L21" i="5" s="1"/>
  <c r="M21" i="5" s="1"/>
  <c r="K14" i="2"/>
  <c r="T77" i="26"/>
  <c r="V21" i="22"/>
  <c r="M22" i="22"/>
  <c r="S23" i="22" s="1"/>
  <c r="Q21" i="22"/>
  <c r="BP55" i="26"/>
  <c r="BQ55" i="26" s="1"/>
  <c r="B3" i="25"/>
  <c r="U62" i="25"/>
  <c r="V62" i="25" s="1"/>
  <c r="H82" i="23"/>
  <c r="I7" i="23"/>
  <c r="K7" i="23"/>
  <c r="F7" i="23"/>
  <c r="S31" i="24"/>
  <c r="M7" i="26"/>
  <c r="M17" i="26"/>
  <c r="V17" i="26" s="1"/>
  <c r="M8" i="26"/>
  <c r="M18" i="26"/>
  <c r="V18" i="26" s="1"/>
  <c r="M6" i="26"/>
  <c r="M10" i="26"/>
  <c r="U62" i="22"/>
  <c r="V62" i="22" s="1"/>
  <c r="I19" i="11"/>
  <c r="K8" i="5"/>
  <c r="K7" i="5"/>
  <c r="F33" i="11"/>
  <c r="AA33" i="11" s="1"/>
  <c r="F34" i="11"/>
  <c r="AA34" i="11" s="1"/>
  <c r="F29" i="11"/>
  <c r="AA29" i="11" s="1"/>
  <c r="F25" i="11"/>
  <c r="AA25" i="11" s="1"/>
  <c r="G13" i="11"/>
  <c r="F35" i="11"/>
  <c r="AA35" i="11" s="1"/>
  <c r="G11" i="11"/>
  <c r="G12" i="11"/>
  <c r="F24" i="11"/>
  <c r="G21" i="11"/>
  <c r="G18" i="11"/>
  <c r="G17" i="11"/>
  <c r="A81" i="24"/>
  <c r="G61" i="24"/>
  <c r="F61" i="24"/>
  <c r="A63" i="24"/>
  <c r="A76" i="24" s="1"/>
  <c r="E61" i="24"/>
  <c r="A30" i="24"/>
  <c r="A43" i="24" s="1"/>
  <c r="A45" i="24" s="1"/>
  <c r="E28" i="24"/>
  <c r="A47" i="24"/>
  <c r="G28" i="24"/>
  <c r="F28" i="24"/>
  <c r="F9" i="23"/>
  <c r="K9" i="23"/>
  <c r="I9" i="23"/>
  <c r="I6" i="23"/>
  <c r="F6" i="23"/>
  <c r="K6" i="23"/>
  <c r="U64" i="26"/>
  <c r="V64" i="26" s="1"/>
  <c r="S65" i="26"/>
  <c r="I19" i="5"/>
  <c r="BN25" i="26"/>
  <c r="BQ24" i="26"/>
  <c r="BQ25" i="26" s="1"/>
  <c r="BL24" i="26"/>
  <c r="BL25" i="26" s="1"/>
  <c r="V6" i="22"/>
  <c r="Q6" i="22"/>
  <c r="B6" i="25"/>
  <c r="F6" i="25" s="1"/>
  <c r="B13" i="25"/>
  <c r="F13" i="25" s="1"/>
  <c r="V18" i="22"/>
  <c r="K54" i="23"/>
  <c r="K56" i="23" s="1"/>
  <c r="M67" i="22"/>
  <c r="V67" i="22" s="1"/>
  <c r="V64" i="22"/>
  <c r="C18" i="9"/>
  <c r="C15" i="9"/>
  <c r="F16" i="9" s="1"/>
  <c r="B19" i="6" s="1"/>
  <c r="C14" i="9"/>
  <c r="C8" i="9"/>
  <c r="C10" i="9"/>
  <c r="C7" i="9"/>
  <c r="F8" i="9" s="1"/>
  <c r="I11" i="5" s="1"/>
  <c r="M38" i="5" s="1"/>
  <c r="C16" i="9"/>
  <c r="C6" i="9"/>
  <c r="Q68" i="24"/>
  <c r="R68" i="24" s="1"/>
  <c r="S68" i="24" s="1"/>
  <c r="I73" i="24"/>
  <c r="C18" i="15"/>
  <c r="C15" i="15"/>
  <c r="F16" i="15" s="1"/>
  <c r="B19" i="12" s="1"/>
  <c r="C14" i="15"/>
  <c r="C8" i="15"/>
  <c r="C10" i="15"/>
  <c r="C7" i="15"/>
  <c r="F8" i="15" s="1"/>
  <c r="I11" i="11" s="1"/>
  <c r="M38" i="11" s="1"/>
  <c r="C6" i="15"/>
  <c r="C16" i="15"/>
  <c r="F7" i="7"/>
  <c r="L6" i="7" s="1"/>
  <c r="K6" i="7"/>
  <c r="BN95" i="26"/>
  <c r="BL94" i="26"/>
  <c r="BL95" i="26" s="1"/>
  <c r="BQ94" i="26"/>
  <c r="BH87" i="26"/>
  <c r="BQ87" i="26" s="1"/>
  <c r="U56" i="26"/>
  <c r="V56" i="26" s="1"/>
  <c r="S64" i="24"/>
  <c r="V22" i="25"/>
  <c r="Q22" i="25"/>
  <c r="Q23" i="25" s="1"/>
  <c r="M23" i="25"/>
  <c r="B7" i="25"/>
  <c r="F7" i="25" s="1"/>
  <c r="I40" i="24"/>
  <c r="Q35" i="24"/>
  <c r="R35" i="24" s="1"/>
  <c r="S35" i="24" s="1"/>
  <c r="B32" i="23"/>
  <c r="H33" i="23" s="1"/>
  <c r="F31" i="23"/>
  <c r="K31" i="23"/>
  <c r="B78" i="23"/>
  <c r="J73" i="23"/>
  <c r="K73" i="23" s="1"/>
  <c r="V22" i="26"/>
  <c r="M24" i="26"/>
  <c r="F6" i="2"/>
  <c r="H9" i="2"/>
  <c r="K6" i="2"/>
  <c r="J72" i="2"/>
  <c r="K72" i="2" s="1"/>
  <c r="K30" i="2"/>
  <c r="F30" i="2"/>
  <c r="B31" i="2"/>
  <c r="B32" i="2" s="1"/>
  <c r="BL8" i="26"/>
  <c r="BO8" i="26" s="1"/>
  <c r="BQ8" i="26"/>
  <c r="B23" i="23"/>
  <c r="K23" i="23" s="1"/>
  <c r="B25" i="23"/>
  <c r="K25" i="23" s="1"/>
  <c r="K19" i="23"/>
  <c r="M40" i="22" l="1"/>
  <c r="V40" i="22" s="1"/>
  <c r="AM15" i="25"/>
  <c r="M43" i="25" s="1"/>
  <c r="V43" i="25" s="1"/>
  <c r="AM14" i="25"/>
  <c r="AM8" i="25"/>
  <c r="M34" i="25" s="1"/>
  <c r="V34" i="25" s="1"/>
  <c r="AM13" i="25"/>
  <c r="AM5" i="25"/>
  <c r="AM10" i="25"/>
  <c r="AM12" i="25"/>
  <c r="M42" i="25" s="1"/>
  <c r="V42" i="25" s="1"/>
  <c r="AM11" i="25"/>
  <c r="AM16" i="25"/>
  <c r="BQ135" i="26"/>
  <c r="V8" i="25"/>
  <c r="M24" i="5"/>
  <c r="M34" i="5" s="1"/>
  <c r="Y24" i="5"/>
  <c r="A75" i="24"/>
  <c r="A77" i="24"/>
  <c r="A86" i="24"/>
  <c r="E82" i="24"/>
  <c r="G82" i="24"/>
  <c r="F82" i="24"/>
  <c r="A83" i="24"/>
  <c r="E83" i="24" s="1"/>
  <c r="A41" i="24"/>
  <c r="A42" i="24"/>
  <c r="A44" i="24"/>
  <c r="G48" i="24"/>
  <c r="F48" i="24"/>
  <c r="E48" i="24"/>
  <c r="A49" i="24"/>
  <c r="E49" i="24" s="1"/>
  <c r="A52" i="24"/>
  <c r="M41" i="25"/>
  <c r="V41" i="25" s="1"/>
  <c r="M44" i="25"/>
  <c r="V44" i="25" s="1"/>
  <c r="BQ95" i="26"/>
  <c r="B24" i="26"/>
  <c r="V81" i="26"/>
  <c r="BQ7" i="26"/>
  <c r="BQ11" i="26" s="1"/>
  <c r="AS37" i="3"/>
  <c r="U48" i="26"/>
  <c r="F3" i="22"/>
  <c r="F15" i="22" s="1"/>
  <c r="AM7" i="25"/>
  <c r="M26" i="25" s="1"/>
  <c r="V26" i="25" s="1"/>
  <c r="M23" i="22"/>
  <c r="V136" i="26"/>
  <c r="S82" i="26"/>
  <c r="V79" i="26"/>
  <c r="Q78" i="26"/>
  <c r="T78" i="26" s="1"/>
  <c r="T82" i="26" s="1"/>
  <c r="BN11" i="26"/>
  <c r="BQ37" i="26" s="1"/>
  <c r="BL6" i="26"/>
  <c r="BO6" i="26" s="1"/>
  <c r="BA85" i="26"/>
  <c r="BP117" i="26" s="1"/>
  <c r="BQ117" i="26" s="1"/>
  <c r="BP118" i="26" s="1"/>
  <c r="BQ118" i="26" s="1"/>
  <c r="BQ119" i="26" s="1"/>
  <c r="BL10" i="26"/>
  <c r="BO10" i="26" s="1"/>
  <c r="BQ80" i="26"/>
  <c r="BA14" i="26"/>
  <c r="BP46" i="26" s="1"/>
  <c r="BQ46" i="26" s="1"/>
  <c r="BL76" i="26"/>
  <c r="BQ76" i="26"/>
  <c r="BN81" i="26"/>
  <c r="BQ107" i="26" s="1"/>
  <c r="BQ78" i="26"/>
  <c r="BL78" i="26"/>
  <c r="BO78" i="26" s="1"/>
  <c r="BQ77" i="26"/>
  <c r="BQ19" i="26"/>
  <c r="V68" i="22"/>
  <c r="V65" i="26"/>
  <c r="Q8" i="22"/>
  <c r="T6" i="22"/>
  <c r="T8" i="22" s="1"/>
  <c r="E63" i="24"/>
  <c r="A64" i="24"/>
  <c r="A66" i="24"/>
  <c r="E66" i="24" s="1"/>
  <c r="G63" i="24"/>
  <c r="F63" i="24"/>
  <c r="B79" i="2"/>
  <c r="K79" i="2" s="1"/>
  <c r="K76" i="2"/>
  <c r="Q20" i="11"/>
  <c r="P20" i="11"/>
  <c r="S20" i="11" s="1"/>
  <c r="R20" i="11"/>
  <c r="K9" i="2"/>
  <c r="V23" i="25"/>
  <c r="M28" i="11"/>
  <c r="AB28" i="11" s="1"/>
  <c r="R11" i="11"/>
  <c r="Q11" i="11"/>
  <c r="P11" i="11"/>
  <c r="I21" i="11"/>
  <c r="T21" i="11" s="1"/>
  <c r="U21" i="11" s="1"/>
  <c r="V21" i="11" s="1"/>
  <c r="X21" i="11" s="1"/>
  <c r="AB38" i="11"/>
  <c r="S31" i="12"/>
  <c r="U31" i="12" s="1"/>
  <c r="K31" i="12"/>
  <c r="C31" i="12"/>
  <c r="V8" i="22"/>
  <c r="K10" i="23"/>
  <c r="I17" i="11"/>
  <c r="I16" i="11"/>
  <c r="I12" i="11"/>
  <c r="Q19" i="11"/>
  <c r="P19" i="11"/>
  <c r="R19" i="11"/>
  <c r="V8" i="26"/>
  <c r="Q8" i="26"/>
  <c r="T8" i="26" s="1"/>
  <c r="BQ64" i="26"/>
  <c r="V24" i="26"/>
  <c r="S25" i="26"/>
  <c r="Q24" i="26"/>
  <c r="Q25" i="26" s="1"/>
  <c r="AB38" i="5"/>
  <c r="I21" i="5"/>
  <c r="Q11" i="5"/>
  <c r="P11" i="5"/>
  <c r="R11" i="5"/>
  <c r="K31" i="6"/>
  <c r="S31" i="6"/>
  <c r="U31" i="6" s="1"/>
  <c r="C31" i="6"/>
  <c r="Q19" i="5"/>
  <c r="P19" i="5"/>
  <c r="R19" i="5"/>
  <c r="F10" i="23"/>
  <c r="E47" i="24"/>
  <c r="A50" i="24"/>
  <c r="E50" i="24" s="1"/>
  <c r="I18" i="11"/>
  <c r="AA24" i="11"/>
  <c r="M30" i="11"/>
  <c r="AB30" i="11" s="1"/>
  <c r="M37" i="11"/>
  <c r="AB37" i="11" s="1"/>
  <c r="M29" i="11"/>
  <c r="AB29" i="11" s="1"/>
  <c r="M33" i="11"/>
  <c r="AB33" i="11" s="1"/>
  <c r="M32" i="11"/>
  <c r="AB32" i="11" s="1"/>
  <c r="V10" i="26"/>
  <c r="Q10" i="26"/>
  <c r="T10" i="26" s="1"/>
  <c r="V19" i="26"/>
  <c r="V22" i="22"/>
  <c r="V23" i="22" s="1"/>
  <c r="Q22" i="22"/>
  <c r="Q23" i="22" s="1"/>
  <c r="G29" i="4"/>
  <c r="H29" i="4" s="1"/>
  <c r="V68" i="25"/>
  <c r="AG2" i="3"/>
  <c r="K32" i="23"/>
  <c r="F32" i="23"/>
  <c r="F33" i="23" s="1"/>
  <c r="BQ89" i="26"/>
  <c r="I76" i="24"/>
  <c r="R76" i="24" s="1"/>
  <c r="S76" i="24" s="1"/>
  <c r="R73" i="24"/>
  <c r="S73" i="24" s="1"/>
  <c r="A33" i="24"/>
  <c r="E33" i="24" s="1"/>
  <c r="G30" i="24"/>
  <c r="F30" i="24"/>
  <c r="A40" i="24" s="1"/>
  <c r="A31" i="24"/>
  <c r="E30" i="24"/>
  <c r="K97" i="5"/>
  <c r="T8" i="5"/>
  <c r="U8" i="5" s="1"/>
  <c r="F37" i="11"/>
  <c r="AA37" i="11" s="1"/>
  <c r="M27" i="11"/>
  <c r="AB27" i="11" s="1"/>
  <c r="F26" i="11"/>
  <c r="AA26" i="11" s="1"/>
  <c r="M34" i="11"/>
  <c r="AB24" i="11"/>
  <c r="K28" i="23"/>
  <c r="K31" i="2"/>
  <c r="F31" i="2"/>
  <c r="F32" i="2" s="1"/>
  <c r="H32" i="2"/>
  <c r="B44" i="2" s="1"/>
  <c r="F9" i="2"/>
  <c r="M25" i="26"/>
  <c r="K78" i="23"/>
  <c r="B81" i="23"/>
  <c r="K81" i="23" s="1"/>
  <c r="B33" i="23"/>
  <c r="I43" i="24"/>
  <c r="R43" i="24" s="1"/>
  <c r="S43" i="24" s="1"/>
  <c r="R40" i="24"/>
  <c r="I10" i="23"/>
  <c r="A84" i="24"/>
  <c r="E84" i="24" s="1"/>
  <c r="E81" i="24"/>
  <c r="G20" i="11"/>
  <c r="I13" i="11"/>
  <c r="Q6" i="26"/>
  <c r="S11" i="26"/>
  <c r="V6" i="26"/>
  <c r="V7" i="26"/>
  <c r="Q7" i="26"/>
  <c r="T7" i="26" s="1"/>
  <c r="F3" i="25"/>
  <c r="B5" i="25"/>
  <c r="F5" i="25" s="1"/>
  <c r="V90" i="26"/>
  <c r="K97" i="11"/>
  <c r="T8" i="11"/>
  <c r="U8" i="11" s="1"/>
  <c r="V96" i="26"/>
  <c r="AB8" i="23" l="1"/>
  <c r="AB5" i="23"/>
  <c r="Y7" i="2"/>
  <c r="Y5" i="2"/>
  <c r="Y8" i="2"/>
  <c r="B65" i="23"/>
  <c r="K65" i="23" s="1"/>
  <c r="K66" i="23" s="1"/>
  <c r="Y12" i="2"/>
  <c r="Y13" i="2"/>
  <c r="B48" i="2" s="1"/>
  <c r="K48" i="2" s="1"/>
  <c r="Y11" i="2"/>
  <c r="B46" i="2" s="1"/>
  <c r="K46" i="2" s="1"/>
  <c r="Y10" i="2"/>
  <c r="B45" i="2" s="1"/>
  <c r="K45" i="2" s="1"/>
  <c r="AB13" i="23"/>
  <c r="AB16" i="23" s="1"/>
  <c r="AB11" i="23"/>
  <c r="AB17" i="23" s="1"/>
  <c r="AM12" i="22"/>
  <c r="M43" i="22" s="1"/>
  <c r="V43" i="22" s="1"/>
  <c r="AM11" i="22"/>
  <c r="AM13" i="22"/>
  <c r="M44" i="22" s="1"/>
  <c r="V44" i="22" s="1"/>
  <c r="AM10" i="22"/>
  <c r="M41" i="22" s="1"/>
  <c r="V41" i="22" s="1"/>
  <c r="M109" i="26"/>
  <c r="V109" i="26" s="1"/>
  <c r="S19" i="5"/>
  <c r="S19" i="11"/>
  <c r="F86" i="24"/>
  <c r="G72" i="24" s="1"/>
  <c r="F72" i="24" s="1"/>
  <c r="E86" i="24"/>
  <c r="G86" i="24"/>
  <c r="A80" i="24" s="1"/>
  <c r="E80" i="24" s="1"/>
  <c r="A74" i="24"/>
  <c r="E74" i="24" s="1"/>
  <c r="G52" i="24"/>
  <c r="A46" i="24" s="1"/>
  <c r="E46" i="24" s="1"/>
  <c r="F52" i="24"/>
  <c r="G38" i="24" s="1"/>
  <c r="F38" i="24" s="1"/>
  <c r="E52" i="24"/>
  <c r="B47" i="2"/>
  <c r="K47" i="2" s="1"/>
  <c r="B40" i="2"/>
  <c r="K40" i="2" s="1"/>
  <c r="B43" i="2"/>
  <c r="K43" i="2" s="1"/>
  <c r="M34" i="22"/>
  <c r="V34" i="22" s="1"/>
  <c r="M42" i="22"/>
  <c r="V42" i="22" s="1"/>
  <c r="V38" i="26"/>
  <c r="K44" i="2"/>
  <c r="V82" i="26"/>
  <c r="F26" i="5"/>
  <c r="AA26" i="5" s="1"/>
  <c r="F37" i="5"/>
  <c r="AA37" i="5" s="1"/>
  <c r="M27" i="5"/>
  <c r="AB27" i="5" s="1"/>
  <c r="AB24" i="5"/>
  <c r="Q82" i="26"/>
  <c r="M26" i="22"/>
  <c r="V26" i="22" s="1"/>
  <c r="AB7" i="23"/>
  <c r="B36" i="23" s="1"/>
  <c r="K36" i="23" s="1"/>
  <c r="BL11" i="26"/>
  <c r="BO11" i="26"/>
  <c r="AW85" i="26"/>
  <c r="BD57" i="3"/>
  <c r="BD58" i="3" s="1"/>
  <c r="AW14" i="26"/>
  <c r="AS57" i="3"/>
  <c r="AS58" i="3" s="1"/>
  <c r="K80" i="2"/>
  <c r="S11" i="11"/>
  <c r="T11" i="11" s="1"/>
  <c r="U11" i="11" s="1"/>
  <c r="V11" i="11" s="1"/>
  <c r="X11" i="11" s="1"/>
  <c r="K82" i="23"/>
  <c r="BQ81" i="26"/>
  <c r="BL81" i="26"/>
  <c r="BO76" i="26"/>
  <c r="BO81" i="26" s="1"/>
  <c r="V118" i="26"/>
  <c r="BD38" i="3"/>
  <c r="S40" i="24"/>
  <c r="R44" i="24"/>
  <c r="S44" i="24" s="1"/>
  <c r="A34" i="24"/>
  <c r="E34" i="24" s="1"/>
  <c r="F31" i="24"/>
  <c r="E31" i="24"/>
  <c r="P48" i="6"/>
  <c r="P44" i="6" s="1"/>
  <c r="P39" i="6" s="1"/>
  <c r="P34" i="6" s="1"/>
  <c r="M31" i="6" s="1"/>
  <c r="Q16" i="11"/>
  <c r="R16" i="11"/>
  <c r="P16" i="11"/>
  <c r="F17" i="25"/>
  <c r="V11" i="26"/>
  <c r="M35" i="11"/>
  <c r="AB35" i="11" s="1"/>
  <c r="M25" i="11"/>
  <c r="AB25" i="11" s="1"/>
  <c r="AB34" i="11"/>
  <c r="E40" i="24"/>
  <c r="E42" i="24"/>
  <c r="A53" i="24"/>
  <c r="E53" i="24" s="1"/>
  <c r="E44" i="24"/>
  <c r="E45" i="24"/>
  <c r="A51" i="24"/>
  <c r="E51" i="24" s="1"/>
  <c r="E41" i="24"/>
  <c r="E43" i="24"/>
  <c r="P18" i="11"/>
  <c r="R18" i="11"/>
  <c r="Q18" i="11"/>
  <c r="U50" i="22"/>
  <c r="V50" i="22" s="1"/>
  <c r="E15" i="22"/>
  <c r="M26" i="11"/>
  <c r="AB26" i="11" s="1"/>
  <c r="H48" i="6"/>
  <c r="H44" i="6" s="1"/>
  <c r="H39" i="6" s="1"/>
  <c r="H34" i="6" s="1"/>
  <c r="E31" i="6" s="1"/>
  <c r="G28" i="4" s="1"/>
  <c r="H28" i="4" s="1"/>
  <c r="L14" i="5" s="1"/>
  <c r="G15" i="5" s="1"/>
  <c r="S11" i="5"/>
  <c r="K32" i="2"/>
  <c r="I3" i="1" s="1"/>
  <c r="R17" i="11"/>
  <c r="Q17" i="11"/>
  <c r="P17" i="11"/>
  <c r="V20" i="11"/>
  <c r="X20" i="11" s="1"/>
  <c r="A85" i="24"/>
  <c r="E85" i="24" s="1"/>
  <c r="E77" i="24"/>
  <c r="A78" i="24"/>
  <c r="E78" i="24" s="1"/>
  <c r="A87" i="24"/>
  <c r="E87" i="24" s="1"/>
  <c r="E75" i="24"/>
  <c r="E79" i="24"/>
  <c r="E76" i="24"/>
  <c r="M25" i="5"/>
  <c r="AB25" i="5" s="1"/>
  <c r="M35" i="5"/>
  <c r="AB35" i="5" s="1"/>
  <c r="AB34" i="5"/>
  <c r="R13" i="11"/>
  <c r="Q13" i="11"/>
  <c r="P13" i="11"/>
  <c r="B39" i="23"/>
  <c r="K39" i="23" s="1"/>
  <c r="P48" i="12"/>
  <c r="P39" i="12"/>
  <c r="P34" i="12" s="1"/>
  <c r="M31" i="12" s="1"/>
  <c r="P44" i="12"/>
  <c r="V47" i="26"/>
  <c r="AS38" i="3"/>
  <c r="E64" i="24"/>
  <c r="F64" i="24"/>
  <c r="A67" i="24"/>
  <c r="E67" i="24" s="1"/>
  <c r="Q11" i="26"/>
  <c r="T6" i="26"/>
  <c r="T11" i="26" s="1"/>
  <c r="M36" i="11"/>
  <c r="AB36" i="11" s="1"/>
  <c r="R77" i="24"/>
  <c r="S77" i="24" s="1"/>
  <c r="BP47" i="26"/>
  <c r="BQ47" i="26" s="1"/>
  <c r="BQ48" i="26" s="1"/>
  <c r="V25" i="26"/>
  <c r="F33" i="5"/>
  <c r="AA33" i="5" s="1"/>
  <c r="F24" i="5"/>
  <c r="G17" i="5"/>
  <c r="F29" i="5"/>
  <c r="AA29" i="5" s="1"/>
  <c r="G21" i="5"/>
  <c r="T21" i="5" s="1"/>
  <c r="U21" i="5" s="1"/>
  <c r="V21" i="5" s="1"/>
  <c r="X21" i="5" s="1"/>
  <c r="G18" i="5"/>
  <c r="F25" i="5"/>
  <c r="AA25" i="5" s="1"/>
  <c r="F35" i="5"/>
  <c r="AA35" i="5" s="1"/>
  <c r="F34" i="5"/>
  <c r="AA34" i="5" s="1"/>
  <c r="G12" i="5"/>
  <c r="G13" i="5"/>
  <c r="G11" i="5"/>
  <c r="L17" i="5"/>
  <c r="I20" i="5" s="1"/>
  <c r="P12" i="11"/>
  <c r="I14" i="11"/>
  <c r="R12" i="11"/>
  <c r="Q12" i="11"/>
  <c r="H48" i="12"/>
  <c r="H44" i="12"/>
  <c r="H39" i="12" s="1"/>
  <c r="H34" i="12" s="1"/>
  <c r="E31" i="12" s="1"/>
  <c r="G28" i="10" s="1"/>
  <c r="H28" i="10" s="1"/>
  <c r="L14" i="11" s="1"/>
  <c r="G15" i="11" s="1"/>
  <c r="I15" i="11" s="1"/>
  <c r="K33" i="23"/>
  <c r="M33" i="25"/>
  <c r="V33" i="25" s="1"/>
  <c r="AM6" i="25"/>
  <c r="M32" i="25" s="1"/>
  <c r="V32" i="25" s="1"/>
  <c r="AM5" i="26" l="1"/>
  <c r="AM13" i="26"/>
  <c r="M42" i="26" s="1"/>
  <c r="V42" i="26" s="1"/>
  <c r="AM8" i="26"/>
  <c r="AM7" i="26"/>
  <c r="AM12" i="26"/>
  <c r="M41" i="26" s="1"/>
  <c r="V41" i="26" s="1"/>
  <c r="AM11" i="26"/>
  <c r="AM10" i="26"/>
  <c r="M39" i="26" s="1"/>
  <c r="V39" i="26" s="1"/>
  <c r="CH87" i="26"/>
  <c r="BH111" i="26" s="1"/>
  <c r="BQ111" i="26" s="1"/>
  <c r="CH86" i="26"/>
  <c r="BH110" i="26" s="1"/>
  <c r="BQ110" i="26" s="1"/>
  <c r="CH84" i="26"/>
  <c r="BH108" i="26" s="1"/>
  <c r="BQ108" i="26" s="1"/>
  <c r="CH85" i="26"/>
  <c r="A38" i="24"/>
  <c r="E38" i="24" s="1"/>
  <c r="AM81" i="26"/>
  <c r="AM78" i="26"/>
  <c r="AM79" i="26" s="1"/>
  <c r="M106" i="26" s="1"/>
  <c r="V106" i="26" s="1"/>
  <c r="AM80" i="26"/>
  <c r="M99" i="26" s="1"/>
  <c r="V99" i="26" s="1"/>
  <c r="CH11" i="26"/>
  <c r="BH39" i="26" s="1"/>
  <c r="BQ39" i="26" s="1"/>
  <c r="CH10" i="26"/>
  <c r="BH38" i="26" s="1"/>
  <c r="BQ38" i="26" s="1"/>
  <c r="CH13" i="26"/>
  <c r="BH41" i="26" s="1"/>
  <c r="BQ41" i="26" s="1"/>
  <c r="CH12" i="26"/>
  <c r="A72" i="24"/>
  <c r="E72" i="24" s="1"/>
  <c r="AM86" i="26"/>
  <c r="M113" i="26" s="1"/>
  <c r="V113" i="26" s="1"/>
  <c r="AM85" i="26"/>
  <c r="M112" i="26" s="1"/>
  <c r="V112" i="26" s="1"/>
  <c r="AM83" i="26"/>
  <c r="M110" i="26" s="1"/>
  <c r="V110" i="26" s="1"/>
  <c r="AM84" i="26"/>
  <c r="M111" i="26" s="1"/>
  <c r="V111" i="26" s="1"/>
  <c r="AM87" i="26"/>
  <c r="G71" i="24"/>
  <c r="F71" i="24" s="1"/>
  <c r="G37" i="24"/>
  <c r="G73" i="24"/>
  <c r="G20" i="5"/>
  <c r="S18" i="11"/>
  <c r="S13" i="11"/>
  <c r="S17" i="11"/>
  <c r="V17" i="11" s="1"/>
  <c r="X17" i="11" s="1"/>
  <c r="S16" i="11"/>
  <c r="S12" i="11"/>
  <c r="T12" i="11" s="1"/>
  <c r="U12" i="11" s="1"/>
  <c r="G39" i="24"/>
  <c r="F39" i="24" s="1"/>
  <c r="M40" i="26"/>
  <c r="V40" i="26" s="1"/>
  <c r="BH40" i="26"/>
  <c r="BQ40" i="26" s="1"/>
  <c r="BH109" i="26"/>
  <c r="BQ109" i="26" s="1"/>
  <c r="BH34" i="26"/>
  <c r="BQ34" i="26" s="1"/>
  <c r="BH36" i="26"/>
  <c r="BQ36" i="26" s="1"/>
  <c r="B49" i="23"/>
  <c r="B46" i="23"/>
  <c r="B48" i="23"/>
  <c r="B47" i="23"/>
  <c r="T11" i="5"/>
  <c r="U11" i="5" s="1"/>
  <c r="V11" i="5" s="1"/>
  <c r="X11" i="5" s="1"/>
  <c r="M28" i="5"/>
  <c r="AB28" i="5" s="1"/>
  <c r="T20" i="11"/>
  <c r="U20" i="11" s="1"/>
  <c r="I18" i="5"/>
  <c r="B6" i="8"/>
  <c r="F31" i="5"/>
  <c r="AA31" i="5" s="1"/>
  <c r="F28" i="5"/>
  <c r="AA28" i="5" s="1"/>
  <c r="F30" i="5"/>
  <c r="F32" i="5"/>
  <c r="AA32" i="5" s="1"/>
  <c r="U51" i="22"/>
  <c r="V51" i="22" s="1"/>
  <c r="I17" i="5"/>
  <c r="Y6" i="2"/>
  <c r="B41" i="2" s="1"/>
  <c r="K41" i="2" s="1"/>
  <c r="B42" i="2"/>
  <c r="K42" i="2" s="1"/>
  <c r="V119" i="26"/>
  <c r="V120" i="26" s="1"/>
  <c r="B6" i="14"/>
  <c r="F31" i="11"/>
  <c r="AA31" i="11" s="1"/>
  <c r="F28" i="11"/>
  <c r="AA28" i="11" s="1"/>
  <c r="F32" i="11"/>
  <c r="AA32" i="11" s="1"/>
  <c r="F30" i="11"/>
  <c r="G14" i="11"/>
  <c r="F36" i="11"/>
  <c r="AA36" i="11" s="1"/>
  <c r="V19" i="5"/>
  <c r="X19" i="5" s="1"/>
  <c r="T19" i="5"/>
  <c r="U19" i="5" s="1"/>
  <c r="F36" i="5"/>
  <c r="AA36" i="5" s="1"/>
  <c r="I13" i="5"/>
  <c r="I12" i="5"/>
  <c r="AA24" i="5"/>
  <c r="M37" i="5"/>
  <c r="AB37" i="5" s="1"/>
  <c r="M32" i="5"/>
  <c r="AB32" i="5" s="1"/>
  <c r="M29" i="5"/>
  <c r="AB29" i="5" s="1"/>
  <c r="M30" i="5"/>
  <c r="AB30" i="5" s="1"/>
  <c r="M26" i="5"/>
  <c r="AB26" i="5" s="1"/>
  <c r="M33" i="5"/>
  <c r="AB33" i="5" s="1"/>
  <c r="V48" i="26"/>
  <c r="F37" i="24"/>
  <c r="M33" i="22"/>
  <c r="V33" i="22" s="1"/>
  <c r="AM6" i="22"/>
  <c r="M32" i="22" s="1"/>
  <c r="V32" i="22" s="1"/>
  <c r="P14" i="11"/>
  <c r="R14" i="11"/>
  <c r="Q14" i="11"/>
  <c r="R20" i="5"/>
  <c r="Q20" i="5"/>
  <c r="P20" i="5"/>
  <c r="I16" i="5"/>
  <c r="G14" i="5"/>
  <c r="V19" i="11"/>
  <c r="X19" i="11" s="1"/>
  <c r="T19" i="11"/>
  <c r="U19" i="11" s="1"/>
  <c r="R15" i="11"/>
  <c r="P15" i="11"/>
  <c r="Q15" i="11"/>
  <c r="B38" i="23"/>
  <c r="K38" i="23" s="1"/>
  <c r="AB6" i="23"/>
  <c r="B37" i="23" s="1"/>
  <c r="K37" i="23" s="1"/>
  <c r="V45" i="25"/>
  <c r="U50" i="25"/>
  <c r="V50" i="25" s="1"/>
  <c r="E17" i="25"/>
  <c r="S20" i="5" l="1"/>
  <c r="V20" i="5" s="1"/>
  <c r="X20" i="5" s="1"/>
  <c r="A39" i="24"/>
  <c r="E39" i="24" s="1"/>
  <c r="A37" i="24"/>
  <c r="E37" i="24" s="1"/>
  <c r="E54" i="24" s="1"/>
  <c r="A71" i="24"/>
  <c r="E71" i="24" s="1"/>
  <c r="G54" i="24"/>
  <c r="S14" i="11"/>
  <c r="T14" i="11" s="1"/>
  <c r="U14" i="11" s="1"/>
  <c r="S15" i="11"/>
  <c r="V15" i="11" s="1"/>
  <c r="X15" i="11" s="1"/>
  <c r="M105" i="26"/>
  <c r="V105" i="26" s="1"/>
  <c r="M107" i="26"/>
  <c r="V107" i="26" s="1"/>
  <c r="BH28" i="26"/>
  <c r="BQ28" i="26" s="1"/>
  <c r="CH6" i="26"/>
  <c r="BH35" i="26" s="1"/>
  <c r="BQ35" i="26" s="1"/>
  <c r="K47" i="23"/>
  <c r="H47" i="23"/>
  <c r="K48" i="23"/>
  <c r="H48" i="23"/>
  <c r="H46" i="23"/>
  <c r="K46" i="23"/>
  <c r="K49" i="23"/>
  <c r="H49" i="23"/>
  <c r="T17" i="11"/>
  <c r="U17" i="11" s="1"/>
  <c r="K49" i="2"/>
  <c r="V12" i="11"/>
  <c r="X12" i="11" s="1"/>
  <c r="BH106" i="26"/>
  <c r="BQ106" i="26" s="1"/>
  <c r="BH98" i="26"/>
  <c r="BQ98" i="26" s="1"/>
  <c r="BH104" i="26"/>
  <c r="BQ104" i="26" s="1"/>
  <c r="CH80" i="26"/>
  <c r="BH105" i="26" s="1"/>
  <c r="BQ105" i="26" s="1"/>
  <c r="V16" i="11"/>
  <c r="X16" i="11" s="1"/>
  <c r="T16" i="11"/>
  <c r="U16" i="11" s="1"/>
  <c r="M36" i="5"/>
  <c r="AB36" i="5" s="1"/>
  <c r="AA30" i="11"/>
  <c r="M31" i="11"/>
  <c r="AB31" i="11" s="1"/>
  <c r="M36" i="26"/>
  <c r="V36" i="26" s="1"/>
  <c r="M28" i="26"/>
  <c r="V28" i="26" s="1"/>
  <c r="V13" i="11"/>
  <c r="X13" i="11" s="1"/>
  <c r="T13" i="11"/>
  <c r="U13" i="11" s="1"/>
  <c r="Q12" i="5"/>
  <c r="R12" i="5"/>
  <c r="P12" i="5"/>
  <c r="I14" i="5"/>
  <c r="R13" i="5"/>
  <c r="Q13" i="5"/>
  <c r="P13" i="5"/>
  <c r="L11" i="14"/>
  <c r="L17" i="14"/>
  <c r="V18" i="11"/>
  <c r="X18" i="11" s="1"/>
  <c r="T18" i="11"/>
  <c r="U18" i="11" s="1"/>
  <c r="AA30" i="5"/>
  <c r="M31" i="5"/>
  <c r="AB31" i="5" s="1"/>
  <c r="I15" i="5"/>
  <c r="M34" i="26"/>
  <c r="V34" i="26" s="1"/>
  <c r="AM6" i="26"/>
  <c r="M35" i="26" s="1"/>
  <c r="V35" i="26" s="1"/>
  <c r="Q16" i="5"/>
  <c r="R16" i="5"/>
  <c r="P16" i="5"/>
  <c r="V49" i="26"/>
  <c r="V52" i="22"/>
  <c r="U51" i="25"/>
  <c r="V51" i="25" s="1"/>
  <c r="V52" i="25" s="1"/>
  <c r="R71" i="25" s="1"/>
  <c r="V45" i="22"/>
  <c r="R17" i="5"/>
  <c r="Q17" i="5"/>
  <c r="P17" i="5"/>
  <c r="L11" i="8"/>
  <c r="L5" i="8" s="1"/>
  <c r="L17" i="8"/>
  <c r="P18" i="5"/>
  <c r="Q18" i="5"/>
  <c r="R18" i="5"/>
  <c r="S17" i="5" l="1"/>
  <c r="S16" i="5"/>
  <c r="S13" i="5"/>
  <c r="S12" i="5"/>
  <c r="F54" i="24"/>
  <c r="N49" i="24"/>
  <c r="N50" i="24" s="1"/>
  <c r="N51" i="24" s="1"/>
  <c r="T43" i="3" s="1"/>
  <c r="T44" i="3" s="1"/>
  <c r="S18" i="5"/>
  <c r="T18" i="5" s="1"/>
  <c r="U18" i="5" s="1"/>
  <c r="T15" i="11"/>
  <c r="U15" i="11" s="1"/>
  <c r="BQ42" i="26"/>
  <c r="BM67" i="26" s="1"/>
  <c r="BM68" i="26" s="1"/>
  <c r="BM2" i="26" s="1"/>
  <c r="V114" i="26"/>
  <c r="R139" i="26" s="1"/>
  <c r="R140" i="26" s="1"/>
  <c r="R73" i="26" s="1"/>
  <c r="K50" i="23"/>
  <c r="I6" i="1" s="1"/>
  <c r="AA39" i="11"/>
  <c r="V14" i="11"/>
  <c r="X14" i="11" s="1"/>
  <c r="X22" i="11" s="1"/>
  <c r="V16" i="5"/>
  <c r="X16" i="5" s="1"/>
  <c r="L5" i="14"/>
  <c r="O8" i="14" s="1"/>
  <c r="B9" i="14" s="1"/>
  <c r="BQ113" i="26"/>
  <c r="BM138" i="26" s="1"/>
  <c r="BM139" i="26" s="1"/>
  <c r="AA39" i="5"/>
  <c r="R72" i="25"/>
  <c r="W68" i="25"/>
  <c r="W52" i="25"/>
  <c r="W45" i="25"/>
  <c r="W12" i="25"/>
  <c r="W8" i="25"/>
  <c r="W39" i="25"/>
  <c r="W23" i="25"/>
  <c r="W16" i="25"/>
  <c r="W13" i="25"/>
  <c r="W35" i="25"/>
  <c r="W28" i="25"/>
  <c r="W18" i="25"/>
  <c r="W65" i="25"/>
  <c r="W30" i="25"/>
  <c r="W15" i="25"/>
  <c r="W37" i="25"/>
  <c r="W63" i="25"/>
  <c r="W21" i="25"/>
  <c r="W58" i="25"/>
  <c r="W60" i="25"/>
  <c r="W17" i="25"/>
  <c r="W55" i="25"/>
  <c r="W36" i="25"/>
  <c r="W11" i="25"/>
  <c r="W31" i="25"/>
  <c r="W38" i="25"/>
  <c r="W56" i="25"/>
  <c r="W66" i="25"/>
  <c r="W14" i="25"/>
  <c r="W61" i="25"/>
  <c r="W29" i="25"/>
  <c r="W40" i="25"/>
  <c r="W49" i="25"/>
  <c r="W27" i="25"/>
  <c r="W57" i="25"/>
  <c r="W7" i="25"/>
  <c r="W59" i="25"/>
  <c r="W64" i="25"/>
  <c r="W67" i="25"/>
  <c r="W6" i="25"/>
  <c r="W62" i="25"/>
  <c r="W22" i="25"/>
  <c r="W34" i="25"/>
  <c r="W42" i="25"/>
  <c r="W43" i="25"/>
  <c r="W41" i="25"/>
  <c r="W26" i="25"/>
  <c r="W44" i="25"/>
  <c r="W33" i="25"/>
  <c r="W32" i="25"/>
  <c r="W50" i="25"/>
  <c r="P14" i="5"/>
  <c r="R14" i="5"/>
  <c r="Q14" i="5"/>
  <c r="T20" i="5"/>
  <c r="U20" i="5" s="1"/>
  <c r="O8" i="8"/>
  <c r="B9" i="8" s="1"/>
  <c r="R71" i="22"/>
  <c r="V43" i="26"/>
  <c r="R68" i="26" s="1"/>
  <c r="W51" i="25"/>
  <c r="R15" i="5"/>
  <c r="Q15" i="5"/>
  <c r="P15" i="5"/>
  <c r="S14" i="5" l="1"/>
  <c r="V14" i="5" s="1"/>
  <c r="X14" i="5" s="1"/>
  <c r="S15" i="5"/>
  <c r="AT42" i="3"/>
  <c r="AT43" i="3" s="1"/>
  <c r="BE22" i="3"/>
  <c r="BE23" i="3" s="1"/>
  <c r="V18" i="5"/>
  <c r="X18" i="5" s="1"/>
  <c r="C18" i="10"/>
  <c r="H21" i="10" s="1"/>
  <c r="B10" i="14"/>
  <c r="E10" i="14" s="1"/>
  <c r="B11" i="14" s="1"/>
  <c r="E11" i="14" s="1"/>
  <c r="B12" i="14" s="1"/>
  <c r="C19" i="10" s="1"/>
  <c r="AA41" i="11"/>
  <c r="O7" i="11" s="1"/>
  <c r="T16" i="5"/>
  <c r="U16" i="5" s="1"/>
  <c r="V13" i="5"/>
  <c r="X13" i="5" s="1"/>
  <c r="T13" i="5"/>
  <c r="U13" i="5" s="1"/>
  <c r="BE42" i="3"/>
  <c r="BE43" i="3" s="1"/>
  <c r="BM72" i="26"/>
  <c r="BR135" i="26"/>
  <c r="W120" i="26"/>
  <c r="W90" i="26"/>
  <c r="W136" i="26"/>
  <c r="BR119" i="26"/>
  <c r="BR113" i="26"/>
  <c r="BR89" i="26"/>
  <c r="W43" i="26"/>
  <c r="BR25" i="26"/>
  <c r="BR19" i="26"/>
  <c r="W102" i="26"/>
  <c r="W96" i="26"/>
  <c r="W65" i="26"/>
  <c r="W114" i="26"/>
  <c r="W103" i="26"/>
  <c r="W100" i="26"/>
  <c r="BR42" i="26"/>
  <c r="BR11" i="26"/>
  <c r="W104" i="26"/>
  <c r="W101" i="26"/>
  <c r="BR81" i="26"/>
  <c r="W82" i="26"/>
  <c r="R69" i="26"/>
  <c r="BR107" i="26"/>
  <c r="BR95" i="26"/>
  <c r="BR86" i="26"/>
  <c r="W86" i="26"/>
  <c r="BR48" i="26"/>
  <c r="W19" i="26"/>
  <c r="BR64" i="26"/>
  <c r="BR16" i="26"/>
  <c r="BR14" i="26"/>
  <c r="W25" i="26"/>
  <c r="W38" i="26"/>
  <c r="BR30" i="26"/>
  <c r="W63" i="26"/>
  <c r="W49" i="26"/>
  <c r="W37" i="26"/>
  <c r="W11" i="26"/>
  <c r="BR85" i="26"/>
  <c r="W15" i="26"/>
  <c r="W87" i="26"/>
  <c r="BR108" i="26"/>
  <c r="W54" i="26"/>
  <c r="BR23" i="26"/>
  <c r="BR51" i="26"/>
  <c r="W53" i="26"/>
  <c r="BR88" i="26"/>
  <c r="BR15" i="26"/>
  <c r="BR132" i="26"/>
  <c r="BR127" i="26"/>
  <c r="BR100" i="26"/>
  <c r="W123" i="26"/>
  <c r="W29" i="26"/>
  <c r="W109" i="26"/>
  <c r="W134" i="26"/>
  <c r="W31" i="26"/>
  <c r="BR58" i="26"/>
  <c r="BR63" i="26"/>
  <c r="BR33" i="26"/>
  <c r="BR101" i="26"/>
  <c r="W9" i="26"/>
  <c r="BR125" i="26"/>
  <c r="BR128" i="26"/>
  <c r="BR31" i="26"/>
  <c r="W80" i="26"/>
  <c r="W133" i="26"/>
  <c r="BR29" i="26"/>
  <c r="BR52" i="26"/>
  <c r="W52" i="26"/>
  <c r="W23" i="26"/>
  <c r="W16" i="26"/>
  <c r="W135" i="26"/>
  <c r="BR61" i="26"/>
  <c r="W132" i="26"/>
  <c r="BR134" i="26"/>
  <c r="W55" i="26"/>
  <c r="BR37" i="26"/>
  <c r="W58" i="26"/>
  <c r="W62" i="26"/>
  <c r="BR122" i="26"/>
  <c r="BR57" i="26"/>
  <c r="BR99" i="26"/>
  <c r="BR32" i="26"/>
  <c r="W14" i="26"/>
  <c r="W126" i="26"/>
  <c r="BR53" i="26"/>
  <c r="W85" i="26"/>
  <c r="W108" i="26"/>
  <c r="W129" i="26"/>
  <c r="W30" i="26"/>
  <c r="BR103" i="26"/>
  <c r="BR124" i="26"/>
  <c r="W33" i="26"/>
  <c r="W124" i="26"/>
  <c r="W125" i="26"/>
  <c r="BR123" i="26"/>
  <c r="BR133" i="26"/>
  <c r="W32" i="26"/>
  <c r="BR84" i="26"/>
  <c r="BR131" i="26"/>
  <c r="BR102" i="26"/>
  <c r="BR80" i="26"/>
  <c r="BR78" i="26"/>
  <c r="BR60" i="26"/>
  <c r="BR92" i="26"/>
  <c r="BR22" i="26"/>
  <c r="BR62" i="26"/>
  <c r="BR59" i="26"/>
  <c r="W59" i="26"/>
  <c r="BR130" i="26"/>
  <c r="W77" i="26"/>
  <c r="W93" i="26"/>
  <c r="BR79" i="26"/>
  <c r="BR17" i="26"/>
  <c r="BR56" i="26"/>
  <c r="BR129" i="26"/>
  <c r="W89" i="26"/>
  <c r="BR76" i="26"/>
  <c r="W127" i="26"/>
  <c r="BR18" i="26"/>
  <c r="BR126" i="26"/>
  <c r="W131" i="26"/>
  <c r="W61" i="26"/>
  <c r="BR54" i="26"/>
  <c r="W57" i="26"/>
  <c r="BR9" i="26"/>
  <c r="W60" i="26"/>
  <c r="BR77" i="26"/>
  <c r="W94" i="26"/>
  <c r="W130" i="26"/>
  <c r="BR93" i="26"/>
  <c r="W56" i="26"/>
  <c r="W95" i="26"/>
  <c r="BR8" i="26"/>
  <c r="BR117" i="26"/>
  <c r="BR24" i="26"/>
  <c r="BR6" i="26"/>
  <c r="BR7" i="26"/>
  <c r="W17" i="26"/>
  <c r="W78" i="26"/>
  <c r="BR94" i="26"/>
  <c r="W88" i="26"/>
  <c r="BR55" i="26"/>
  <c r="W79" i="26"/>
  <c r="W81" i="26"/>
  <c r="W128" i="26"/>
  <c r="BR10" i="26"/>
  <c r="W22" i="26"/>
  <c r="BR87" i="26"/>
  <c r="W64" i="26"/>
  <c r="W18" i="26"/>
  <c r="BR118" i="26"/>
  <c r="W10" i="26"/>
  <c r="W8" i="26"/>
  <c r="BR110" i="26"/>
  <c r="W7" i="26"/>
  <c r="W6" i="26"/>
  <c r="W24" i="26"/>
  <c r="BR109" i="26"/>
  <c r="BR111" i="26"/>
  <c r="BR46" i="26"/>
  <c r="BR112" i="26"/>
  <c r="BR40" i="26"/>
  <c r="BR106" i="26"/>
  <c r="W47" i="26"/>
  <c r="W112" i="26"/>
  <c r="BR41" i="26"/>
  <c r="BR98" i="26"/>
  <c r="BR47" i="26"/>
  <c r="BR39" i="26"/>
  <c r="BR105" i="26"/>
  <c r="BR104" i="26"/>
  <c r="W113" i="26"/>
  <c r="W111" i="26"/>
  <c r="W118" i="26"/>
  <c r="W110" i="26"/>
  <c r="BR38" i="26"/>
  <c r="BR34" i="26"/>
  <c r="W39" i="26"/>
  <c r="W119" i="26"/>
  <c r="W106" i="26"/>
  <c r="W107" i="26"/>
  <c r="W41" i="26"/>
  <c r="BR28" i="26"/>
  <c r="W48" i="26"/>
  <c r="BR36" i="26"/>
  <c r="W40" i="26"/>
  <c r="BR35" i="26"/>
  <c r="W99" i="26"/>
  <c r="W42" i="26"/>
  <c r="W105" i="26"/>
  <c r="R2" i="25"/>
  <c r="BE2" i="3"/>
  <c r="BE3" i="3" s="1"/>
  <c r="W35" i="26"/>
  <c r="W34" i="26"/>
  <c r="V12" i="5"/>
  <c r="X12" i="5" s="1"/>
  <c r="T12" i="5"/>
  <c r="U12" i="5" s="1"/>
  <c r="W28" i="26"/>
  <c r="W68" i="22"/>
  <c r="R72" i="22"/>
  <c r="W8" i="22"/>
  <c r="W52" i="22"/>
  <c r="W23" i="22"/>
  <c r="W45" i="22"/>
  <c r="W12" i="22"/>
  <c r="W49" i="22"/>
  <c r="W40" i="22"/>
  <c r="W37" i="22"/>
  <c r="W30" i="22"/>
  <c r="W18" i="22"/>
  <c r="W15" i="22"/>
  <c r="W61" i="22"/>
  <c r="W7" i="22"/>
  <c r="W35" i="22"/>
  <c r="W66" i="22"/>
  <c r="W58" i="22"/>
  <c r="W17" i="22"/>
  <c r="W57" i="22"/>
  <c r="W16" i="22"/>
  <c r="W36" i="22"/>
  <c r="W28" i="22"/>
  <c r="W29" i="22"/>
  <c r="W65" i="22"/>
  <c r="W38" i="22"/>
  <c r="W27" i="22"/>
  <c r="W60" i="22"/>
  <c r="W31" i="22"/>
  <c r="W13" i="22"/>
  <c r="W56" i="22"/>
  <c r="W39" i="22"/>
  <c r="W11" i="22"/>
  <c r="W63" i="22"/>
  <c r="W55" i="22"/>
  <c r="W14" i="22"/>
  <c r="W59" i="22"/>
  <c r="W64" i="22"/>
  <c r="W6" i="22"/>
  <c r="W62" i="22"/>
  <c r="W67" i="22"/>
  <c r="W21" i="22"/>
  <c r="W22" i="22"/>
  <c r="W50" i="22"/>
  <c r="W41" i="22"/>
  <c r="W26" i="22"/>
  <c r="W34" i="22"/>
  <c r="W42" i="22"/>
  <c r="W44" i="22"/>
  <c r="W43" i="22"/>
  <c r="W33" i="22"/>
  <c r="W51" i="22"/>
  <c r="W32" i="22"/>
  <c r="C18" i="4"/>
  <c r="H21" i="4" s="1"/>
  <c r="B10" i="8"/>
  <c r="E10" i="8" s="1"/>
  <c r="B11" i="8" s="1"/>
  <c r="E11" i="8" s="1"/>
  <c r="B12" i="8" s="1"/>
  <c r="C19" i="4" s="1"/>
  <c r="W36" i="26"/>
  <c r="V17" i="5"/>
  <c r="X17" i="5" s="1"/>
  <c r="T17" i="5"/>
  <c r="U17" i="5" s="1"/>
  <c r="W71" i="25"/>
  <c r="O8" i="11" l="1"/>
  <c r="J60" i="23" s="1"/>
  <c r="H60" i="23"/>
  <c r="J59" i="23"/>
  <c r="K59" i="23" s="1"/>
  <c r="T14" i="5"/>
  <c r="U14" i="5" s="1"/>
  <c r="C20" i="10"/>
  <c r="H59" i="23"/>
  <c r="C20" i="4"/>
  <c r="V15" i="5"/>
  <c r="X15" i="5" s="1"/>
  <c r="X22" i="5" s="1"/>
  <c r="AA41" i="5" s="1"/>
  <c r="O7" i="5" s="1"/>
  <c r="H59" i="2" s="1"/>
  <c r="T15" i="5"/>
  <c r="U15" i="5" s="1"/>
  <c r="R2" i="26"/>
  <c r="AT22" i="3"/>
  <c r="AT23" i="3" s="1"/>
  <c r="R2" i="22"/>
  <c r="AT2" i="3"/>
  <c r="AT3" i="3" s="1"/>
  <c r="K60" i="23" l="1"/>
  <c r="J61" i="23" s="1"/>
  <c r="K61" i="23" s="1"/>
  <c r="K62" i="23" s="1"/>
  <c r="O8" i="5"/>
  <c r="H58" i="2"/>
  <c r="J58" i="2" l="1"/>
  <c r="K58" i="2" s="1"/>
  <c r="J59" i="2"/>
  <c r="K59" i="2" s="1"/>
  <c r="G85" i="23"/>
  <c r="L20" i="23" s="1"/>
  <c r="J60" i="2" l="1"/>
  <c r="K60" i="2" s="1"/>
  <c r="K61" i="2" s="1"/>
  <c r="G83" i="2" s="1"/>
  <c r="L59" i="2" s="1"/>
  <c r="G86" i="23"/>
  <c r="T22" i="3" s="1"/>
  <c r="T23" i="3" s="1"/>
  <c r="L77" i="23"/>
  <c r="L71" i="23"/>
  <c r="L54" i="23"/>
  <c r="L22" i="23"/>
  <c r="L40" i="23"/>
  <c r="L79" i="23"/>
  <c r="L10" i="23"/>
  <c r="L21" i="23"/>
  <c r="L56" i="23"/>
  <c r="L80" i="23"/>
  <c r="L48" i="23"/>
  <c r="L60" i="23"/>
  <c r="L50" i="23"/>
  <c r="L75" i="23"/>
  <c r="L15" i="23"/>
  <c r="L47" i="23"/>
  <c r="L62" i="23"/>
  <c r="L70" i="23"/>
  <c r="L33" i="23"/>
  <c r="L28" i="23"/>
  <c r="L65" i="23"/>
  <c r="L42" i="23"/>
  <c r="L27" i="23"/>
  <c r="L26" i="23"/>
  <c r="L19" i="23"/>
  <c r="L7" i="23"/>
  <c r="L81" i="23"/>
  <c r="L38" i="23"/>
  <c r="L59" i="23"/>
  <c r="L55" i="23"/>
  <c r="L14" i="23"/>
  <c r="L41" i="23"/>
  <c r="L46" i="23"/>
  <c r="L23" i="23"/>
  <c r="L66" i="23"/>
  <c r="L8" i="23"/>
  <c r="L69" i="23"/>
  <c r="L76" i="23"/>
  <c r="L24" i="23"/>
  <c r="L72" i="23"/>
  <c r="L31" i="23"/>
  <c r="L9" i="23"/>
  <c r="L36" i="23"/>
  <c r="L61" i="23"/>
  <c r="L82" i="23"/>
  <c r="L43" i="23"/>
  <c r="L44" i="23"/>
  <c r="L45" i="23"/>
  <c r="L13" i="23"/>
  <c r="L18" i="23"/>
  <c r="L6" i="23"/>
  <c r="L73" i="23"/>
  <c r="L32" i="23"/>
  <c r="L39" i="23"/>
  <c r="L74" i="23"/>
  <c r="L49" i="23"/>
  <c r="L25" i="23"/>
  <c r="L78" i="23"/>
  <c r="L37" i="23"/>
  <c r="G2" i="23" l="1"/>
  <c r="L42" i="2"/>
  <c r="L72" i="2"/>
  <c r="L46" i="2"/>
  <c r="L22" i="2"/>
  <c r="L45" i="2"/>
  <c r="L26" i="2"/>
  <c r="L41" i="2"/>
  <c r="L31" i="2"/>
  <c r="L20" i="2"/>
  <c r="L7" i="2"/>
  <c r="L43" i="2"/>
  <c r="L40" i="2"/>
  <c r="L6" i="2"/>
  <c r="L12" i="2"/>
  <c r="L13" i="2"/>
  <c r="L58" i="2"/>
  <c r="L48" i="2"/>
  <c r="L79" i="2"/>
  <c r="L30" i="2"/>
  <c r="L24" i="2"/>
  <c r="L36" i="2"/>
  <c r="L47" i="2"/>
  <c r="L76" i="2"/>
  <c r="L71" i="2"/>
  <c r="L19" i="2"/>
  <c r="L23" i="2"/>
  <c r="L17" i="2"/>
  <c r="L44" i="2"/>
  <c r="L25" i="2"/>
  <c r="L8" i="2"/>
  <c r="L18" i="2"/>
  <c r="L67" i="2"/>
  <c r="L75" i="2"/>
  <c r="L39" i="2"/>
  <c r="L38" i="2"/>
  <c r="L55" i="2"/>
  <c r="L69" i="2"/>
  <c r="L77" i="2"/>
  <c r="L78" i="2"/>
  <c r="G84" i="2"/>
  <c r="G2" i="2" s="1"/>
  <c r="L9" i="2"/>
  <c r="L74" i="2"/>
  <c r="L37" i="2"/>
  <c r="L68" i="2"/>
  <c r="L53" i="2"/>
  <c r="L14" i="2"/>
  <c r="L73" i="2"/>
  <c r="L54" i="2"/>
  <c r="L49" i="2"/>
  <c r="L61" i="2"/>
  <c r="L21" i="2"/>
  <c r="L70" i="2"/>
  <c r="L35" i="2"/>
  <c r="L32" i="2"/>
  <c r="L80" i="2"/>
  <c r="L27" i="2"/>
  <c r="L60" i="2"/>
  <c r="T2" i="3" l="1"/>
  <c r="T3" i="3" s="1"/>
  <c r="G88" i="24"/>
  <c r="F73" i="24"/>
  <c r="A73" i="24" s="1"/>
  <c r="E73" i="24" s="1"/>
  <c r="E88" i="24" s="1"/>
  <c r="F88" i="24" l="1"/>
  <c r="N82" i="24"/>
  <c r="N83" i="24" s="1"/>
  <c r="N84" i="24" s="1"/>
  <c r="T61" i="3" s="1"/>
  <c r="T6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<sst xmlns="http://schemas.openxmlformats.org/spreadsheetml/2006/main" count="4220" uniqueCount="789">
  <si>
    <t>الارتفاع</t>
  </si>
  <si>
    <t>طريقة الدهان</t>
  </si>
  <si>
    <t>لون الالومنيوم</t>
  </si>
  <si>
    <t>Column3</t>
  </si>
  <si>
    <t>مثبتة علي الحائط</t>
  </si>
  <si>
    <t>اقل من 3 م</t>
  </si>
  <si>
    <t>سادة</t>
  </si>
  <si>
    <t>بالتات</t>
  </si>
  <si>
    <t>Column1</t>
  </si>
  <si>
    <t>Column2</t>
  </si>
  <si>
    <t>B</t>
  </si>
  <si>
    <t>خشبي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</si>
  <si>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</si>
  <si>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</si>
  <si>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</si>
  <si>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</si>
  <si>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</si>
  <si>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</si>
  <si>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</si>
  <si>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</si>
  <si>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</si>
  <si>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</si>
  <si>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</si>
  <si>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</si>
  <si>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JOTAMASTIC 87 GREY</t>
  </si>
  <si>
    <t>JOTAMASTIC 80 GREY</t>
  </si>
  <si>
    <t>HARDTOP XP (WHITE/BLACK/GREY)</t>
  </si>
  <si>
    <t>HARDTOP XP COLOR</t>
  </si>
  <si>
    <t>THINNER 17</t>
  </si>
  <si>
    <t>THINNER 10</t>
  </si>
  <si>
    <t xml:space="preserve">معجون حديد </t>
  </si>
  <si>
    <t>تنر</t>
  </si>
  <si>
    <t>دهانات- دوكو</t>
  </si>
  <si>
    <t>كيما بوكسي CMB</t>
  </si>
  <si>
    <t>سلك لحام</t>
  </si>
  <si>
    <t>تراك مياه صاج بالمتر</t>
  </si>
  <si>
    <t>قاعدة خرسانة عادية</t>
  </si>
  <si>
    <t>سيكا cmb</t>
  </si>
  <si>
    <t>poly Carbonat 10 mm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</si>
  <si>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</si>
  <si>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</si>
  <si>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</si>
  <si>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</si>
  <si>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</si>
  <si>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</si>
  <si>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</si>
  <si>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</si>
  <si>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برجولة مثبتة علي مبني</t>
  </si>
  <si>
    <t>ويفي مثبتة علي مبني</t>
  </si>
  <si>
    <t>ويفي غير مثبتة علي مبني</t>
  </si>
  <si>
    <t>EGP</t>
  </si>
  <si>
    <t>سعر المتر</t>
  </si>
  <si>
    <t>مكان الاعمال</t>
  </si>
  <si>
    <t>الشيخ زايد</t>
  </si>
  <si>
    <t>كفر الشيخ</t>
  </si>
  <si>
    <t>الغربية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</si>
  <si>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</si>
  <si>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</si>
  <si>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</si>
  <si>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</si>
  <si>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</si>
  <si>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</si>
  <si>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</si>
  <si>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قطاعي</t>
  </si>
  <si>
    <t>مربعة</t>
  </si>
  <si>
    <t>اسباني</t>
  </si>
  <si>
    <t>no</t>
  </si>
  <si>
    <t>المحرك</t>
  </si>
  <si>
    <t>يدوي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</si>
  <si>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</si>
  <si>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</si>
  <si>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</si>
  <si>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</si>
  <si>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</si>
  <si>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</si>
  <si>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</si>
  <si>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</si>
  <si>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البحر الاحمر</t>
  </si>
  <si>
    <t>الشرقية</t>
  </si>
  <si>
    <t>الاسماعيلية</t>
  </si>
  <si>
    <t>المقاس</t>
  </si>
  <si>
    <t>4*4</t>
  </si>
  <si>
    <t>الارتفاع الخلفي</t>
  </si>
  <si>
    <t>ROYAL TELESQUP UMBRELLA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</si>
  <si>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</si>
  <si>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</si>
  <si>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</si>
  <si>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</si>
  <si>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المقطم</t>
  </si>
  <si>
    <t>التجمع</t>
  </si>
  <si>
    <t>عدد الباكيات</t>
  </si>
  <si>
    <t>موتور</t>
  </si>
  <si>
    <r>
      <rPr>
        <b/>
        <sz val="22"/>
        <color theme="0"/>
        <rFont val="Calibri"/>
        <family val="2"/>
        <scheme val="minor"/>
      </rPr>
      <t>المساحة م</t>
    </r>
    <r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</si>
  <si>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</si>
  <si>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</si>
  <si>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</si>
  <si>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الساحل الشمالي</t>
  </si>
  <si>
    <t>PERSA</t>
  </si>
  <si>
    <t>MOTORIZED LLUVERS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</si>
  <si>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</si>
  <si>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</si>
  <si>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</si>
  <si>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</si>
  <si>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</si>
  <si>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>سعر  الحديد</t>
  </si>
  <si>
    <t>سعر  الكمر</t>
  </si>
  <si>
    <t>سعر الالومنيوم بدون الدهان</t>
  </si>
  <si>
    <t>دهان الالومنيوم الخشبي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</si>
  <si>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</si>
  <si>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</si>
  <si>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</si>
  <si>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</si>
  <si>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</si>
  <si>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</si>
  <si>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</si>
  <si>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</si>
  <si>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</si>
  <si>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علب حديد و مواسير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</si>
  <si>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</si>
  <si>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</si>
  <si>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</si>
  <si>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</si>
  <si>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</si>
  <si>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</si>
  <si>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</si>
  <si>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</si>
  <si>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</si>
  <si>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</si>
  <si>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</si>
  <si>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</si>
  <si>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</si>
  <si>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</si>
  <si>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</si>
  <si>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صباحي</t>
  </si>
  <si>
    <t>دوكو</t>
  </si>
  <si>
    <r>
      <rPr>
        <b/>
        <sz val="11"/>
        <color theme="1"/>
        <rFont val="Calibri"/>
        <family val="2"/>
        <scheme val="minor"/>
      </rPr>
      <t xml:space="preserve"> 1ك/م</t>
    </r>
    <r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</si>
  <si>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</si>
  <si>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</si>
  <si>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</si>
  <si>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</si>
  <si>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</si>
  <si>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</si>
  <si>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</si>
  <si>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</si>
  <si>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</si>
  <si>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</si>
  <si>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</si>
  <si>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صنفرة</t>
  </si>
  <si>
    <t>1لوح / م2</t>
  </si>
  <si>
    <t xml:space="preserve">كمر حديد </t>
  </si>
  <si>
    <t>المنوفية</t>
  </si>
  <si>
    <t>Column12</t>
  </si>
  <si>
    <t>الدقهلية</t>
  </si>
  <si>
    <t>كمر حديد(C) 14سم 12 متر</t>
  </si>
  <si>
    <t>شبك 12 م</t>
  </si>
  <si>
    <t>كمر حديد(C) 14سم 6 متر</t>
  </si>
  <si>
    <t>دمياط</t>
  </si>
  <si>
    <t>BARRIER 80</t>
  </si>
  <si>
    <t>مستلزمات حدادة و تركيبات</t>
  </si>
  <si>
    <t>بورسعيد</t>
  </si>
  <si>
    <t>سعر الكيلو</t>
  </si>
  <si>
    <t>السويس</t>
  </si>
  <si>
    <t>باكو 5كجم</t>
  </si>
  <si>
    <t>كفر كبير و صغير</t>
  </si>
  <si>
    <t>بالكيلو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</si>
  <si>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</si>
  <si>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</si>
  <si>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</si>
  <si>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</si>
  <si>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</si>
  <si>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</si>
  <si>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</si>
  <si>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</si>
  <si>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مزراب و طبات</t>
  </si>
  <si>
    <t>بالسم</t>
  </si>
  <si>
    <t>بالتات و حجبة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</si>
  <si>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</si>
  <si>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</si>
  <si>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</si>
  <si>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</si>
  <si>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</si>
  <si>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</si>
  <si>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</si>
  <si>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</si>
  <si>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</si>
  <si>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</si>
  <si>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علبة 3 كيلو</t>
  </si>
  <si>
    <t>جركن 2 لتر</t>
  </si>
  <si>
    <t>جلفنة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</si>
  <si>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</si>
  <si>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</si>
  <si>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</si>
  <si>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</si>
  <si>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</si>
  <si>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</si>
  <si>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</si>
  <si>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</si>
  <si>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</si>
  <si>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</si>
  <si>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</si>
  <si>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</si>
  <si>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</si>
  <si>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</si>
  <si>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</si>
  <si>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</si>
  <si>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</si>
  <si>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</si>
  <si>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</si>
  <si>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</si>
  <si>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</si>
  <si>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</si>
  <si>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</si>
  <si>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</si>
  <si>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</si>
  <si>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</si>
  <si>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</si>
  <si>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</si>
  <si>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</si>
  <si>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</si>
  <si>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</si>
  <si>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</si>
  <si>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</si>
  <si>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</si>
  <si>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</si>
  <si>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</si>
  <si>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</si>
  <si>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</si>
  <si>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</si>
  <si>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</si>
  <si>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</si>
  <si>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</si>
  <si>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</si>
  <si>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</si>
  <si>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</si>
  <si>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</si>
  <si>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>البروفيل بالدهان   7 او 5</t>
  </si>
  <si>
    <t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</si>
  <si>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</si>
  <si>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</si>
  <si>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</si>
  <si>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</si>
  <si>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</si>
  <si>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</si>
  <si>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</si>
  <si>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</si>
  <si>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</si>
  <si>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</si>
  <si>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</si>
  <si>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</si>
  <si>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</si>
  <si>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</si>
  <si>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</si>
  <si>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</si>
  <si>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</si>
  <si>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</si>
  <si>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</si>
  <si>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</si>
  <si>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</si>
  <si>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</si>
  <si>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</si>
  <si>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</si>
  <si>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</si>
  <si>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</si>
  <si>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</si>
  <si>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</si>
  <si>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</si>
  <si>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</si>
  <si>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</si>
  <si>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</si>
  <si>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</si>
  <si>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</si>
  <si>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</si>
  <si>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</si>
  <si>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</si>
  <si>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</si>
  <si>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</si>
  <si>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</si>
  <si>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</si>
  <si>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</si>
  <si>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</si>
  <si>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</si>
  <si>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</si>
  <si>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</si>
  <si>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</si>
  <si>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</si>
  <si>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</si>
  <si>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</si>
  <si>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</si>
  <si>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</si>
  <si>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</si>
  <si>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</si>
  <si>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</si>
  <si>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</si>
  <si>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</si>
  <si>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</si>
  <si>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</si>
  <si>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</si>
  <si>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</si>
  <si>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</si>
  <si>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</si>
  <si>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</si>
  <si>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</si>
  <si>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</si>
  <si>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</si>
  <si>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</si>
  <si>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</si>
  <si>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</si>
  <si>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</si>
  <si>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</si>
  <si>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</si>
  <si>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</si>
  <si>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</si>
  <si>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</si>
  <si>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</si>
  <si>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</si>
  <si>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</si>
  <si>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</si>
  <si>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</si>
  <si>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</si>
  <si>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</si>
  <si>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</si>
  <si>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</si>
  <si>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</si>
  <si>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</si>
  <si>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</si>
  <si>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</si>
  <si>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</si>
  <si>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</si>
  <si>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</si>
  <si>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</si>
  <si>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</si>
  <si>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</si>
  <si>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</si>
  <si>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</si>
  <si>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</si>
  <si>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</si>
  <si>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</si>
  <si>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</si>
  <si>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</si>
  <si>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</si>
  <si>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</si>
  <si>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</si>
  <si>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</si>
  <si>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</si>
  <si>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</si>
  <si>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</si>
  <si>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</si>
  <si>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</si>
  <si>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</si>
  <si>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</si>
  <si>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</si>
  <si>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</si>
  <si>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</si>
  <si>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</si>
  <si>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</si>
  <si>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</si>
  <si>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</si>
  <si>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</si>
  <si>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</si>
  <si>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</si>
  <si>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</si>
  <si>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</si>
  <si>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</si>
  <si>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</si>
  <si>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</si>
  <si>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</si>
  <si>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</si>
  <si>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</si>
  <si>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</si>
  <si>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</si>
  <si>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</si>
  <si>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</si>
  <si>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</si>
  <si>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</si>
  <si>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</si>
  <si>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</si>
  <si>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</si>
  <si>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</si>
  <si>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</si>
  <si>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</si>
  <si>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بيرسا</t>
  </si>
  <si>
    <t>حساب تكلفة غير مثبتة علي مبني بمساحة</t>
  </si>
  <si>
    <t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</si>
  <si>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</si>
  <si>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</si>
  <si>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</si>
  <si>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</si>
  <si>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</si>
  <si>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</si>
  <si>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</si>
  <si>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</si>
  <si>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</si>
  <si>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</si>
  <si>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</si>
  <si>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</si>
  <si>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</si>
  <si>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</si>
  <si>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</si>
  <si>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</si>
  <si>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</si>
  <si>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</si>
  <si>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</si>
  <si>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</si>
  <si>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</si>
  <si>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</si>
  <si>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</si>
  <si>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</si>
  <si>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</si>
  <si>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</si>
  <si>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</si>
  <si>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</si>
  <si>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</si>
  <si>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</si>
  <si>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</si>
  <si>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</si>
  <si>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</si>
  <si>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</si>
  <si>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</si>
  <si>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</si>
  <si>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</si>
  <si>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</si>
  <si>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</si>
  <si>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</si>
  <si>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>
      <rPr>
        <b/>
        <sz val="14"/>
        <rFont val="Arial Greek"/>
        <charset val="134"/>
      </rPr>
      <t>m</t>
    </r>
    <r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</si>
  <si>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</si>
  <si>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</si>
  <si>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</si>
  <si>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</si>
  <si>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</si>
  <si>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</si>
  <si>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</si>
  <si>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</si>
  <si>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</si>
  <si>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</si>
  <si>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مجري بروفيل         70χ150</t>
  </si>
  <si>
    <t>مداد كبير                 A-Ω</t>
  </si>
  <si>
    <t>مداد كبير                 Β-Ε</t>
  </si>
  <si>
    <t xml:space="preserve">مدادات </t>
  </si>
  <si>
    <t>مداد صغير                A-Ω</t>
  </si>
  <si>
    <t>+</t>
  </si>
  <si>
    <t>مداد صغير                  Β-Ε</t>
  </si>
  <si>
    <t>محور                        Α</t>
  </si>
  <si>
    <t xml:space="preserve">المسافة بين منتصف قواعد التثبيت </t>
  </si>
  <si>
    <t>محور                       Ω</t>
  </si>
  <si>
    <t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</si>
  <si>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</si>
  <si>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</si>
  <si>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</si>
  <si>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</si>
  <si>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</si>
  <si>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</si>
  <si>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</si>
  <si>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</si>
  <si>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</si>
  <si>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</si>
  <si>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</si>
  <si>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</si>
  <si>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</si>
  <si>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</si>
  <si>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>غطاء جانبي مداد كبير  بلاستيك (واحدة)</t>
  </si>
  <si>
    <t>بالتة جانبية خلفية مغلقة (واحدة)</t>
  </si>
  <si>
    <t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</si>
  <si>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</si>
  <si>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</si>
  <si>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</si>
  <si>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</si>
  <si>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</si>
  <si>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</si>
  <si>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</si>
  <si>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</si>
  <si>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</si>
  <si>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</si>
  <si>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</si>
  <si>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</si>
  <si>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</si>
  <si>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</si>
  <si>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</si>
  <si>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</si>
  <si>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</si>
  <si>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</si>
  <si>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</si>
  <si>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</si>
  <si>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</si>
  <si>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</si>
  <si>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</si>
  <si>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</si>
  <si>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</si>
  <si>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</si>
  <si>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</si>
  <si>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</si>
  <si>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</si>
  <si>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</si>
  <si>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</si>
  <si>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>ابيض  Ral 9016</t>
  </si>
  <si>
    <t>قواعد سقف</t>
  </si>
  <si>
    <t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</si>
  <si>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</si>
  <si>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</si>
  <si>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</si>
  <si>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</si>
  <si>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</si>
  <si>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>ازرق  Ral 5024</t>
  </si>
  <si>
    <t>عارض  160Χ140</t>
  </si>
  <si>
    <t xml:space="preserve">إنيرجي </t>
  </si>
  <si>
    <t xml:space="preserve"> 15 cm</t>
  </si>
  <si>
    <t xml:space="preserve">زر تشغيل </t>
  </si>
  <si>
    <t>Star 160X85</t>
  </si>
  <si>
    <t>بني  Ral 1019</t>
  </si>
  <si>
    <t>عارض  160Χ120</t>
  </si>
  <si>
    <t xml:space="preserve"> 10 cm</t>
  </si>
  <si>
    <t>Star 180X100</t>
  </si>
  <si>
    <t>رمادي  Ral 9018</t>
  </si>
  <si>
    <t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</si>
  <si>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</si>
  <si>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</si>
  <si>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</si>
  <si>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</si>
  <si>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</si>
  <si>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</si>
  <si>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</si>
  <si>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</si>
  <si>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</si>
  <si>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</si>
  <si>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</si>
  <si>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</si>
  <si>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</si>
  <si>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</si>
  <si>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</si>
  <si>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</si>
  <si>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</si>
  <si>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</si>
  <si>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</si>
  <si>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</si>
  <si>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</si>
  <si>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</si>
  <si>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</si>
  <si>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</si>
  <si>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</si>
  <si>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</si>
  <si>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</si>
  <si>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</si>
  <si>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</si>
  <si>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</si>
  <si>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</si>
  <si>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</si>
  <si>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</si>
  <si>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</si>
  <si>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</si>
  <si>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</si>
  <si>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</si>
  <si>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</si>
  <si>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</si>
  <si>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</si>
  <si>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</si>
  <si>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</si>
  <si>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</si>
  <si>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</si>
  <si>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</si>
  <si>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</si>
  <si>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</si>
  <si>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</si>
  <si>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</si>
  <si>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>مجري  120Χ60</t>
  </si>
  <si>
    <t>مجري  150Χ70</t>
  </si>
  <si>
    <t xml:space="preserve">قص المجري </t>
  </si>
  <si>
    <t>مجري  160Χ60</t>
  </si>
  <si>
    <t>مجري  160Χ85</t>
  </si>
  <si>
    <t>مجري  180Χ100</t>
  </si>
  <si>
    <t xml:space="preserve">حساب النزلة </t>
  </si>
  <si>
    <t>قماش اسباني</t>
  </si>
  <si>
    <t xml:space="preserve">hdpeقماش 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</si>
  <si>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</si>
  <si>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</si>
  <si>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</si>
  <si>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</si>
  <si>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</si>
  <si>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</si>
  <si>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</si>
  <si>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</si>
  <si>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</si>
  <si>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</si>
  <si>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120</t>
  </si>
  <si>
    <t>موتور كربيني 50</t>
  </si>
  <si>
    <t>HARDTOP XP</t>
  </si>
  <si>
    <t>JOTAMASTIC 87</t>
  </si>
  <si>
    <t>موتور كربيني 50 بالريموت</t>
  </si>
  <si>
    <t>كاوتش 3خط</t>
  </si>
  <si>
    <t>جلفنة\</t>
  </si>
  <si>
    <t>زاوية 7سم</t>
  </si>
  <si>
    <t>مواسير قطر 16 سمك 4مم طول 4.5متر</t>
  </si>
  <si>
    <t>مواسير 48 مجلفنة 2.5 مم</t>
  </si>
  <si>
    <t>برجولا فلات رويال</t>
  </si>
  <si>
    <t>الموديل</t>
  </si>
  <si>
    <t>رويال برجولة</t>
  </si>
  <si>
    <t>رويال فلات</t>
  </si>
  <si>
    <t>سولتس</t>
  </si>
  <si>
    <t>برجولا فلات</t>
  </si>
  <si>
    <t>cantliver UMBRELLA</t>
  </si>
  <si>
    <t>رويال تنت</t>
  </si>
  <si>
    <t>عمال</t>
  </si>
  <si>
    <t>بشر</t>
  </si>
  <si>
    <t>اليابانية</t>
  </si>
  <si>
    <t>طبات مسامير</t>
  </si>
  <si>
    <t>بلاستيك</t>
  </si>
  <si>
    <t>مسامير</t>
  </si>
  <si>
    <t>استانلس</t>
  </si>
  <si>
    <t>مصد كاوتش</t>
  </si>
  <si>
    <t>عدد 2 عربية</t>
  </si>
  <si>
    <t>بلاستيك و معدن</t>
  </si>
  <si>
    <t>مقبض + يد</t>
  </si>
  <si>
    <t>تصنيع</t>
  </si>
  <si>
    <t>براكيت</t>
  </si>
  <si>
    <t>استانلس 4مم</t>
  </si>
  <si>
    <t>Uكبير</t>
  </si>
  <si>
    <t xml:space="preserve">شيال </t>
  </si>
  <si>
    <t xml:space="preserve"> U صغير      </t>
  </si>
  <si>
    <t>استانلس 3مم</t>
  </si>
  <si>
    <t xml:space="preserve"> شداد  طول 42سم عرض 4سم </t>
  </si>
  <si>
    <t>قماش</t>
  </si>
  <si>
    <t>اي</t>
  </si>
  <si>
    <t>دهانات اليكتروستاتيك</t>
  </si>
  <si>
    <t>بالقاعدة</t>
  </si>
  <si>
    <t>القاعدة الحديدية</t>
  </si>
  <si>
    <t>اليابانية و موردين التصنيع</t>
  </si>
  <si>
    <t>الخرشوفة العادية الهوكات البكر و قطع الاستانلس للريش و المسامير</t>
  </si>
  <si>
    <t>بلاستيك و استانلس</t>
  </si>
  <si>
    <t>كايرو ميتال</t>
  </si>
  <si>
    <t>RTN 6</t>
  </si>
  <si>
    <t>اليومصر</t>
  </si>
  <si>
    <t>ماسورة قطر 48 سمك 3مم</t>
  </si>
  <si>
    <t>محبب</t>
  </si>
  <si>
    <t>دريمز</t>
  </si>
  <si>
    <t>ROOL-101</t>
  </si>
  <si>
    <t>عادي</t>
  </si>
  <si>
    <t>يونيتال</t>
  </si>
  <si>
    <t>TN02</t>
  </si>
  <si>
    <t>التكلفة</t>
  </si>
  <si>
    <t>الطول</t>
  </si>
  <si>
    <t>الشركة المنتجة</t>
  </si>
  <si>
    <t>بدهان</t>
  </si>
  <si>
    <t>بقماش</t>
  </si>
  <si>
    <t>3</t>
  </si>
  <si>
    <t>بالقماش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</si>
  <si>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</si>
  <si>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</si>
  <si>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</si>
  <si>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</si>
  <si>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</si>
  <si>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قطاع ريش شمسيه كانتليفر طول 3.7متر RTN05</t>
  </si>
  <si>
    <t>قطاع ريش شمسيه كانتليفر طول 6.8متر RTN05</t>
  </si>
  <si>
    <t>ماسوره 6سم طول 3.20متر</t>
  </si>
  <si>
    <t>بكر للحبال للكانتليفر 1عجله</t>
  </si>
  <si>
    <t>المتحده</t>
  </si>
  <si>
    <t>بكر للحبال للكانتليفر 2عجله</t>
  </si>
  <si>
    <t>تيله استانلس معدله للكانتليفر</t>
  </si>
  <si>
    <t>محلي</t>
  </si>
  <si>
    <t>حرف  U للخرشوفه الحديد  للكانتليفر</t>
  </si>
  <si>
    <t>خرشوفه حديد مغلقه للكانتليفر</t>
  </si>
  <si>
    <t>خرشوفه حديد مفتوحه للكانتليفر</t>
  </si>
  <si>
    <t>طابه لريش الشمسيه الكانتليفر</t>
  </si>
  <si>
    <t>اليابانيه</t>
  </si>
  <si>
    <t>طقم ارتيلون 3قطع لخرشوفة الكانتليفر</t>
  </si>
  <si>
    <t>طبق علوي للكانتليفر (المتحده)</t>
  </si>
  <si>
    <t>عصفوره للحبال للكانتليفر</t>
  </si>
  <si>
    <t>شداد حبال للكانتليفر</t>
  </si>
  <si>
    <t>برشام كبير</t>
  </si>
  <si>
    <t>حسام نصر</t>
  </si>
  <si>
    <t>حبال</t>
  </si>
  <si>
    <t>متر طولي</t>
  </si>
  <si>
    <t>القاعدة كاملة</t>
  </si>
  <si>
    <t>سعر بيع شمسية البحر</t>
  </si>
  <si>
    <t>العدد</t>
  </si>
  <si>
    <t>القيمة</t>
  </si>
  <si>
    <t>متحركة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</si>
  <si>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</si>
  <si>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</si>
  <si>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</si>
  <si>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</si>
  <si>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</si>
  <si>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</si>
  <si>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</si>
  <si>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</si>
  <si>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>سنجل بدون طباعة</t>
  </si>
  <si>
    <t xml:space="preserve">خرشوفة حديد </t>
  </si>
  <si>
    <t>سنجل باللوجو</t>
  </si>
  <si>
    <t>حروف U للخرشوفة</t>
  </si>
  <si>
    <t>حبال الشماسي</t>
  </si>
  <si>
    <t>قماش مصري</t>
  </si>
  <si>
    <t>جلب للخرشوفة</t>
  </si>
  <si>
    <t>3.50 * 3.50</t>
  </si>
  <si>
    <t>بكرة كبيرة و صغيرة</t>
  </si>
  <si>
    <t>4.00 * 4.00</t>
  </si>
  <si>
    <t>طباعة اللوجو</t>
  </si>
  <si>
    <t>طقم ارتيلون 3 قطعة</t>
  </si>
  <si>
    <t>عمالة</t>
  </si>
  <si>
    <t>شداد و عصفورة و ارتيلون 20 سم</t>
  </si>
  <si>
    <t>قاعدة 70 * 70 جديدة</t>
  </si>
  <si>
    <t>ROYAL BEACH UMBRELLA</t>
  </si>
  <si>
    <t>قطر 2.7 م</t>
  </si>
  <si>
    <t>نوع القاعدة</t>
  </si>
  <si>
    <t>تركي</t>
  </si>
  <si>
    <t xml:space="preserve">قاعدة </t>
  </si>
  <si>
    <t>NEW ITEM</t>
  </si>
  <si>
    <t>قماش مصري للشماسي</t>
  </si>
  <si>
    <t>قماش تركي للشماسي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</si>
  <si>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</si>
  <si>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</si>
  <si>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</si>
  <si>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</si>
  <si>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</si>
  <si>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</si>
  <si>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</si>
  <si>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</si>
  <si>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</si>
  <si>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الوزن المتري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</si>
  <si>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</si>
  <si>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</si>
  <si>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</si>
  <si>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</si>
  <si>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</si>
  <si>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</si>
  <si>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</si>
  <si>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</si>
  <si>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</si>
  <si>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</si>
  <si>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</si>
  <si>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</si>
  <si>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</si>
  <si>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</si>
  <si>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</si>
  <si>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</si>
  <si>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</si>
  <si>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</si>
  <si>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</si>
  <si>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</si>
  <si>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</si>
  <si>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</si>
  <si>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</si>
  <si>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</si>
  <si>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</si>
  <si>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</si>
  <si>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</si>
  <si>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</si>
  <si>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</si>
  <si>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</si>
  <si>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</si>
  <si>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</si>
  <si>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</si>
  <si>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</si>
  <si>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</si>
  <si>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</si>
  <si>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</si>
  <si>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</si>
  <si>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</si>
  <si>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</si>
  <si>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>
      <t>m</t>
    </r>
    <r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</si>
  <si>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</si>
  <si>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</si>
  <si>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</si>
  <si>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</si>
  <si>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</si>
  <si>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</si>
  <si>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</si>
  <si>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</si>
  <si>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</si>
  <si>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</si>
  <si>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</si>
  <si>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</si>
  <si>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</si>
  <si>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</si>
  <si>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</si>
  <si>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</si>
  <si>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</si>
  <si>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</si>
  <si>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</si>
  <si>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</si>
  <si>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</si>
  <si>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>Aluminum pergolas</t>
  </si>
  <si>
    <t>لون  السيستم / اللوفرز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</si>
  <si>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</si>
  <si>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</si>
  <si>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</si>
  <si>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</si>
  <si>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كونكتور زاوية شامل المسامير</t>
  </si>
  <si>
    <t>ROYAL JUMBO UMBRELLA</t>
  </si>
  <si>
    <t>ELINA</t>
  </si>
  <si>
    <t>ORIANA</t>
  </si>
  <si>
    <t>ايبوكسي + دوكو</t>
  </si>
  <si>
    <t>جلفنة + جوتن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</si>
</sst>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name val="Arial Greek"/>
      <charset val="134"/>
    </font>
    <font>
      <b/>
      <sz val="9"/>
      <name val="Tahoma"/>
      <family val="2"/>
    </font>
    <font>
      <sz val="9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4.9989318521683403E-2"/>
      <name val="Calibri"/>
      <family val="2"/>
      <scheme val="minor"/>
    </font>
    <font>
      <b/>
      <sz val="24"/>
      <color theme="0" tint="-4.9989318521683403E-2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4.9989318521683403E-2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4.9989318521683403E-2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vertAlign val="superscript"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4.9989318521683403E-2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4.9989318521683403E-2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" fillId="0" borderId="0"/>
  </cellStyleXfs>
  <cellXfs count="1138">
    <xf numFmtId="0" fontId="0" fillId="0" borderId="0" xfId="0"/>
    <xf numFmtId="0" fontId="3" fillId="0" borderId="0" xfId="4" applyAlignment="1">
      <alignment horizontal="center"/>
    </xf>
    <xf numFmtId="0" fontId="3" fillId="0" borderId="1" xfId="4" applyBorder="1" applyAlignment="1">
      <alignment horizontal="center"/>
    </xf>
    <xf numFmtId="0" fontId="3" fillId="0" borderId="2" xfId="4" applyBorder="1" applyAlignment="1">
      <alignment horizontal="center"/>
    </xf>
    <xf numFmtId="0" fontId="3" fillId="0" borderId="3" xfId="4" applyBorder="1" applyAlignment="1">
      <alignment horizontal="center"/>
    </xf>
    <xf numFmtId="0" fontId="3" fillId="0" borderId="4" xfId="4" applyBorder="1" applyAlignment="1">
      <alignment horizontal="center"/>
    </xf>
    <xf numFmtId="0" fontId="3" fillId="0" borderId="5" xfId="4" applyBorder="1" applyAlignment="1">
      <alignment horizontal="center"/>
    </xf>
    <xf numFmtId="0" fontId="3" fillId="0" borderId="6" xfId="4" applyBorder="1" applyAlignment="1">
      <alignment horizontal="center"/>
    </xf>
    <xf numFmtId="0" fontId="3" fillId="0" borderId="7" xfId="4" applyBorder="1" applyAlignment="1">
      <alignment horizontal="center"/>
    </xf>
    <xf numFmtId="0" fontId="3" fillId="0" borderId="8" xfId="4" applyBorder="1" applyAlignment="1">
      <alignment horizontal="center"/>
    </xf>
    <xf numFmtId="0" fontId="3" fillId="0" borderId="0" xfId="4"/>
    <xf numFmtId="0" fontId="3" fillId="0" borderId="0" xfId="4" applyAlignment="1">
      <alignment horizontal="left"/>
    </xf>
    <xf numFmtId="0" fontId="3" fillId="0" borderId="9" xfId="4" applyBorder="1" applyAlignment="1">
      <alignment horizontal="center"/>
    </xf>
    <xf numFmtId="0" fontId="3" fillId="0" borderId="10" xfId="4" applyBorder="1" applyAlignment="1">
      <alignment horizontal="center"/>
    </xf>
    <xf numFmtId="0" fontId="3" fillId="0" borderId="11" xfId="4" applyBorder="1" applyAlignment="1">
      <alignment horizontal="center"/>
    </xf>
    <xf numFmtId="0" fontId="3" fillId="0" borderId="0" xfId="4" applyAlignment="1" applyProtection="1">
      <alignment horizontal="center"/>
      <protection locked="0"/>
    </xf>
    <xf numFmtId="0" fontId="3" fillId="0" borderId="5" xfId="4" applyBorder="1" applyAlignment="1" applyProtection="1">
      <alignment horizontal="center"/>
      <protection locked="0"/>
    </xf>
    <xf numFmtId="0" fontId="3" fillId="0" borderId="2" xfId="4" applyBorder="1"/>
    <xf numFmtId="0" fontId="3" fillId="0" borderId="7" xfId="4" applyBorder="1"/>
    <xf numFmtId="0" fontId="3" fillId="0" borderId="5" xfId="4" applyBorder="1"/>
    <xf numFmtId="0" fontId="3" fillId="0" borderId="12" xfId="4" applyBorder="1" applyAlignment="1">
      <alignment horizontal="center"/>
    </xf>
    <xf numFmtId="0" fontId="3" fillId="0" borderId="13" xfId="4" applyBorder="1" applyAlignment="1">
      <alignment horizontal="center"/>
    </xf>
    <xf numFmtId="0" fontId="3" fillId="0" borderId="14" xfId="4" applyBorder="1" applyAlignment="1">
      <alignment horizontal="center"/>
    </xf>
    <xf numFmtId="0" fontId="3" fillId="2" borderId="15" xfId="4" applyFill="1" applyBorder="1" applyAlignment="1">
      <alignment horizontal="center"/>
    </xf>
    <xf numFmtId="0" fontId="3" fillId="2" borderId="16" xfId="4" applyFill="1" applyBorder="1" applyAlignment="1">
      <alignment horizontal="center"/>
    </xf>
    <xf numFmtId="0" fontId="3" fillId="3" borderId="6" xfId="4" applyFill="1" applyBorder="1" applyAlignment="1">
      <alignment horizontal="center"/>
    </xf>
    <xf numFmtId="0" fontId="3" fillId="2" borderId="17" xfId="4" applyFill="1" applyBorder="1" applyAlignment="1">
      <alignment horizontal="center"/>
    </xf>
    <xf numFmtId="0" fontId="3" fillId="2" borderId="9" xfId="4" applyFill="1" applyBorder="1" applyAlignment="1">
      <alignment horizontal="center"/>
    </xf>
    <xf numFmtId="0" fontId="3" fillId="3" borderId="12" xfId="4" applyFill="1" applyBorder="1" applyAlignment="1">
      <alignment horizontal="center"/>
    </xf>
    <xf numFmtId="0" fontId="3" fillId="2" borderId="18" xfId="4" applyFill="1" applyBorder="1" applyAlignment="1">
      <alignment horizontal="center"/>
    </xf>
    <xf numFmtId="0" fontId="3" fillId="2" borderId="19" xfId="4" applyFill="1" applyBorder="1" applyAlignment="1">
      <alignment horizontal="center"/>
    </xf>
    <xf numFmtId="0" fontId="3" fillId="3" borderId="14" xfId="4" applyFill="1" applyBorder="1" applyAlignment="1">
      <alignment horizontal="center"/>
    </xf>
    <xf numFmtId="0" fontId="3" fillId="3" borderId="8" xfId="4" applyFill="1" applyBorder="1" applyAlignment="1">
      <alignment horizontal="center"/>
    </xf>
    <xf numFmtId="0" fontId="3" fillId="0" borderId="23" xfId="4" applyBorder="1" applyProtection="1">
      <protection locked="0"/>
    </xf>
    <xf numFmtId="0" fontId="3" fillId="0" borderId="0" xfId="4" applyProtection="1">
      <protection locked="0"/>
    </xf>
    <xf numFmtId="0" fontId="3" fillId="0" borderId="24" xfId="4" applyBorder="1" applyProtection="1">
      <protection locked="0"/>
    </xf>
    <xf numFmtId="0" fontId="3" fillId="5" borderId="0" xfId="4" applyFill="1" applyProtection="1">
      <protection locked="0"/>
    </xf>
    <xf numFmtId="0" fontId="4" fillId="0" borderId="0" xfId="4" applyFont="1" applyAlignment="1" applyProtection="1">
      <alignment horizontal="center"/>
      <protection locked="0"/>
    </xf>
    <xf numFmtId="16" fontId="3" fillId="0" borderId="0" xfId="4" applyNumberFormat="1" applyProtection="1">
      <protection locked="0"/>
    </xf>
    <xf numFmtId="0" fontId="4" fillId="0" borderId="23" xfId="4" applyFont="1" applyBorder="1" applyProtection="1">
      <protection locked="0"/>
    </xf>
    <xf numFmtId="0" fontId="4" fillId="0" borderId="0" xfId="4" applyFont="1" applyProtection="1">
      <protection locked="0"/>
    </xf>
    <xf numFmtId="1" fontId="3" fillId="0" borderId="0" xfId="4" applyNumberFormat="1" applyProtection="1">
      <protection locked="0"/>
    </xf>
    <xf numFmtId="0" fontId="5" fillId="0" borderId="24" xfId="4" applyFont="1" applyBorder="1" applyProtection="1">
      <protection locked="0"/>
    </xf>
    <xf numFmtId="1" fontId="4" fillId="0" borderId="0" xfId="4" applyNumberFormat="1" applyFont="1" applyProtection="1">
      <protection locked="0"/>
    </xf>
    <xf numFmtId="0" fontId="3" fillId="0" borderId="25" xfId="4" applyBorder="1" applyProtection="1">
      <protection locked="0"/>
    </xf>
    <xf numFmtId="1" fontId="4" fillId="0" borderId="26" xfId="4" applyNumberFormat="1" applyFont="1" applyBorder="1" applyProtection="1">
      <protection locked="0"/>
    </xf>
    <xf numFmtId="1" fontId="3" fillId="0" borderId="26" xfId="4" applyNumberFormat="1" applyBorder="1" applyProtection="1">
      <protection locked="0"/>
    </xf>
    <xf numFmtId="0" fontId="3" fillId="0" borderId="26" xfId="4" applyBorder="1" applyProtection="1">
      <protection locked="0"/>
    </xf>
    <xf numFmtId="0" fontId="3" fillId="0" borderId="27" xfId="4" applyBorder="1" applyProtection="1">
      <protection locked="0"/>
    </xf>
    <xf numFmtId="0" fontId="3" fillId="0" borderId="3" xfId="4" applyBorder="1"/>
    <xf numFmtId="0" fontId="3" fillId="0" borderId="13" xfId="4" applyBorder="1"/>
    <xf numFmtId="0" fontId="3" fillId="0" borderId="4" xfId="4" applyBorder="1"/>
    <xf numFmtId="0" fontId="3" fillId="0" borderId="8" xfId="4" applyBorder="1"/>
    <xf numFmtId="0" fontId="3" fillId="0" borderId="14" xfId="4" applyBorder="1"/>
    <xf numFmtId="16" fontId="3" fillId="0" borderId="0" xfId="4" applyNumberFormat="1" applyAlignment="1" applyProtection="1">
      <alignment horizontal="center"/>
      <protection locked="0"/>
    </xf>
    <xf numFmtId="1" fontId="3" fillId="0" borderId="0" xfId="4" applyNumberFormat="1" applyAlignment="1" applyProtection="1">
      <alignment horizontal="center"/>
      <protection locked="0"/>
    </xf>
    <xf numFmtId="0" fontId="3" fillId="0" borderId="26" xfId="4" applyBorder="1" applyAlignment="1" applyProtection="1">
      <alignment horizontal="center"/>
      <protection locked="0"/>
    </xf>
    <xf numFmtId="0" fontId="3" fillId="5" borderId="26" xfId="4" applyFill="1" applyBorder="1" applyProtection="1">
      <protection locked="0"/>
    </xf>
    <xf numFmtId="0" fontId="6" fillId="0" borderId="0" xfId="4" applyFont="1"/>
    <xf numFmtId="0" fontId="3" fillId="0" borderId="0" xfId="4" applyAlignment="1">
      <alignment vertical="center"/>
    </xf>
    <xf numFmtId="0" fontId="7" fillId="0" borderId="28" xfId="4" applyFont="1" applyBorder="1" applyAlignment="1">
      <alignment horizontal="center" vertical="center"/>
    </xf>
    <xf numFmtId="166" fontId="7" fillId="0" borderId="28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2" fontId="10" fillId="0" borderId="0" xfId="4" applyNumberFormat="1" applyFont="1" applyAlignment="1">
      <alignment horizontal="center" vertical="center" shrinkToFit="1"/>
    </xf>
    <xf numFmtId="0" fontId="11" fillId="6" borderId="28" xfId="4" applyFont="1" applyFill="1" applyBorder="1" applyAlignment="1">
      <alignment horizontal="center" vertical="center" shrinkToFit="1"/>
    </xf>
    <xf numFmtId="0" fontId="15" fillId="0" borderId="0" xfId="4" applyFont="1" applyAlignment="1">
      <alignment horizontal="left" vertical="center" shrinkToFit="1"/>
    </xf>
    <xf numFmtId="0" fontId="11" fillId="0" borderId="0" xfId="4" applyFont="1" applyAlignment="1">
      <alignment horizontal="center" vertical="center" shrinkToFit="1"/>
    </xf>
    <xf numFmtId="0" fontId="17" fillId="0" borderId="17" xfId="4" applyFont="1" applyBorder="1" applyAlignment="1">
      <alignment horizontal="center"/>
    </xf>
    <xf numFmtId="0" fontId="18" fillId="0" borderId="0" xfId="4" applyFont="1" applyAlignment="1">
      <alignment horizontal="center"/>
    </xf>
    <xf numFmtId="0" fontId="17" fillId="0" borderId="14" xfId="4" applyFont="1" applyBorder="1" applyAlignment="1">
      <alignment vertical="center" shrinkToFit="1"/>
    </xf>
    <xf numFmtId="0" fontId="17" fillId="0" borderId="14" xfId="4" applyFont="1" applyBorder="1" applyAlignment="1">
      <alignment horizontal="center" vertical="center" shrinkToFit="1"/>
    </xf>
    <xf numFmtId="0" fontId="17" fillId="0" borderId="0" xfId="4" applyFont="1" applyAlignment="1">
      <alignment vertical="center" shrinkToFit="1"/>
    </xf>
    <xf numFmtId="0" fontId="17" fillId="0" borderId="28" xfId="4" applyFont="1" applyBorder="1" applyAlignment="1">
      <alignment vertical="center" shrinkToFit="1"/>
    </xf>
    <xf numFmtId="0" fontId="17" fillId="0" borderId="28" xfId="4" applyFont="1" applyBorder="1" applyAlignment="1">
      <alignment horizontal="center" vertical="center" shrinkToFit="1"/>
    </xf>
    <xf numFmtId="0" fontId="17" fillId="0" borderId="0" xfId="4" applyFont="1" applyAlignment="1">
      <alignment horizontal="center" vertical="center" shrinkToFit="1"/>
    </xf>
    <xf numFmtId="0" fontId="19" fillId="0" borderId="0" xfId="4" applyFont="1"/>
    <xf numFmtId="0" fontId="17" fillId="0" borderId="0" xfId="4" applyFont="1" applyAlignment="1">
      <alignment horizontal="center"/>
    </xf>
    <xf numFmtId="0" fontId="17" fillId="0" borderId="10" xfId="4" applyFont="1" applyBorder="1" applyAlignment="1">
      <alignment horizontal="center"/>
    </xf>
    <xf numFmtId="0" fontId="3" fillId="0" borderId="10" xfId="4" applyBorder="1"/>
    <xf numFmtId="0" fontId="18" fillId="0" borderId="10" xfId="4" applyFont="1" applyBorder="1" applyAlignment="1">
      <alignment horizontal="center"/>
    </xf>
    <xf numFmtId="0" fontId="19" fillId="0" borderId="10" xfId="4" applyFont="1" applyBorder="1"/>
    <xf numFmtId="0" fontId="18" fillId="0" borderId="0" xfId="4" applyFont="1"/>
    <xf numFmtId="0" fontId="22" fillId="0" borderId="4" xfId="4" applyFont="1" applyBorder="1" applyAlignment="1">
      <alignment vertical="center" wrapText="1"/>
    </xf>
    <xf numFmtId="0" fontId="22" fillId="0" borderId="5" xfId="4" applyFont="1" applyBorder="1" applyAlignment="1">
      <alignment vertical="center" wrapText="1"/>
    </xf>
    <xf numFmtId="0" fontId="22" fillId="0" borderId="8" xfId="4" applyFont="1" applyBorder="1" applyAlignment="1">
      <alignment vertical="center" wrapText="1"/>
    </xf>
    <xf numFmtId="0" fontId="3" fillId="0" borderId="9" xfId="4" applyBorder="1"/>
    <xf numFmtId="0" fontId="3" fillId="0" borderId="1" xfId="4" applyBorder="1"/>
    <xf numFmtId="0" fontId="8" fillId="0" borderId="0" xfId="4" applyFont="1" applyAlignment="1">
      <alignment horizontal="center"/>
    </xf>
    <xf numFmtId="0" fontId="23" fillId="0" borderId="28" xfId="4" applyFont="1" applyBorder="1" applyAlignment="1">
      <alignment horizontal="center" vertical="center"/>
    </xf>
    <xf numFmtId="0" fontId="3" fillId="0" borderId="0" xfId="4" applyAlignment="1">
      <alignment horizontal="center" vertical="center" wrapText="1"/>
    </xf>
    <xf numFmtId="0" fontId="7" fillId="0" borderId="28" xfId="4" applyFont="1" applyBorder="1" applyAlignment="1">
      <alignment horizontal="center" vertical="center" wrapText="1"/>
    </xf>
    <xf numFmtId="167" fontId="3" fillId="0" borderId="0" xfId="4" applyNumberFormat="1" applyAlignment="1">
      <alignment horizontal="center" vertical="center" wrapText="1"/>
    </xf>
    <xf numFmtId="167" fontId="7" fillId="0" borderId="28" xfId="4" applyNumberFormat="1" applyFont="1" applyBorder="1" applyAlignment="1">
      <alignment horizontal="center" vertical="center" wrapText="1"/>
    </xf>
    <xf numFmtId="167" fontId="3" fillId="0" borderId="0" xfId="4" applyNumberFormat="1" applyAlignment="1">
      <alignment vertical="center" wrapText="1"/>
    </xf>
    <xf numFmtId="0" fontId="24" fillId="0" borderId="5" xfId="4" applyFont="1" applyBorder="1" applyAlignment="1">
      <alignment horizontal="center"/>
    </xf>
    <xf numFmtId="3" fontId="11" fillId="0" borderId="5" xfId="4" applyNumberFormat="1" applyFont="1" applyBorder="1" applyAlignment="1">
      <alignment vertical="center"/>
    </xf>
    <xf numFmtId="0" fontId="11" fillId="0" borderId="29" xfId="4" applyFont="1" applyBorder="1" applyAlignment="1">
      <alignment vertical="center"/>
    </xf>
    <xf numFmtId="0" fontId="11" fillId="0" borderId="28" xfId="4" applyFont="1" applyBorder="1" applyAlignment="1">
      <alignment horizontal="center" vertical="center"/>
    </xf>
    <xf numFmtId="0" fontId="15" fillId="0" borderId="10" xfId="4" applyFont="1" applyBorder="1" applyAlignment="1">
      <alignment vertical="center"/>
    </xf>
    <xf numFmtId="4" fontId="15" fillId="4" borderId="29" xfId="4" applyNumberFormat="1" applyFont="1" applyFill="1" applyBorder="1" applyAlignment="1">
      <alignment vertical="center"/>
    </xf>
    <xf numFmtId="0" fontId="25" fillId="2" borderId="10" xfId="4" applyFont="1" applyFill="1" applyBorder="1" applyAlignment="1">
      <alignment horizontal="center"/>
    </xf>
    <xf numFmtId="0" fontId="15" fillId="2" borderId="11" xfId="4" applyFont="1" applyFill="1" applyBorder="1" applyAlignment="1">
      <alignment vertical="center"/>
    </xf>
    <xf numFmtId="4" fontId="26" fillId="7" borderId="0" xfId="4" applyNumberFormat="1" applyFont="1" applyFill="1" applyAlignment="1">
      <alignment vertical="center"/>
    </xf>
    <xf numFmtId="0" fontId="7" fillId="2" borderId="28" xfId="4" applyFont="1" applyFill="1" applyBorder="1" applyAlignment="1">
      <alignment horizontal="center" vertical="center"/>
    </xf>
    <xf numFmtId="0" fontId="4" fillId="0" borderId="0" xfId="4" applyFont="1" applyAlignment="1">
      <alignment vertical="center" shrinkToFit="1"/>
    </xf>
    <xf numFmtId="0" fontId="22" fillId="0" borderId="0" xfId="4" applyFont="1" applyAlignment="1">
      <alignment horizontal="center"/>
    </xf>
    <xf numFmtId="0" fontId="3" fillId="0" borderId="0" xfId="4" applyAlignment="1">
      <alignment vertical="center" shrinkToFit="1"/>
    </xf>
    <xf numFmtId="0" fontId="11" fillId="2" borderId="28" xfId="4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 shrinkToFit="1"/>
    </xf>
    <xf numFmtId="0" fontId="22" fillId="0" borderId="14" xfId="4" applyFont="1" applyBorder="1" applyAlignment="1">
      <alignment horizontal="center" vertical="center" shrinkToFit="1"/>
    </xf>
    <xf numFmtId="0" fontId="27" fillId="0" borderId="14" xfId="4" applyFont="1" applyBorder="1" applyAlignment="1">
      <alignment horizontal="center" vertical="center" shrinkToFit="1"/>
    </xf>
    <xf numFmtId="0" fontId="22" fillId="0" borderId="0" xfId="4" applyFont="1" applyAlignment="1">
      <alignment horizontal="center" vertical="center" shrinkToFit="1"/>
    </xf>
    <xf numFmtId="0" fontId="22" fillId="0" borderId="28" xfId="4" applyFont="1" applyBorder="1" applyAlignment="1">
      <alignment horizontal="center" vertical="center" shrinkToFit="1"/>
    </xf>
    <xf numFmtId="165" fontId="28" fillId="0" borderId="0" xfId="4" applyNumberFormat="1" applyFont="1" applyAlignment="1">
      <alignment horizontal="center" vertical="center" shrinkToFit="1"/>
    </xf>
    <xf numFmtId="0" fontId="12" fillId="0" borderId="34" xfId="4" applyFont="1" applyBorder="1" applyAlignment="1">
      <alignment horizontal="center" vertical="center" shrinkToFit="1"/>
    </xf>
    <xf numFmtId="0" fontId="12" fillId="0" borderId="0" xfId="4" applyFont="1" applyAlignment="1">
      <alignment horizontal="center" vertical="center" shrinkToFit="1"/>
    </xf>
    <xf numFmtId="165" fontId="22" fillId="0" borderId="0" xfId="4" applyNumberFormat="1" applyFont="1" applyAlignment="1">
      <alignment horizontal="center" vertical="center" shrinkToFit="1"/>
    </xf>
    <xf numFmtId="0" fontId="22" fillId="0" borderId="0" xfId="4" applyFont="1" applyAlignment="1">
      <alignment vertical="center" shrinkToFit="1"/>
    </xf>
    <xf numFmtId="0" fontId="11" fillId="0" borderId="28" xfId="4" applyFont="1" applyBorder="1" applyAlignment="1">
      <alignment horizontal="center" vertical="center" shrinkToFit="1"/>
    </xf>
    <xf numFmtId="0" fontId="18" fillId="0" borderId="0" xfId="4" applyFont="1" applyAlignment="1">
      <alignment vertical="center"/>
    </xf>
    <xf numFmtId="0" fontId="29" fillId="6" borderId="28" xfId="4" applyFont="1" applyFill="1" applyBorder="1" applyAlignment="1">
      <alignment horizontal="center" vertical="center"/>
    </xf>
    <xf numFmtId="0" fontId="29" fillId="0" borderId="28" xfId="4" applyFont="1" applyBorder="1" applyAlignment="1">
      <alignment horizontal="center" vertical="center"/>
    </xf>
    <xf numFmtId="0" fontId="17" fillId="2" borderId="28" xfId="4" applyFont="1" applyFill="1" applyBorder="1" applyAlignment="1">
      <alignment horizontal="center" vertical="center" shrinkToFit="1"/>
    </xf>
    <xf numFmtId="0" fontId="18" fillId="0" borderId="10" xfId="4" applyFont="1" applyBorder="1"/>
    <xf numFmtId="0" fontId="29" fillId="0" borderId="10" xfId="4" applyFont="1" applyBorder="1" applyAlignment="1">
      <alignment vertical="center" shrinkToFit="1"/>
    </xf>
    <xf numFmtId="0" fontId="29" fillId="0" borderId="11" xfId="4" applyFont="1" applyBorder="1" applyAlignment="1">
      <alignment vertical="center" shrinkToFit="1"/>
    </xf>
    <xf numFmtId="0" fontId="29" fillId="0" borderId="0" xfId="4" applyFont="1" applyAlignment="1">
      <alignment vertical="center" shrinkToFit="1"/>
    </xf>
    <xf numFmtId="0" fontId="29" fillId="0" borderId="28" xfId="4" applyFont="1" applyBorder="1" applyAlignment="1">
      <alignment horizontal="center" vertical="center" shrinkToFit="1"/>
    </xf>
    <xf numFmtId="0" fontId="30" fillId="0" borderId="0" xfId="4" applyFont="1" applyAlignment="1">
      <alignment horizontal="center" vertical="center" shrinkToFit="1"/>
    </xf>
    <xf numFmtId="0" fontId="31" fillId="0" borderId="0" xfId="4" applyFont="1" applyAlignment="1">
      <alignment horizontal="center" vertical="center" shrinkToFit="1"/>
    </xf>
    <xf numFmtId="0" fontId="32" fillId="0" borderId="28" xfId="4" applyFont="1" applyBorder="1" applyAlignment="1">
      <alignment horizontal="center" vertical="center" shrinkToFit="1"/>
    </xf>
    <xf numFmtId="0" fontId="32" fillId="0" borderId="0" xfId="4" applyFont="1" applyAlignment="1">
      <alignment horizontal="center" shrinkToFit="1"/>
    </xf>
    <xf numFmtId="0" fontId="3" fillId="0" borderId="11" xfId="4" applyBorder="1" applyAlignment="1">
      <alignment vertical="center"/>
    </xf>
    <xf numFmtId="0" fontId="3" fillId="0" borderId="6" xfId="4" applyBorder="1" applyAlignment="1">
      <alignment vertical="center"/>
    </xf>
    <xf numFmtId="0" fontId="3" fillId="0" borderId="7" xfId="4" applyBorder="1" applyAlignment="1">
      <alignment vertical="center"/>
    </xf>
    <xf numFmtId="0" fontId="3" fillId="0" borderId="8" xfId="4" applyBorder="1" applyAlignment="1">
      <alignment vertical="center"/>
    </xf>
    <xf numFmtId="4" fontId="7" fillId="0" borderId="28" xfId="4" applyNumberFormat="1" applyFont="1" applyBorder="1" applyAlignment="1">
      <alignment horizontal="center" vertical="center"/>
    </xf>
    <xf numFmtId="0" fontId="15" fillId="2" borderId="28" xfId="4" applyFont="1" applyFill="1" applyBorder="1" applyAlignment="1">
      <alignment horizontal="center" vertical="center"/>
    </xf>
    <xf numFmtId="0" fontId="7" fillId="4" borderId="28" xfId="4" applyFont="1" applyFill="1" applyBorder="1" applyAlignment="1">
      <alignment horizontal="center" vertical="center"/>
    </xf>
    <xf numFmtId="166" fontId="7" fillId="2" borderId="28" xfId="4" applyNumberFormat="1" applyFont="1" applyFill="1" applyBorder="1" applyAlignment="1">
      <alignment horizontal="center" vertical="center"/>
    </xf>
    <xf numFmtId="2" fontId="7" fillId="2" borderId="28" xfId="4" applyNumberFormat="1" applyFont="1" applyFill="1" applyBorder="1" applyAlignment="1">
      <alignment horizontal="center" vertical="center"/>
    </xf>
    <xf numFmtId="3" fontId="7" fillId="2" borderId="28" xfId="4" applyNumberFormat="1" applyFont="1" applyFill="1" applyBorder="1" applyAlignment="1">
      <alignment horizontal="center" vertical="center"/>
    </xf>
    <xf numFmtId="0" fontId="7" fillId="6" borderId="28" xfId="4" applyFont="1" applyFill="1" applyBorder="1" applyAlignment="1">
      <alignment horizontal="center" vertical="center"/>
    </xf>
    <xf numFmtId="166" fontId="7" fillId="6" borderId="28" xfId="4" applyNumberFormat="1" applyFont="1" applyFill="1" applyBorder="1" applyAlignment="1">
      <alignment horizontal="center" vertical="center"/>
    </xf>
    <xf numFmtId="3" fontId="7" fillId="6" borderId="28" xfId="4" applyNumberFormat="1" applyFont="1" applyFill="1" applyBorder="1" applyAlignment="1">
      <alignment horizontal="center" vertical="center"/>
    </xf>
    <xf numFmtId="3" fontId="7" fillId="4" borderId="28" xfId="4" applyNumberFormat="1" applyFont="1" applyFill="1" applyBorder="1" applyAlignment="1">
      <alignment horizontal="center" vertical="center"/>
    </xf>
    <xf numFmtId="0" fontId="23" fillId="6" borderId="28" xfId="4" applyFont="1" applyFill="1" applyBorder="1" applyAlignment="1">
      <alignment horizontal="center" vertical="center"/>
    </xf>
    <xf numFmtId="166" fontId="23" fillId="6" borderId="28" xfId="4" applyNumberFormat="1" applyFont="1" applyFill="1" applyBorder="1" applyAlignment="1">
      <alignment horizontal="center" vertical="center"/>
    </xf>
    <xf numFmtId="0" fontId="7" fillId="8" borderId="28" xfId="4" applyFont="1" applyFill="1" applyBorder="1" applyAlignment="1">
      <alignment horizontal="center" vertical="center"/>
    </xf>
    <xf numFmtId="166" fontId="7" fillId="0" borderId="12" xfId="4" applyNumberFormat="1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166" fontId="7" fillId="0" borderId="15" xfId="4" applyNumberFormat="1" applyFont="1" applyBorder="1" applyAlignment="1">
      <alignment horizontal="center" vertical="center"/>
    </xf>
    <xf numFmtId="0" fontId="7" fillId="0" borderId="34" xfId="4" applyFont="1" applyBorder="1" applyAlignment="1">
      <alignment horizontal="center" vertical="center"/>
    </xf>
    <xf numFmtId="166" fontId="7" fillId="0" borderId="17" xfId="4" applyNumberFormat="1" applyFont="1" applyBorder="1" applyAlignment="1">
      <alignment horizontal="center" vertical="center"/>
    </xf>
    <xf numFmtId="165" fontId="7" fillId="0" borderId="28" xfId="4" applyNumberFormat="1" applyFont="1" applyBorder="1" applyAlignment="1">
      <alignment horizontal="center" vertical="center"/>
    </xf>
    <xf numFmtId="166" fontId="7" fillId="0" borderId="18" xfId="4" applyNumberFormat="1" applyFont="1" applyBorder="1" applyAlignment="1">
      <alignment horizontal="center" vertical="center"/>
    </xf>
    <xf numFmtId="0" fontId="7" fillId="0" borderId="33" xfId="4" applyFont="1" applyBorder="1" applyAlignment="1">
      <alignment horizontal="center" vertical="center"/>
    </xf>
    <xf numFmtId="166" fontId="7" fillId="0" borderId="14" xfId="4" applyNumberFormat="1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23" fillId="6" borderId="9" xfId="4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7" fillId="0" borderId="19" xfId="4" applyFont="1" applyBorder="1" applyAlignment="1">
      <alignment horizontal="center" vertical="center"/>
    </xf>
    <xf numFmtId="0" fontId="23" fillId="0" borderId="10" xfId="4" applyFont="1" applyBorder="1"/>
    <xf numFmtId="2" fontId="23" fillId="0" borderId="10" xfId="4" applyNumberFormat="1" applyFont="1" applyBorder="1"/>
    <xf numFmtId="0" fontId="23" fillId="0" borderId="3" xfId="4" applyFont="1" applyBorder="1"/>
    <xf numFmtId="0" fontId="23" fillId="0" borderId="0" xfId="4" applyFont="1"/>
    <xf numFmtId="0" fontId="23" fillId="0" borderId="1" xfId="4" applyFont="1" applyBorder="1"/>
    <xf numFmtId="0" fontId="23" fillId="0" borderId="2" xfId="4" applyFont="1" applyBorder="1"/>
    <xf numFmtId="0" fontId="23" fillId="0" borderId="4" xfId="4" applyFont="1" applyBorder="1"/>
    <xf numFmtId="0" fontId="23" fillId="0" borderId="5" xfId="4" applyFont="1" applyBorder="1"/>
    <xf numFmtId="0" fontId="33" fillId="0" borderId="10" xfId="4" applyFont="1" applyBorder="1"/>
    <xf numFmtId="0" fontId="33" fillId="0" borderId="11" xfId="4" applyFont="1" applyBorder="1" applyAlignment="1">
      <alignment vertical="center"/>
    </xf>
    <xf numFmtId="0" fontId="33" fillId="0" borderId="0" xfId="4" applyFont="1" applyAlignment="1">
      <alignment vertical="center"/>
    </xf>
    <xf numFmtId="0" fontId="23" fillId="0" borderId="6" xfId="4" applyFont="1" applyBorder="1"/>
    <xf numFmtId="0" fontId="33" fillId="0" borderId="0" xfId="4" applyFont="1"/>
    <xf numFmtId="0" fontId="23" fillId="0" borderId="0" xfId="4" applyFont="1" applyAlignment="1">
      <alignment horizontal="center"/>
    </xf>
    <xf numFmtId="0" fontId="23" fillId="0" borderId="8" xfId="4" applyFont="1" applyBorder="1"/>
    <xf numFmtId="0" fontId="3" fillId="0" borderId="10" xfId="4" applyBorder="1" applyAlignment="1" applyProtection="1">
      <alignment horizontal="center"/>
      <protection locked="0"/>
    </xf>
    <xf numFmtId="0" fontId="6" fillId="2" borderId="5" xfId="4" applyFont="1" applyFill="1" applyBorder="1" applyAlignment="1">
      <alignment horizontal="center"/>
    </xf>
    <xf numFmtId="3" fontId="6" fillId="2" borderId="14" xfId="4" applyNumberFormat="1" applyFont="1" applyFill="1" applyBorder="1" applyAlignment="1" applyProtection="1">
      <alignment horizontal="center"/>
      <protection locked="0"/>
    </xf>
    <xf numFmtId="0" fontId="6" fillId="2" borderId="14" xfId="4" applyFont="1" applyFill="1" applyBorder="1" applyAlignment="1">
      <alignment horizontal="center"/>
    </xf>
    <xf numFmtId="3" fontId="6" fillId="2" borderId="8" xfId="4" applyNumberFormat="1" applyFont="1" applyFill="1" applyBorder="1" applyAlignment="1" applyProtection="1">
      <alignment horizontal="center"/>
      <protection locked="0"/>
    </xf>
    <xf numFmtId="0" fontId="3" fillId="0" borderId="11" xfId="4" applyBorder="1" applyAlignment="1">
      <alignment horizontal="left"/>
    </xf>
    <xf numFmtId="0" fontId="3" fillId="0" borderId="28" xfId="4" applyBorder="1" applyAlignment="1">
      <alignment horizontal="center"/>
    </xf>
    <xf numFmtId="0" fontId="11" fillId="0" borderId="5" xfId="4" applyFont="1" applyBorder="1" applyAlignment="1">
      <alignment vertical="center"/>
    </xf>
    <xf numFmtId="0" fontId="7" fillId="0" borderId="0" xfId="4" applyFont="1" applyAlignment="1">
      <alignment horizontal="center"/>
    </xf>
    <xf numFmtId="0" fontId="7" fillId="8" borderId="20" xfId="4" applyFont="1" applyFill="1" applyBorder="1" applyAlignment="1">
      <alignment vertical="center"/>
    </xf>
    <xf numFmtId="168" fontId="34" fillId="8" borderId="21" xfId="4" applyNumberFormat="1" applyFont="1" applyFill="1" applyBorder="1" applyAlignment="1">
      <alignment horizontal="right"/>
    </xf>
    <xf numFmtId="0" fontId="7" fillId="9" borderId="21" xfId="4" applyFont="1" applyFill="1" applyBorder="1" applyAlignment="1">
      <alignment horizontal="center"/>
    </xf>
    <xf numFmtId="3" fontId="7" fillId="2" borderId="21" xfId="4" applyNumberFormat="1" applyFont="1" applyFill="1" applyBorder="1" applyAlignment="1">
      <alignment horizontal="center"/>
    </xf>
    <xf numFmtId="0" fontId="23" fillId="0" borderId="21" xfId="4" applyFont="1" applyBorder="1"/>
    <xf numFmtId="0" fontId="35" fillId="0" borderId="2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4" applyFont="1" applyAlignment="1">
      <alignment horizontal="center"/>
    </xf>
    <xf numFmtId="3" fontId="35" fillId="0" borderId="0" xfId="0" applyNumberFormat="1" applyFont="1" applyAlignment="1">
      <alignment horizontal="center" vertical="center"/>
    </xf>
    <xf numFmtId="168" fontId="35" fillId="0" borderId="0" xfId="0" applyNumberFormat="1" applyFont="1" applyAlignment="1">
      <alignment horizontal="center" vertical="center"/>
    </xf>
    <xf numFmtId="0" fontId="36" fillId="0" borderId="28" xfId="4" applyFont="1" applyBorder="1" applyAlignment="1">
      <alignment horizontal="center"/>
    </xf>
    <xf numFmtId="2" fontId="35" fillId="0" borderId="0" xfId="0" applyNumberFormat="1" applyFont="1" applyAlignment="1">
      <alignment horizontal="center" vertical="center"/>
    </xf>
    <xf numFmtId="0" fontId="3" fillId="0" borderId="23" xfId="4" applyBorder="1" applyAlignment="1">
      <alignment horizontal="center"/>
    </xf>
    <xf numFmtId="0" fontId="38" fillId="0" borderId="35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9" fillId="0" borderId="37" xfId="0" applyFont="1" applyBorder="1" applyAlignment="1" applyProtection="1">
      <alignment horizontal="center" vertical="center"/>
      <protection locked="0"/>
    </xf>
    <xf numFmtId="0" fontId="39" fillId="0" borderId="38" xfId="0" applyFont="1" applyBorder="1" applyAlignment="1" applyProtection="1">
      <alignment horizontal="center" vertical="center"/>
      <protection locked="0"/>
    </xf>
    <xf numFmtId="2" fontId="3" fillId="0" borderId="28" xfId="4" applyNumberFormat="1" applyBorder="1" applyAlignment="1">
      <alignment horizontal="center"/>
    </xf>
    <xf numFmtId="0" fontId="40" fillId="2" borderId="29" xfId="0" applyFont="1" applyFill="1" applyBorder="1" applyAlignment="1" applyProtection="1">
      <alignment vertical="center"/>
      <protection locked="0"/>
    </xf>
    <xf numFmtId="0" fontId="4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0" borderId="0" xfId="0" applyFont="1" applyAlignment="1" applyProtection="1">
      <alignment horizontal="center"/>
      <protection locked="0"/>
    </xf>
    <xf numFmtId="0" fontId="44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center" shrinkToFit="1"/>
    </xf>
    <xf numFmtId="0" fontId="45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 applyProtection="1">
      <alignment horizontal="center"/>
      <protection locked="0"/>
    </xf>
    <xf numFmtId="0" fontId="44" fillId="7" borderId="0" xfId="0" applyFont="1" applyFill="1" applyAlignment="1">
      <alignment horizontal="center" vertical="center" shrinkToFit="1"/>
    </xf>
    <xf numFmtId="0" fontId="44" fillId="7" borderId="0" xfId="0" applyFont="1" applyFill="1" applyAlignment="1">
      <alignment horizontal="center" shrinkToFit="1"/>
    </xf>
    <xf numFmtId="1" fontId="44" fillId="0" borderId="0" xfId="0" applyNumberFormat="1" applyFont="1" applyAlignment="1" applyProtection="1">
      <alignment horizontal="center"/>
      <protection locked="0"/>
    </xf>
    <xf numFmtId="14" fontId="43" fillId="0" borderId="16" xfId="0" applyNumberFormat="1" applyFont="1" applyBorder="1" applyAlignment="1">
      <alignment horizontal="center"/>
    </xf>
    <xf numFmtId="0" fontId="43" fillId="0" borderId="39" xfId="0" applyFont="1" applyBorder="1"/>
    <xf numFmtId="0" fontId="43" fillId="0" borderId="21" xfId="0" applyFont="1" applyBorder="1"/>
    <xf numFmtId="0" fontId="0" fillId="0" borderId="21" xfId="0" applyBorder="1" applyAlignment="1">
      <alignment horizontal="center"/>
    </xf>
    <xf numFmtId="0" fontId="41" fillId="0" borderId="21" xfId="0" applyFont="1" applyBorder="1" applyAlignment="1">
      <alignment horizontal="center"/>
    </xf>
    <xf numFmtId="2" fontId="46" fillId="0" borderId="19" xfId="0" applyNumberFormat="1" applyFont="1" applyBorder="1" applyAlignment="1">
      <alignment horizontal="center"/>
    </xf>
    <xf numFmtId="0" fontId="46" fillId="0" borderId="40" xfId="0" applyFont="1" applyBorder="1"/>
    <xf numFmtId="4" fontId="38" fillId="0" borderId="35" xfId="0" applyNumberFormat="1" applyFont="1" applyBorder="1" applyAlignment="1">
      <alignment horizontal="center"/>
    </xf>
    <xf numFmtId="4" fontId="38" fillId="0" borderId="28" xfId="0" applyNumberFormat="1" applyFont="1" applyBorder="1" applyAlignment="1">
      <alignment horizontal="center"/>
    </xf>
    <xf numFmtId="4" fontId="38" fillId="0" borderId="3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43" fillId="2" borderId="41" xfId="0" applyNumberFormat="1" applyFont="1" applyFill="1" applyBorder="1" applyAlignment="1">
      <alignment horizontal="center" vertical="center"/>
    </xf>
    <xf numFmtId="169" fontId="43" fillId="0" borderId="0" xfId="0" applyNumberFormat="1" applyFont="1" applyAlignment="1">
      <alignment vertical="center"/>
    </xf>
    <xf numFmtId="169" fontId="38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14" fontId="43" fillId="0" borderId="0" xfId="0" applyNumberFormat="1" applyFont="1" applyAlignment="1">
      <alignment horizontal="center"/>
    </xf>
    <xf numFmtId="3" fontId="45" fillId="0" borderId="0" xfId="0" applyNumberFormat="1" applyFont="1" applyAlignment="1">
      <alignment horizontal="center"/>
    </xf>
    <xf numFmtId="2" fontId="44" fillId="12" borderId="0" xfId="0" applyNumberFormat="1" applyFont="1" applyFill="1" applyAlignment="1">
      <alignment horizontal="center"/>
    </xf>
    <xf numFmtId="9" fontId="36" fillId="0" borderId="0" xfId="2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3" fontId="44" fillId="0" borderId="0" xfId="0" applyNumberFormat="1" applyFont="1" applyAlignment="1">
      <alignment horizontal="center"/>
    </xf>
    <xf numFmtId="9" fontId="36" fillId="0" borderId="0" xfId="0" applyNumberFormat="1" applyFont="1" applyAlignment="1">
      <alignment horizontal="center"/>
    </xf>
    <xf numFmtId="14" fontId="44" fillId="0" borderId="0" xfId="0" applyNumberFormat="1" applyFont="1" applyAlignment="1">
      <alignment horizontal="center"/>
    </xf>
    <xf numFmtId="4" fontId="44" fillId="13" borderId="0" xfId="0" applyNumberFormat="1" applyFont="1" applyFill="1" applyAlignment="1">
      <alignment horizontal="center"/>
    </xf>
    <xf numFmtId="4" fontId="44" fillId="0" borderId="0" xfId="0" applyNumberFormat="1" applyFont="1" applyAlignment="1">
      <alignment horizontal="center"/>
    </xf>
    <xf numFmtId="4" fontId="45" fillId="0" borderId="0" xfId="0" applyNumberFormat="1" applyFont="1" applyAlignment="1">
      <alignment horizontal="center"/>
    </xf>
    <xf numFmtId="9" fontId="44" fillId="0" borderId="0" xfId="2" applyFont="1" applyFill="1" applyBorder="1" applyAlignment="1">
      <alignment horizontal="center"/>
    </xf>
    <xf numFmtId="0" fontId="44" fillId="7" borderId="0" xfId="0" applyFont="1" applyFill="1" applyAlignment="1">
      <alignment horizontal="center"/>
    </xf>
    <xf numFmtId="165" fontId="36" fillId="0" borderId="0" xfId="2" applyNumberFormat="1" applyFont="1" applyFill="1" applyBorder="1" applyAlignment="1">
      <alignment horizontal="center"/>
    </xf>
    <xf numFmtId="1" fontId="44" fillId="12" borderId="0" xfId="0" applyNumberFormat="1" applyFont="1" applyFill="1" applyAlignment="1">
      <alignment horizontal="center"/>
    </xf>
    <xf numFmtId="168" fontId="36" fillId="0" borderId="0" xfId="0" applyNumberFormat="1" applyFont="1" applyAlignment="1">
      <alignment horizontal="center"/>
    </xf>
    <xf numFmtId="0" fontId="41" fillId="0" borderId="22" xfId="0" applyFont="1" applyBorder="1" applyAlignment="1">
      <alignment horizontal="center"/>
    </xf>
    <xf numFmtId="0" fontId="41" fillId="0" borderId="24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168" fontId="36" fillId="0" borderId="24" xfId="0" applyNumberFormat="1" applyFont="1" applyBorder="1" applyAlignment="1">
      <alignment horizontal="center"/>
    </xf>
    <xf numFmtId="0" fontId="36" fillId="0" borderId="15" xfId="4" applyFont="1" applyBorder="1" applyAlignment="1">
      <alignment horizontal="center"/>
    </xf>
    <xf numFmtId="2" fontId="3" fillId="0" borderId="34" xfId="4" applyNumberFormat="1" applyBorder="1" applyAlignment="1">
      <alignment horizontal="center"/>
    </xf>
    <xf numFmtId="2" fontId="3" fillId="0" borderId="33" xfId="4" applyNumberFormat="1" applyBorder="1" applyAlignment="1">
      <alignment horizontal="center"/>
    </xf>
    <xf numFmtId="0" fontId="3" fillId="0" borderId="36" xfId="4" applyBorder="1" applyAlignment="1">
      <alignment horizontal="center"/>
    </xf>
    <xf numFmtId="0" fontId="3" fillId="0" borderId="42" xfId="4" applyBorder="1" applyAlignment="1">
      <alignment horizontal="center"/>
    </xf>
    <xf numFmtId="0" fontId="3" fillId="0" borderId="38" xfId="4" applyBorder="1" applyAlignment="1">
      <alignment horizontal="center"/>
    </xf>
    <xf numFmtId="2" fontId="3" fillId="0" borderId="0" xfId="4" applyNumberFormat="1" applyAlignment="1">
      <alignment horizontal="center"/>
    </xf>
    <xf numFmtId="170" fontId="36" fillId="0" borderId="0" xfId="2" applyNumberFormat="1" applyFont="1" applyFill="1" applyBorder="1" applyAlignment="1">
      <alignment horizontal="center"/>
    </xf>
    <xf numFmtId="0" fontId="3" fillId="0" borderId="20" xfId="4" applyBorder="1" applyAlignment="1">
      <alignment horizontal="center"/>
    </xf>
    <xf numFmtId="0" fontId="3" fillId="0" borderId="21" xfId="4" applyBorder="1" applyAlignment="1">
      <alignment horizontal="center"/>
    </xf>
    <xf numFmtId="0" fontId="7" fillId="8" borderId="23" xfId="4" applyFont="1" applyFill="1" applyBorder="1" applyAlignment="1">
      <alignment vertical="center"/>
    </xf>
    <xf numFmtId="168" fontId="34" fillId="8" borderId="0" xfId="4" applyNumberFormat="1" applyFont="1" applyFill="1" applyAlignment="1">
      <alignment horizontal="right"/>
    </xf>
    <xf numFmtId="0" fontId="7" fillId="9" borderId="0" xfId="4" applyFont="1" applyFill="1" applyAlignment="1">
      <alignment horizontal="center"/>
    </xf>
    <xf numFmtId="3" fontId="7" fillId="2" borderId="0" xfId="4" applyNumberFormat="1" applyFont="1" applyFill="1" applyAlignment="1">
      <alignment horizontal="center"/>
    </xf>
    <xf numFmtId="0" fontId="44" fillId="0" borderId="26" xfId="0" applyFont="1" applyBorder="1" applyAlignment="1">
      <alignment horizontal="center"/>
    </xf>
    <xf numFmtId="0" fontId="44" fillId="0" borderId="26" xfId="0" applyFont="1" applyBorder="1" applyAlignment="1" applyProtection="1">
      <alignment horizontal="center"/>
      <protection locked="0"/>
    </xf>
    <xf numFmtId="0" fontId="44" fillId="0" borderId="26" xfId="0" applyFont="1" applyBorder="1" applyAlignment="1">
      <alignment horizontal="center" vertical="center" shrinkToFit="1"/>
    </xf>
    <xf numFmtId="0" fontId="44" fillId="0" borderId="26" xfId="0" applyFont="1" applyBorder="1" applyAlignment="1">
      <alignment horizontal="center" shrinkToFit="1"/>
    </xf>
    <xf numFmtId="0" fontId="38" fillId="0" borderId="21" xfId="0" applyFont="1" applyBorder="1" applyAlignment="1">
      <alignment horizontal="center" vertical="center"/>
    </xf>
    <xf numFmtId="0" fontId="39" fillId="0" borderId="0" xfId="0" applyFont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vertical="center"/>
      <protection locked="0"/>
    </xf>
    <xf numFmtId="2" fontId="3" fillId="0" borderId="28" xfId="4" applyNumberFormat="1" applyBorder="1" applyAlignment="1">
      <alignment horizontal="center" vertical="center"/>
    </xf>
    <xf numFmtId="9" fontId="44" fillId="0" borderId="0" xfId="0" applyNumberFormat="1" applyFont="1" applyAlignment="1">
      <alignment horizontal="center" shrinkToFit="1"/>
    </xf>
    <xf numFmtId="1" fontId="44" fillId="0" borderId="0" xfId="0" applyNumberFormat="1" applyFont="1" applyAlignment="1">
      <alignment horizontal="center" shrinkToFit="1"/>
    </xf>
    <xf numFmtId="2" fontId="44" fillId="0" borderId="0" xfId="0" applyNumberFormat="1" applyFont="1" applyAlignment="1">
      <alignment horizontal="center"/>
    </xf>
    <xf numFmtId="165" fontId="36" fillId="0" borderId="0" xfId="0" applyNumberFormat="1" applyFont="1" applyAlignment="1">
      <alignment horizontal="center"/>
    </xf>
    <xf numFmtId="9" fontId="44" fillId="0" borderId="26" xfId="2" applyFont="1" applyFill="1" applyBorder="1" applyAlignment="1">
      <alignment horizontal="center" shrinkToFit="1"/>
    </xf>
    <xf numFmtId="1" fontId="44" fillId="0" borderId="26" xfId="0" applyNumberFormat="1" applyFont="1" applyBorder="1" applyAlignment="1">
      <alignment horizontal="center" shrinkToFit="1"/>
    </xf>
    <xf numFmtId="3" fontId="44" fillId="0" borderId="26" xfId="0" applyNumberFormat="1" applyFont="1" applyBorder="1" applyAlignment="1">
      <alignment horizontal="center"/>
    </xf>
    <xf numFmtId="2" fontId="44" fillId="0" borderId="26" xfId="0" applyNumberFormat="1" applyFont="1" applyBorder="1" applyAlignment="1">
      <alignment horizontal="center"/>
    </xf>
    <xf numFmtId="165" fontId="36" fillId="0" borderId="26" xfId="0" applyNumberFormat="1" applyFont="1" applyBorder="1" applyAlignment="1">
      <alignment horizontal="center"/>
    </xf>
    <xf numFmtId="14" fontId="43" fillId="0" borderId="21" xfId="0" applyNumberFormat="1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2" fontId="46" fillId="0" borderId="0" xfId="0" applyNumberFormat="1" applyFont="1" applyAlignment="1">
      <alignment horizontal="center"/>
    </xf>
    <xf numFmtId="0" fontId="46" fillId="0" borderId="0" xfId="0" applyFont="1"/>
    <xf numFmtId="4" fontId="38" fillId="0" borderId="0" xfId="0" applyNumberFormat="1" applyFont="1" applyAlignment="1">
      <alignment horizontal="center"/>
    </xf>
    <xf numFmtId="14" fontId="43" fillId="2" borderId="0" xfId="0" applyNumberFormat="1" applyFont="1" applyFill="1" applyAlignment="1">
      <alignment horizontal="center" vertical="center"/>
    </xf>
    <xf numFmtId="0" fontId="36" fillId="0" borderId="22" xfId="0" applyFont="1" applyBorder="1" applyAlignment="1">
      <alignment horizontal="center"/>
    </xf>
    <xf numFmtId="0" fontId="3" fillId="0" borderId="43" xfId="4" applyBorder="1" applyAlignment="1">
      <alignment horizontal="center"/>
    </xf>
    <xf numFmtId="0" fontId="47" fillId="0" borderId="23" xfId="0" applyFont="1" applyBorder="1" applyAlignment="1">
      <alignment horizontal="center" vertical="center"/>
    </xf>
    <xf numFmtId="171" fontId="3" fillId="0" borderId="28" xfId="4" applyNumberFormat="1" applyBorder="1" applyAlignment="1">
      <alignment horizontal="center"/>
    </xf>
    <xf numFmtId="2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14" fontId="44" fillId="0" borderId="21" xfId="0" applyNumberFormat="1" applyFont="1" applyBorder="1" applyAlignment="1">
      <alignment horizontal="center"/>
    </xf>
    <xf numFmtId="0" fontId="37" fillId="0" borderId="0" xfId="0" applyFont="1" applyAlignment="1" applyProtection="1">
      <alignment horizontal="center" vertical="center"/>
      <protection locked="0"/>
    </xf>
    <xf numFmtId="2" fontId="37" fillId="0" borderId="0" xfId="0" applyNumberFormat="1" applyFont="1" applyAlignment="1">
      <alignment horizontal="center"/>
    </xf>
    <xf numFmtId="0" fontId="40" fillId="2" borderId="0" xfId="0" applyFont="1" applyFill="1" applyAlignment="1" applyProtection="1">
      <alignment horizontal="center" vertical="center"/>
      <protection locked="0"/>
    </xf>
    <xf numFmtId="0" fontId="44" fillId="0" borderId="21" xfId="0" applyFont="1" applyBorder="1"/>
    <xf numFmtId="0" fontId="37" fillId="0" borderId="0" xfId="0" applyFont="1"/>
    <xf numFmtId="0" fontId="3" fillId="0" borderId="25" xfId="4" applyBorder="1" applyAlignment="1">
      <alignment horizontal="center"/>
    </xf>
    <xf numFmtId="0" fontId="3" fillId="0" borderId="26" xfId="4" applyBorder="1" applyAlignment="1">
      <alignment horizontal="center"/>
    </xf>
    <xf numFmtId="9" fontId="44" fillId="0" borderId="0" xfId="2" applyFont="1" applyFill="1" applyBorder="1" applyAlignment="1">
      <alignment horizontal="center" shrinkToFit="1"/>
    </xf>
    <xf numFmtId="0" fontId="36" fillId="0" borderId="26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3" xfId="0" applyBorder="1" applyProtection="1">
      <protection hidden="1"/>
    </xf>
    <xf numFmtId="0" fontId="36" fillId="0" borderId="8" xfId="0" applyFont="1" applyBorder="1" applyProtection="1"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11" xfId="0" applyFont="1" applyBorder="1" applyProtection="1">
      <protection hidden="1"/>
    </xf>
    <xf numFmtId="0" fontId="36" fillId="0" borderId="15" xfId="0" applyFont="1" applyBorder="1" applyAlignment="1" applyProtection="1">
      <alignment horizontal="center" vertical="center"/>
      <protection hidden="1"/>
    </xf>
    <xf numFmtId="0" fontId="36" fillId="0" borderId="36" xfId="0" applyFont="1" applyBorder="1" applyAlignment="1" applyProtection="1">
      <alignment horizontal="center" vertical="center"/>
      <protection hidden="1"/>
    </xf>
    <xf numFmtId="0" fontId="36" fillId="0" borderId="6" xfId="0" applyFont="1" applyBorder="1" applyProtection="1">
      <protection hidden="1"/>
    </xf>
    <xf numFmtId="0" fontId="36" fillId="0" borderId="17" xfId="0" applyFont="1" applyBorder="1" applyAlignment="1" applyProtection="1">
      <alignment horizontal="center" vertical="center"/>
      <protection hidden="1"/>
    </xf>
    <xf numFmtId="0" fontId="36" fillId="0" borderId="42" xfId="0" applyFont="1" applyBorder="1" applyAlignment="1" applyProtection="1">
      <alignment horizontal="center" vertical="center"/>
      <protection hidden="1"/>
    </xf>
    <xf numFmtId="0" fontId="36" fillId="0" borderId="28" xfId="0" applyFont="1" applyBorder="1"/>
    <xf numFmtId="0" fontId="36" fillId="0" borderId="18" xfId="0" applyFont="1" applyBorder="1" applyAlignment="1" applyProtection="1">
      <alignment horizontal="center" vertical="center"/>
      <protection hidden="1"/>
    </xf>
    <xf numFmtId="0" fontId="36" fillId="0" borderId="27" xfId="0" applyFont="1" applyBorder="1" applyAlignment="1" applyProtection="1">
      <alignment horizontal="center" vertical="center"/>
      <protection hidden="1"/>
    </xf>
    <xf numFmtId="0" fontId="36" fillId="0" borderId="1" xfId="0" applyFont="1" applyBorder="1" applyProtection="1">
      <protection hidden="1"/>
    </xf>
    <xf numFmtId="0" fontId="36" fillId="0" borderId="0" xfId="0" applyFont="1" applyProtection="1">
      <protection hidden="1"/>
    </xf>
    <xf numFmtId="0" fontId="0" fillId="0" borderId="23" xfId="0" applyBorder="1"/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2" fontId="36" fillId="0" borderId="3" xfId="0" applyNumberFormat="1" applyFont="1" applyBorder="1" applyAlignment="1" applyProtection="1">
      <alignment horizontal="center" vertical="center"/>
      <protection hidden="1"/>
    </xf>
    <xf numFmtId="165" fontId="0" fillId="0" borderId="0" xfId="0" applyNumberFormat="1" applyProtection="1">
      <protection hidden="1"/>
    </xf>
    <xf numFmtId="2" fontId="0" fillId="0" borderId="3" xfId="0" applyNumberForma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2" fontId="36" fillId="8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21" xfId="0" applyBorder="1"/>
    <xf numFmtId="0" fontId="0" fillId="0" borderId="22" xfId="0" applyBorder="1"/>
    <xf numFmtId="2" fontId="0" fillId="0" borderId="14" xfId="0" applyNumberFormat="1" applyBorder="1" applyAlignment="1" applyProtection="1">
      <alignment horizontal="center" vertical="center"/>
      <protection hidden="1"/>
    </xf>
    <xf numFmtId="0" fontId="36" fillId="0" borderId="14" xfId="0" applyFont="1" applyBorder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41" fillId="0" borderId="0" xfId="0" applyFont="1"/>
    <xf numFmtId="0" fontId="0" fillId="0" borderId="24" xfId="0" applyBorder="1"/>
    <xf numFmtId="2" fontId="36" fillId="0" borderId="28" xfId="0" applyNumberFormat="1" applyFont="1" applyBorder="1" applyAlignment="1" applyProtection="1">
      <alignment horizontal="center" vertical="center"/>
      <protection hidden="1"/>
    </xf>
    <xf numFmtId="0" fontId="36" fillId="0" borderId="28" xfId="0" applyFont="1" applyBorder="1" applyAlignment="1" applyProtection="1">
      <alignment horizontal="center" vertical="center"/>
      <protection hidden="1"/>
    </xf>
    <xf numFmtId="0" fontId="36" fillId="0" borderId="9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2" fontId="36" fillId="0" borderId="12" xfId="0" applyNumberFormat="1" applyFont="1" applyBorder="1" applyAlignment="1" applyProtection="1">
      <alignment horizontal="center" vertical="center"/>
      <protection hidden="1"/>
    </xf>
    <xf numFmtId="0" fontId="36" fillId="0" borderId="12" xfId="0" applyFont="1" applyBorder="1" applyAlignment="1" applyProtection="1">
      <alignment horizontal="center" vertical="center"/>
      <protection hidden="1"/>
    </xf>
    <xf numFmtId="0" fontId="36" fillId="0" borderId="1" xfId="0" applyFont="1" applyBorder="1" applyAlignment="1" applyProtection="1">
      <alignment horizontal="center" vertical="center"/>
      <protection hidden="1"/>
    </xf>
    <xf numFmtId="0" fontId="36" fillId="0" borderId="28" xfId="0" applyFont="1" applyBorder="1" applyAlignment="1">
      <alignment horizontal="center" vertical="center"/>
    </xf>
    <xf numFmtId="0" fontId="36" fillId="0" borderId="6" xfId="0" applyFont="1" applyBorder="1" applyAlignment="1" applyProtection="1">
      <alignment horizontal="center" vertical="center"/>
      <protection hidden="1"/>
    </xf>
    <xf numFmtId="2" fontId="36" fillId="0" borderId="0" xfId="0" applyNumberFormat="1" applyFont="1" applyAlignment="1" applyProtection="1">
      <alignment horizontal="center" vertical="center"/>
      <protection hidden="1"/>
    </xf>
    <xf numFmtId="0" fontId="0" fillId="0" borderId="26" xfId="0" applyBorder="1"/>
    <xf numFmtId="0" fontId="0" fillId="0" borderId="27" xfId="0" applyBorder="1"/>
    <xf numFmtId="0" fontId="0" fillId="0" borderId="2" xfId="0" applyBorder="1"/>
    <xf numFmtId="0" fontId="40" fillId="7" borderId="0" xfId="0" applyFont="1" applyFill="1" applyAlignment="1">
      <alignment horizontal="center" vertical="center" shrinkToFit="1"/>
    </xf>
    <xf numFmtId="0" fontId="44" fillId="0" borderId="0" xfId="0" applyFont="1" applyAlignment="1" applyProtection="1">
      <alignment horizontal="center" vertical="center" shrinkToFit="1"/>
      <protection hidden="1"/>
    </xf>
    <xf numFmtId="0" fontId="0" fillId="0" borderId="5" xfId="0" applyBorder="1"/>
    <xf numFmtId="0" fontId="0" fillId="0" borderId="20" xfId="0" applyBorder="1"/>
    <xf numFmtId="0" fontId="48" fillId="0" borderId="0" xfId="0" applyFont="1" applyAlignment="1" applyProtection="1">
      <alignment horizontal="center" vertical="center"/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0" xfId="0" applyNumberFormat="1" applyAlignment="1" applyProtection="1">
      <alignment horizontal="center" vertical="center"/>
      <protection hidden="1"/>
    </xf>
    <xf numFmtId="0" fontId="36" fillId="0" borderId="0" xfId="0" applyFont="1"/>
    <xf numFmtId="2" fontId="0" fillId="8" borderId="3" xfId="0" applyNumberFormat="1" applyFill="1" applyBorder="1" applyAlignment="1" applyProtection="1">
      <alignment horizontal="center"/>
      <protection hidden="1"/>
    </xf>
    <xf numFmtId="0" fontId="7" fillId="8" borderId="0" xfId="4" applyFont="1" applyFill="1" applyAlignment="1">
      <alignment vertical="center"/>
    </xf>
    <xf numFmtId="0" fontId="34" fillId="14" borderId="0" xfId="4" applyFont="1" applyFill="1" applyAlignment="1">
      <alignment horizontal="center"/>
    </xf>
    <xf numFmtId="165" fontId="7" fillId="0" borderId="0" xfId="4" applyNumberFormat="1" applyFont="1" applyAlignment="1">
      <alignment horizontal="center"/>
    </xf>
    <xf numFmtId="165" fontId="36" fillId="0" borderId="0" xfId="4" applyNumberFormat="1" applyFont="1" applyAlignment="1">
      <alignment horizontal="center"/>
    </xf>
    <xf numFmtId="0" fontId="36" fillId="0" borderId="2" xfId="0" applyFont="1" applyBorder="1" applyAlignment="1">
      <alignment horizontal="center"/>
    </xf>
    <xf numFmtId="165" fontId="36" fillId="0" borderId="2" xfId="0" applyNumberFormat="1" applyFont="1" applyBorder="1" applyAlignment="1">
      <alignment horizontal="center"/>
    </xf>
    <xf numFmtId="165" fontId="0" fillId="0" borderId="0" xfId="4" applyNumberFormat="1" applyFont="1" applyAlignment="1">
      <alignment horizontal="center"/>
    </xf>
    <xf numFmtId="0" fontId="7" fillId="0" borderId="0" xfId="4" applyFont="1"/>
    <xf numFmtId="165" fontId="3" fillId="0" borderId="0" xfId="4" applyNumberFormat="1" applyAlignment="1">
      <alignment horizontal="center"/>
    </xf>
    <xf numFmtId="0" fontId="45" fillId="0" borderId="0" xfId="0" applyFont="1" applyAlignment="1">
      <alignment horizontal="center" shrinkToFit="1"/>
    </xf>
    <xf numFmtId="0" fontId="43" fillId="0" borderId="0" xfId="0" applyFont="1"/>
    <xf numFmtId="4" fontId="44" fillId="7" borderId="0" xfId="0" applyNumberFormat="1" applyFont="1" applyFill="1" applyAlignment="1">
      <alignment horizontal="center"/>
    </xf>
    <xf numFmtId="1" fontId="44" fillId="0" borderId="0" xfId="0" applyNumberFormat="1" applyFont="1" applyAlignment="1">
      <alignment horizontal="center"/>
    </xf>
    <xf numFmtId="9" fontId="44" fillId="0" borderId="4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8" fillId="2" borderId="29" xfId="0" applyFont="1" applyFill="1" applyBorder="1" applyAlignment="1" applyProtection="1">
      <alignment vertical="center"/>
      <protection locked="0"/>
    </xf>
    <xf numFmtId="4" fontId="15" fillId="0" borderId="0" xfId="4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44" fillId="15" borderId="12" xfId="0" applyFont="1" applyFill="1" applyBorder="1" applyAlignment="1">
      <alignment horizontal="center" shrinkToFit="1"/>
    </xf>
    <xf numFmtId="4" fontId="44" fillId="15" borderId="12" xfId="0" applyNumberFormat="1" applyFont="1" applyFill="1" applyBorder="1" applyAlignment="1">
      <alignment horizontal="center"/>
    </xf>
    <xf numFmtId="165" fontId="44" fillId="2" borderId="0" xfId="0" applyNumberFormat="1" applyFont="1" applyFill="1" applyAlignment="1">
      <alignment horizontal="center" textRotation="90"/>
    </xf>
    <xf numFmtId="4" fontId="44" fillId="0" borderId="0" xfId="0" applyNumberFormat="1" applyFont="1" applyAlignment="1">
      <alignment horizontal="center" shrinkToFit="1"/>
    </xf>
    <xf numFmtId="168" fontId="44" fillId="0" borderId="0" xfId="0" applyNumberFormat="1" applyFont="1" applyAlignment="1">
      <alignment horizontal="center"/>
    </xf>
    <xf numFmtId="0" fontId="0" fillId="15" borderId="0" xfId="0" applyFill="1"/>
    <xf numFmtId="0" fontId="0" fillId="16" borderId="0" xfId="0" applyFill="1" applyAlignment="1">
      <alignment horizontal="center"/>
    </xf>
    <xf numFmtId="0" fontId="0" fillId="16" borderId="0" xfId="0" applyFill="1"/>
    <xf numFmtId="0" fontId="55" fillId="16" borderId="0" xfId="0" applyFont="1" applyFill="1" applyAlignment="1">
      <alignment vertical="center"/>
    </xf>
    <xf numFmtId="0" fontId="56" fillId="16" borderId="0" xfId="0" applyFont="1" applyFill="1" applyAlignment="1">
      <alignment vertical="center"/>
    </xf>
    <xf numFmtId="0" fontId="57" fillId="16" borderId="0" xfId="0" applyFont="1" applyFill="1" applyAlignment="1">
      <alignment vertical="center"/>
    </xf>
    <xf numFmtId="3" fontId="58" fillId="16" borderId="0" xfId="0" applyNumberFormat="1" applyFont="1" applyFill="1" applyAlignment="1">
      <alignment vertical="center"/>
    </xf>
    <xf numFmtId="3" fontId="57" fillId="16" borderId="0" xfId="0" applyNumberFormat="1" applyFont="1" applyFill="1" applyAlignment="1">
      <alignment vertical="center"/>
    </xf>
    <xf numFmtId="3" fontId="56" fillId="16" borderId="23" xfId="0" applyNumberFormat="1" applyFont="1" applyFill="1" applyBorder="1" applyAlignment="1">
      <alignment horizontal="center" vertical="center"/>
    </xf>
    <xf numFmtId="3" fontId="57" fillId="16" borderId="0" xfId="0" applyNumberFormat="1" applyFont="1" applyFill="1"/>
    <xf numFmtId="0" fontId="59" fillId="16" borderId="46" xfId="0" applyFont="1" applyFill="1" applyBorder="1" applyAlignment="1">
      <alignment vertical="center"/>
    </xf>
    <xf numFmtId="0" fontId="60" fillId="16" borderId="47" xfId="0" applyFont="1" applyFill="1" applyBorder="1" applyAlignment="1">
      <alignment horizontal="center" vertical="center"/>
    </xf>
    <xf numFmtId="0" fontId="0" fillId="17" borderId="0" xfId="0" applyFill="1"/>
    <xf numFmtId="0" fontId="61" fillId="16" borderId="48" xfId="0" applyFont="1" applyFill="1" applyBorder="1" applyAlignment="1">
      <alignment vertical="center"/>
    </xf>
    <xf numFmtId="0" fontId="60" fillId="16" borderId="49" xfId="0" applyFont="1" applyFill="1" applyBorder="1" applyAlignment="1">
      <alignment horizontal="center" vertical="center"/>
    </xf>
    <xf numFmtId="0" fontId="61" fillId="16" borderId="50" xfId="0" applyFont="1" applyFill="1" applyBorder="1" applyAlignment="1">
      <alignment vertical="center"/>
    </xf>
    <xf numFmtId="0" fontId="60" fillId="16" borderId="51" xfId="0" applyFont="1" applyFill="1" applyBorder="1" applyAlignment="1">
      <alignment horizontal="center" vertical="center"/>
    </xf>
    <xf numFmtId="0" fontId="59" fillId="16" borderId="52" xfId="0" applyFont="1" applyFill="1" applyBorder="1" applyAlignment="1">
      <alignment vertical="center"/>
    </xf>
    <xf numFmtId="0" fontId="61" fillId="16" borderId="52" xfId="0" applyFont="1" applyFill="1" applyBorder="1" applyAlignment="1">
      <alignment vertical="center"/>
    </xf>
    <xf numFmtId="0" fontId="62" fillId="17" borderId="0" xfId="0" applyFont="1" applyFill="1" applyAlignment="1">
      <alignment vertical="center"/>
    </xf>
    <xf numFmtId="0" fontId="63" fillId="17" borderId="0" xfId="0" applyFont="1" applyFill="1" applyAlignment="1">
      <alignment vertical="center"/>
    </xf>
    <xf numFmtId="0" fontId="61" fillId="16" borderId="45" xfId="0" applyFont="1" applyFill="1" applyBorder="1" applyAlignment="1">
      <alignment horizontal="center" vertical="center"/>
    </xf>
    <xf numFmtId="0" fontId="56" fillId="15" borderId="0" xfId="0" applyFont="1" applyFill="1" applyAlignment="1">
      <alignment vertical="center"/>
    </xf>
    <xf numFmtId="0" fontId="65" fillId="16" borderId="0" xfId="0" applyFont="1" applyFill="1" applyAlignment="1">
      <alignment vertical="center"/>
    </xf>
    <xf numFmtId="0" fontId="56" fillId="16" borderId="52" xfId="0" applyFont="1" applyFill="1" applyBorder="1" applyAlignment="1">
      <alignment vertical="center"/>
    </xf>
    <xf numFmtId="0" fontId="59" fillId="16" borderId="50" xfId="0" applyFont="1" applyFill="1" applyBorder="1" applyAlignment="1">
      <alignment vertical="center"/>
    </xf>
    <xf numFmtId="0" fontId="64" fillId="16" borderId="0" xfId="0" applyFont="1" applyFill="1"/>
    <xf numFmtId="0" fontId="66" fillId="16" borderId="55" xfId="0" applyFont="1" applyFill="1" applyBorder="1" applyAlignment="1">
      <alignment horizontal="center" vertical="center"/>
    </xf>
    <xf numFmtId="0" fontId="66" fillId="16" borderId="56" xfId="0" applyFont="1" applyFill="1" applyBorder="1" applyAlignment="1">
      <alignment horizontal="center" vertical="center"/>
    </xf>
    <xf numFmtId="0" fontId="67" fillId="16" borderId="57" xfId="0" applyFont="1" applyFill="1" applyBorder="1" applyAlignment="1">
      <alignment horizontal="center" vertical="center"/>
    </xf>
    <xf numFmtId="164" fontId="65" fillId="16" borderId="58" xfId="1" applyNumberFormat="1" applyFont="1" applyFill="1" applyBorder="1" applyAlignment="1">
      <alignment horizontal="center" vertical="center"/>
    </xf>
    <xf numFmtId="0" fontId="68" fillId="16" borderId="55" xfId="0" applyFont="1" applyFill="1" applyBorder="1" applyAlignment="1">
      <alignment horizontal="center" vertical="center"/>
    </xf>
    <xf numFmtId="0" fontId="66" fillId="16" borderId="59" xfId="0" applyFont="1" applyFill="1" applyBorder="1" applyAlignment="1">
      <alignment horizontal="center" vertical="center"/>
    </xf>
    <xf numFmtId="0" fontId="66" fillId="18" borderId="60" xfId="0" applyFont="1" applyFill="1" applyBorder="1" applyAlignment="1">
      <alignment horizontal="center" vertical="center"/>
    </xf>
    <xf numFmtId="0" fontId="66" fillId="18" borderId="56" xfId="0" applyFont="1" applyFill="1" applyBorder="1" applyAlignment="1">
      <alignment horizontal="center" vertical="center"/>
    </xf>
    <xf numFmtId="0" fontId="69" fillId="16" borderId="0" xfId="0" applyFont="1" applyFill="1"/>
    <xf numFmtId="0" fontId="69" fillId="16" borderId="61" xfId="0" applyFont="1" applyFill="1" applyBorder="1"/>
    <xf numFmtId="0" fontId="69" fillId="16" borderId="56" xfId="0" applyFont="1" applyFill="1" applyBorder="1"/>
    <xf numFmtId="0" fontId="66" fillId="16" borderId="62" xfId="0" applyFont="1" applyFill="1" applyBorder="1" applyAlignment="1">
      <alignment horizontal="center" vertical="center"/>
    </xf>
    <xf numFmtId="0" fontId="66" fillId="16" borderId="57" xfId="0" applyFont="1" applyFill="1" applyBorder="1" applyAlignment="1">
      <alignment horizontal="center" vertical="center"/>
    </xf>
    <xf numFmtId="0" fontId="66" fillId="16" borderId="58" xfId="0" applyFont="1" applyFill="1" applyBorder="1" applyAlignment="1">
      <alignment horizontal="center" vertical="center"/>
    </xf>
    <xf numFmtId="0" fontId="0" fillId="13" borderId="0" xfId="0" applyFill="1"/>
    <xf numFmtId="0" fontId="70" fillId="16" borderId="56" xfId="0" applyFont="1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56" fillId="13" borderId="0" xfId="0" applyFont="1" applyFill="1" applyAlignment="1">
      <alignment vertical="center"/>
    </xf>
    <xf numFmtId="0" fontId="0" fillId="7" borderId="0" xfId="0" applyFill="1"/>
    <xf numFmtId="0" fontId="68" fillId="16" borderId="58" xfId="0" applyFont="1" applyFill="1" applyBorder="1" applyAlignment="1">
      <alignment horizontal="center" vertical="center"/>
    </xf>
    <xf numFmtId="0" fontId="71" fillId="7" borderId="45" xfId="0" applyFont="1" applyFill="1" applyBorder="1" applyAlignment="1">
      <alignment horizontal="center"/>
    </xf>
    <xf numFmtId="0" fontId="57" fillId="16" borderId="0" xfId="0" applyFont="1" applyFill="1"/>
    <xf numFmtId="3" fontId="74" fillId="16" borderId="0" xfId="0" applyNumberFormat="1" applyFont="1" applyFill="1"/>
    <xf numFmtId="0" fontId="72" fillId="16" borderId="0" xfId="0" applyFont="1" applyFill="1" applyAlignment="1">
      <alignment vertical="center"/>
    </xf>
    <xf numFmtId="0" fontId="66" fillId="16" borderId="54" xfId="0" applyFont="1" applyFill="1" applyBorder="1" applyAlignment="1">
      <alignment horizontal="center" vertical="center"/>
    </xf>
    <xf numFmtId="0" fontId="78" fillId="16" borderId="0" xfId="0" applyFont="1" applyFill="1"/>
    <xf numFmtId="0" fontId="79" fillId="0" borderId="45" xfId="0" applyFont="1" applyBorder="1" applyAlignment="1">
      <alignment horizontal="center" vertical="center"/>
    </xf>
    <xf numFmtId="0" fontId="80" fillId="0" borderId="45" xfId="0" applyFont="1" applyBorder="1" applyAlignment="1">
      <alignment horizontal="center" vertical="center" wrapText="1"/>
    </xf>
    <xf numFmtId="0" fontId="79" fillId="0" borderId="31" xfId="0" applyFont="1" applyBorder="1" applyAlignment="1">
      <alignment horizontal="center" vertical="center"/>
    </xf>
    <xf numFmtId="0" fontId="81" fillId="0" borderId="41" xfId="0" applyFont="1" applyBorder="1" applyAlignment="1">
      <alignment horizontal="center" vertical="center"/>
    </xf>
    <xf numFmtId="0" fontId="81" fillId="0" borderId="63" xfId="0" applyFont="1" applyBorder="1" applyAlignment="1">
      <alignment horizontal="center" vertical="center"/>
    </xf>
    <xf numFmtId="0" fontId="81" fillId="0" borderId="64" xfId="0" applyFont="1" applyBorder="1" applyAlignment="1">
      <alignment horizontal="center" vertical="center"/>
    </xf>
    <xf numFmtId="0" fontId="55" fillId="16" borderId="48" xfId="0" applyFont="1" applyFill="1" applyBorder="1" applyAlignment="1">
      <alignment vertical="center"/>
    </xf>
    <xf numFmtId="1" fontId="55" fillId="16" borderId="48" xfId="0" applyNumberFormat="1" applyFont="1" applyFill="1" applyBorder="1" applyAlignment="1">
      <alignment vertical="center"/>
    </xf>
    <xf numFmtId="1" fontId="55" fillId="16" borderId="48" xfId="0" applyNumberFormat="1" applyFont="1" applyFill="1" applyBorder="1" applyAlignment="1">
      <alignment horizontal="center" vertical="center"/>
    </xf>
    <xf numFmtId="0" fontId="0" fillId="8" borderId="0" xfId="0" applyFill="1"/>
    <xf numFmtId="0" fontId="62" fillId="8" borderId="0" xfId="0" applyFont="1" applyFill="1" applyAlignment="1">
      <alignment vertical="center"/>
    </xf>
    <xf numFmtId="0" fontId="86" fillId="7" borderId="45" xfId="0" applyFont="1" applyFill="1" applyBorder="1" applyAlignment="1">
      <alignment horizontal="center" vertical="center"/>
    </xf>
    <xf numFmtId="0" fontId="56" fillId="8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3" fontId="57" fillId="0" borderId="0" xfId="0" applyNumberFormat="1" applyFont="1" applyAlignment="1">
      <alignment vertical="center"/>
    </xf>
    <xf numFmtId="3" fontId="57" fillId="0" borderId="0" xfId="0" applyNumberFormat="1" applyFont="1"/>
    <xf numFmtId="0" fontId="62" fillId="0" borderId="0" xfId="0" applyFont="1" applyAlignment="1">
      <alignment vertical="center"/>
    </xf>
    <xf numFmtId="0" fontId="60" fillId="16" borderId="69" xfId="0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1" fontId="55" fillId="16" borderId="56" xfId="0" applyNumberFormat="1" applyFont="1" applyFill="1" applyBorder="1" applyAlignment="1">
      <alignment vertical="center"/>
    </xf>
    <xf numFmtId="0" fontId="55" fillId="16" borderId="56" xfId="0" applyFont="1" applyFill="1" applyBorder="1" applyAlignment="1">
      <alignment vertical="center"/>
    </xf>
    <xf numFmtId="0" fontId="56" fillId="16" borderId="56" xfId="0" applyFont="1" applyFill="1" applyBorder="1" applyAlignment="1">
      <alignment vertical="center"/>
    </xf>
    <xf numFmtId="0" fontId="70" fillId="16" borderId="56" xfId="0" applyFont="1" applyFill="1" applyBorder="1" applyAlignment="1">
      <alignment vertical="center"/>
    </xf>
    <xf numFmtId="0" fontId="63" fillId="8" borderId="0" xfId="0" applyFont="1" applyFill="1" applyAlignment="1">
      <alignment vertical="center"/>
    </xf>
    <xf numFmtId="0" fontId="59" fillId="16" borderId="56" xfId="0" applyFont="1" applyFill="1" applyBorder="1" applyAlignment="1">
      <alignment vertical="center"/>
    </xf>
    <xf numFmtId="0" fontId="88" fillId="0" borderId="45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1" fontId="55" fillId="16" borderId="56" xfId="0" applyNumberFormat="1" applyFont="1" applyFill="1" applyBorder="1" applyAlignment="1">
      <alignment horizontal="center" vertical="center"/>
    </xf>
    <xf numFmtId="0" fontId="64" fillId="16" borderId="56" xfId="0" applyFont="1" applyFill="1" applyBorder="1"/>
    <xf numFmtId="0" fontId="61" fillId="16" borderId="31" xfId="0" applyFont="1" applyFill="1" applyBorder="1" applyAlignment="1">
      <alignment horizontal="center" vertical="center"/>
    </xf>
    <xf numFmtId="0" fontId="53" fillId="16" borderId="0" xfId="0" applyFont="1" applyFill="1"/>
    <xf numFmtId="0" fontId="0" fillId="19" borderId="0" xfId="0" applyFill="1"/>
    <xf numFmtId="0" fontId="0" fillId="0" borderId="24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90" fillId="0" borderId="21" xfId="0" applyFont="1" applyBorder="1" applyAlignment="1">
      <alignment horizontal="center"/>
    </xf>
    <xf numFmtId="0" fontId="90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24" xfId="0" applyFont="1" applyBorder="1" applyAlignment="1">
      <alignment horizontal="center"/>
    </xf>
    <xf numFmtId="0" fontId="90" fillId="0" borderId="25" xfId="0" applyFont="1" applyBorder="1" applyAlignment="1">
      <alignment horizontal="center"/>
    </xf>
    <xf numFmtId="0" fontId="90" fillId="0" borderId="26" xfId="0" applyFont="1" applyBorder="1" applyAlignment="1">
      <alignment horizontal="center"/>
    </xf>
    <xf numFmtId="0" fontId="90" fillId="0" borderId="27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7" xfId="0" applyBorder="1" applyAlignment="1">
      <alignment horizontal="center"/>
    </xf>
    <xf numFmtId="0" fontId="96" fillId="0" borderId="0" xfId="0" applyFont="1" applyAlignment="1">
      <alignment horizontal="center"/>
    </xf>
    <xf numFmtId="0" fontId="96" fillId="0" borderId="0" xfId="0" applyFont="1" applyAlignment="1" applyProtection="1">
      <alignment horizontal="center"/>
      <protection locked="0"/>
    </xf>
    <xf numFmtId="0" fontId="96" fillId="0" borderId="0" xfId="0" applyFont="1" applyAlignment="1">
      <alignment horizontal="center" vertical="center" shrinkToFit="1"/>
    </xf>
    <xf numFmtId="0" fontId="96" fillId="0" borderId="0" xfId="0" applyFont="1" applyAlignment="1">
      <alignment horizontal="center" shrinkToFit="1"/>
    </xf>
    <xf numFmtId="0" fontId="98" fillId="0" borderId="0" xfId="0" applyFont="1" applyAlignment="1">
      <alignment horizontal="center"/>
    </xf>
    <xf numFmtId="2" fontId="96" fillId="12" borderId="0" xfId="0" applyNumberFormat="1" applyFont="1" applyFill="1" applyAlignment="1">
      <alignment horizontal="center"/>
    </xf>
    <xf numFmtId="9" fontId="97" fillId="0" borderId="0" xfId="0" applyNumberFormat="1" applyFont="1" applyAlignment="1">
      <alignment horizontal="center"/>
    </xf>
    <xf numFmtId="0" fontId="59" fillId="16" borderId="0" xfId="0" applyFont="1" applyFill="1" applyAlignment="1">
      <alignment vertical="center"/>
    </xf>
    <xf numFmtId="0" fontId="61" fillId="16" borderId="0" xfId="0" applyFont="1" applyFill="1" applyAlignment="1">
      <alignment vertical="center"/>
    </xf>
    <xf numFmtId="0" fontId="56" fillId="16" borderId="22" xfId="0" applyFont="1" applyFill="1" applyBorder="1" applyAlignment="1">
      <alignment horizontal="center" vertical="center"/>
    </xf>
    <xf numFmtId="0" fontId="59" fillId="16" borderId="55" xfId="0" applyFont="1" applyFill="1" applyBorder="1" applyAlignment="1">
      <alignment vertical="center"/>
    </xf>
    <xf numFmtId="0" fontId="99" fillId="16" borderId="56" xfId="0" applyFont="1" applyFill="1" applyBorder="1" applyAlignment="1">
      <alignment vertical="center"/>
    </xf>
    <xf numFmtId="0" fontId="60" fillId="16" borderId="56" xfId="0" applyFont="1" applyFill="1" applyBorder="1" applyAlignment="1">
      <alignment horizontal="center" vertical="center"/>
    </xf>
    <xf numFmtId="0" fontId="60" fillId="16" borderId="59" xfId="0" applyFont="1" applyFill="1" applyBorder="1" applyAlignment="1">
      <alignment horizontal="center" vertical="center"/>
    </xf>
    <xf numFmtId="0" fontId="64" fillId="16" borderId="58" xfId="0" applyFont="1" applyFill="1" applyBorder="1"/>
    <xf numFmtId="0" fontId="99" fillId="16" borderId="71" xfId="0" applyFont="1" applyFill="1" applyBorder="1" applyAlignment="1">
      <alignment vertical="center"/>
    </xf>
    <xf numFmtId="0" fontId="99" fillId="16" borderId="69" xfId="0" applyFont="1" applyFill="1" applyBorder="1" applyAlignment="1">
      <alignment vertical="center"/>
    </xf>
    <xf numFmtId="166" fontId="36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0" fontId="3" fillId="0" borderId="0" xfId="4" applyAlignment="1">
      <alignment horizontal="center" vertical="center"/>
    </xf>
    <xf numFmtId="0" fontId="73" fillId="16" borderId="0" xfId="0" applyFont="1" applyFill="1" applyAlignment="1">
      <alignment vertical="center"/>
    </xf>
    <xf numFmtId="0" fontId="100" fillId="16" borderId="49" xfId="0" applyFont="1" applyFill="1" applyBorder="1" applyAlignment="1">
      <alignment horizontal="center" vertical="center"/>
    </xf>
    <xf numFmtId="1" fontId="101" fillId="16" borderId="56" xfId="0" applyNumberFormat="1" applyFont="1" applyFill="1" applyBorder="1" applyAlignment="1">
      <alignment horizontal="center" vertical="center"/>
    </xf>
    <xf numFmtId="0" fontId="103" fillId="8" borderId="23" xfId="4" applyFont="1" applyFill="1" applyBorder="1" applyAlignment="1">
      <alignment horizontal="center" vertical="center"/>
    </xf>
    <xf numFmtId="168" fontId="104" fillId="8" borderId="0" xfId="4" applyNumberFormat="1" applyFont="1" applyFill="1" applyAlignment="1">
      <alignment horizontal="center" vertical="center"/>
    </xf>
    <xf numFmtId="0" fontId="103" fillId="20" borderId="0" xfId="4" applyFont="1" applyFill="1" applyAlignment="1">
      <alignment horizontal="center" vertical="center"/>
    </xf>
    <xf numFmtId="3" fontId="103" fillId="2" borderId="0" xfId="4" applyNumberFormat="1" applyFont="1" applyFill="1" applyAlignment="1">
      <alignment horizontal="center" vertical="center"/>
    </xf>
    <xf numFmtId="0" fontId="105" fillId="0" borderId="0" xfId="4" applyFont="1" applyAlignment="1">
      <alignment horizontal="center" vertical="center"/>
    </xf>
    <xf numFmtId="0" fontId="106" fillId="0" borderId="23" xfId="0" applyFont="1" applyBorder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2" fillId="0" borderId="28" xfId="4" applyFont="1" applyBorder="1" applyAlignment="1">
      <alignment horizontal="center" vertical="center"/>
    </xf>
    <xf numFmtId="3" fontId="106" fillId="0" borderId="0" xfId="0" applyNumberFormat="1" applyFont="1" applyAlignment="1">
      <alignment horizontal="center" vertical="center"/>
    </xf>
    <xf numFmtId="168" fontId="106" fillId="0" borderId="0" xfId="0" applyNumberFormat="1" applyFont="1" applyAlignment="1">
      <alignment horizontal="center" vertical="center"/>
    </xf>
    <xf numFmtId="0" fontId="3" fillId="0" borderId="28" xfId="4" applyBorder="1" applyAlignment="1">
      <alignment horizontal="center" vertical="center"/>
    </xf>
    <xf numFmtId="0" fontId="103" fillId="0" borderId="0" xfId="4" applyFont="1" applyAlignment="1">
      <alignment horizontal="center" vertical="center"/>
    </xf>
    <xf numFmtId="0" fontId="102" fillId="0" borderId="0" xfId="4" applyFont="1" applyAlignment="1">
      <alignment horizontal="center" vertical="center"/>
    </xf>
    <xf numFmtId="2" fontId="3" fillId="0" borderId="0" xfId="4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4" fontId="108" fillId="0" borderId="0" xfId="4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109" fillId="0" borderId="0" xfId="4" applyFont="1" applyAlignment="1" applyProtection="1">
      <alignment horizontal="center"/>
      <protection locked="0"/>
    </xf>
    <xf numFmtId="0" fontId="109" fillId="0" borderId="0" xfId="4" applyFont="1" applyAlignment="1">
      <alignment horizontal="center" vertical="center" shrinkToFit="1"/>
    </xf>
    <xf numFmtId="0" fontId="110" fillId="0" borderId="0" xfId="0" applyFont="1" applyAlignment="1">
      <alignment horizontal="center"/>
    </xf>
    <xf numFmtId="0" fontId="110" fillId="0" borderId="0" xfId="0" applyFont="1" applyAlignment="1" applyProtection="1">
      <alignment horizontal="center"/>
      <protection locked="0"/>
    </xf>
    <xf numFmtId="0" fontId="110" fillId="0" borderId="0" xfId="0" applyFont="1" applyAlignment="1">
      <alignment horizontal="center" vertical="center" shrinkToFit="1"/>
    </xf>
    <xf numFmtId="0" fontId="110" fillId="0" borderId="0" xfId="0" applyFont="1" applyAlignment="1">
      <alignment horizontal="center" shrinkToFit="1"/>
    </xf>
    <xf numFmtId="0" fontId="111" fillId="0" borderId="0" xfId="0" applyFont="1" applyAlignment="1">
      <alignment horizontal="center"/>
    </xf>
    <xf numFmtId="2" fontId="110" fillId="12" borderId="0" xfId="0" applyNumberFormat="1" applyFont="1" applyFill="1" applyAlignment="1">
      <alignment horizontal="center"/>
    </xf>
    <xf numFmtId="9" fontId="112" fillId="0" borderId="0" xfId="0" applyNumberFormat="1" applyFont="1" applyAlignment="1">
      <alignment horizontal="center"/>
    </xf>
    <xf numFmtId="0" fontId="109" fillId="0" borderId="0" xfId="0" applyFont="1" applyAlignment="1">
      <alignment horizontal="center" vertical="center" shrinkToFit="1"/>
    </xf>
    <xf numFmtId="0" fontId="109" fillId="0" borderId="0" xfId="0" applyFont="1" applyAlignment="1">
      <alignment horizontal="center" vertical="center"/>
    </xf>
    <xf numFmtId="0" fontId="109" fillId="0" borderId="0" xfId="4" applyFont="1" applyAlignment="1">
      <alignment horizontal="center"/>
    </xf>
    <xf numFmtId="0" fontId="109" fillId="0" borderId="0" xfId="0" applyFont="1" applyAlignment="1" applyProtection="1">
      <alignment horizontal="center"/>
      <protection locked="0"/>
    </xf>
    <xf numFmtId="4" fontId="23" fillId="13" borderId="0" xfId="0" applyNumberFormat="1" applyFont="1" applyFill="1" applyAlignment="1">
      <alignment horizontal="center"/>
    </xf>
    <xf numFmtId="0" fontId="112" fillId="0" borderId="0" xfId="0" applyFont="1" applyAlignment="1">
      <alignment horizontal="center"/>
    </xf>
    <xf numFmtId="0" fontId="34" fillId="0" borderId="2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7" fillId="0" borderId="0" xfId="0" applyFont="1" applyProtection="1">
      <protection hidden="1"/>
    </xf>
    <xf numFmtId="0" fontId="0" fillId="8" borderId="0" xfId="0" applyFill="1" applyAlignment="1" applyProtection="1">
      <alignment horizontal="center" vertical="center"/>
      <protection hidden="1"/>
    </xf>
    <xf numFmtId="1" fontId="0" fillId="8" borderId="0" xfId="0" applyNumberFormat="1" applyFill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2" fontId="23" fillId="12" borderId="0" xfId="0" applyNumberFormat="1" applyFont="1" applyFill="1" applyAlignment="1">
      <alignment horizontal="center"/>
    </xf>
    <xf numFmtId="9" fontId="7" fillId="0" borderId="0" xfId="0" applyNumberFormat="1" applyFont="1" applyAlignment="1">
      <alignment horizontal="center"/>
    </xf>
    <xf numFmtId="0" fontId="109" fillId="0" borderId="0" xfId="0" applyFont="1" applyAlignment="1">
      <alignment horizontal="center"/>
    </xf>
    <xf numFmtId="0" fontId="109" fillId="0" borderId="0" xfId="0" applyFont="1" applyAlignment="1">
      <alignment horizontal="center" shrinkToFit="1"/>
    </xf>
    <xf numFmtId="4" fontId="109" fillId="0" borderId="0" xfId="0" applyNumberFormat="1" applyFont="1" applyAlignment="1">
      <alignment horizontal="center"/>
    </xf>
    <xf numFmtId="4" fontId="113" fillId="0" borderId="0" xfId="0" applyNumberFormat="1" applyFont="1" applyAlignment="1">
      <alignment horizontal="center" shrinkToFit="1"/>
    </xf>
    <xf numFmtId="2" fontId="109" fillId="12" borderId="0" xfId="0" applyNumberFormat="1" applyFont="1" applyFill="1" applyAlignment="1">
      <alignment horizontal="center"/>
    </xf>
    <xf numFmtId="0" fontId="34" fillId="0" borderId="20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69" fillId="16" borderId="56" xfId="0" applyFont="1" applyFill="1" applyBorder="1" applyAlignment="1">
      <alignment horizontal="center"/>
    </xf>
    <xf numFmtId="0" fontId="44" fillId="2" borderId="0" xfId="0" applyFont="1" applyFill="1" applyAlignment="1" applyProtection="1">
      <alignment horizontal="center"/>
      <protection locked="0"/>
    </xf>
    <xf numFmtId="0" fontId="45" fillId="2" borderId="0" xfId="0" applyFont="1" applyFill="1" applyAlignment="1" applyProtection="1">
      <alignment horizontal="center"/>
      <protection locked="0"/>
    </xf>
    <xf numFmtId="2" fontId="7" fillId="0" borderId="28" xfId="4" applyNumberFormat="1" applyFont="1" applyBorder="1" applyAlignment="1">
      <alignment horizontal="center" vertical="center"/>
    </xf>
    <xf numFmtId="3" fontId="7" fillId="0" borderId="28" xfId="4" applyNumberFormat="1" applyFont="1" applyBorder="1" applyAlignment="1">
      <alignment horizontal="center" vertical="center"/>
    </xf>
    <xf numFmtId="0" fontId="17" fillId="8" borderId="14" xfId="4" applyFont="1" applyFill="1" applyBorder="1" applyAlignment="1">
      <alignment horizontal="center" vertical="center" shrinkToFit="1"/>
    </xf>
    <xf numFmtId="0" fontId="72" fillId="16" borderId="0" xfId="0" applyFont="1" applyFill="1" applyAlignment="1">
      <alignment vertical="top"/>
    </xf>
    <xf numFmtId="0" fontId="2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114" fillId="21" borderId="0" xfId="0" applyNumberFormat="1" applyFont="1" applyFill="1" applyAlignment="1">
      <alignment horizontal="center" vertical="center"/>
    </xf>
    <xf numFmtId="0" fontId="115" fillId="4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3" fontId="74" fillId="2" borderId="0" xfId="0" applyNumberFormat="1" applyFont="1" applyFill="1"/>
    <xf numFmtId="0" fontId="119" fillId="3" borderId="73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119" fillId="0" borderId="6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shrinkToFit="1"/>
    </xf>
    <xf numFmtId="0" fontId="120" fillId="0" borderId="0" xfId="0" applyFont="1" applyAlignment="1">
      <alignment horizontal="center" vertical="center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horizontal="center" vertical="center" shrinkToFit="1"/>
    </xf>
    <xf numFmtId="0" fontId="40" fillId="0" borderId="7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 shrinkToFit="1"/>
    </xf>
    <xf numFmtId="0" fontId="40" fillId="0" borderId="74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119" fillId="0" borderId="73" xfId="0" applyFont="1" applyBorder="1" applyAlignment="1">
      <alignment vertical="center"/>
    </xf>
    <xf numFmtId="0" fontId="121" fillId="0" borderId="0" xfId="0" applyFont="1"/>
    <xf numFmtId="0" fontId="3" fillId="0" borderId="7" xfId="4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22" fillId="0" borderId="0" xfId="0" applyFont="1"/>
    <xf numFmtId="0" fontId="0" fillId="22" borderId="0" xfId="0" applyFill="1" applyAlignment="1">
      <alignment horizontal="center"/>
    </xf>
    <xf numFmtId="0" fontId="0" fillId="22" borderId="0" xfId="0" applyFill="1"/>
    <xf numFmtId="3" fontId="74" fillId="22" borderId="0" xfId="0" applyNumberFormat="1" applyFont="1" applyFill="1"/>
    <xf numFmtId="0" fontId="1" fillId="0" borderId="0" xfId="0" applyFont="1" applyAlignment="1">
      <alignment horizontal="center"/>
    </xf>
    <xf numFmtId="0" fontId="0" fillId="23" borderId="0" xfId="0" applyFill="1" applyAlignment="1">
      <alignment horizontal="center"/>
    </xf>
    <xf numFmtId="0" fontId="0" fillId="23" borderId="0" xfId="0" applyFill="1"/>
    <xf numFmtId="3" fontId="74" fillId="23" borderId="0" xfId="0" applyNumberFormat="1" applyFont="1" applyFill="1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 applyAlignment="1">
      <alignment vertical="center"/>
    </xf>
    <xf numFmtId="165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126" fillId="0" borderId="0" xfId="4" applyFont="1" applyAlignment="1">
      <alignment horizontal="center" vertical="center" wrapText="1"/>
    </xf>
    <xf numFmtId="171" fontId="3" fillId="0" borderId="28" xfId="4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4" borderId="0" xfId="4" applyFill="1" applyAlignment="1">
      <alignment horizontal="center" vertical="center"/>
    </xf>
    <xf numFmtId="0" fontId="132" fillId="0" borderId="5" xfId="4" applyFont="1" applyBorder="1" applyAlignment="1">
      <alignment horizontal="center" vertical="center"/>
    </xf>
    <xf numFmtId="1" fontId="133" fillId="0" borderId="28" xfId="4" applyNumberFormat="1" applyFont="1" applyBorder="1" applyAlignment="1">
      <alignment horizontal="center" vertical="center"/>
    </xf>
    <xf numFmtId="0" fontId="134" fillId="0" borderId="28" xfId="4" applyFont="1" applyBorder="1" applyAlignment="1">
      <alignment horizontal="center" vertical="center"/>
    </xf>
    <xf numFmtId="0" fontId="133" fillId="0" borderId="28" xfId="4" applyFont="1" applyBorder="1" applyAlignment="1">
      <alignment horizontal="center" vertical="center"/>
    </xf>
    <xf numFmtId="0" fontId="132" fillId="0" borderId="10" xfId="4" applyFont="1" applyBorder="1" applyAlignment="1">
      <alignment horizontal="center" vertical="center"/>
    </xf>
    <xf numFmtId="0" fontId="135" fillId="0" borderId="28" xfId="4" applyFont="1" applyBorder="1" applyAlignment="1">
      <alignment horizontal="center" vertical="center"/>
    </xf>
    <xf numFmtId="2" fontId="137" fillId="0" borderId="23" xfId="4" applyNumberFormat="1" applyFont="1" applyBorder="1" applyAlignment="1">
      <alignment horizontal="center" vertical="center" shrinkToFit="1"/>
    </xf>
    <xf numFmtId="0" fontId="138" fillId="0" borderId="10" xfId="4" applyFont="1" applyBorder="1" applyAlignment="1">
      <alignment horizontal="center" vertical="center"/>
    </xf>
    <xf numFmtId="0" fontId="139" fillId="0" borderId="28" xfId="4" applyFont="1" applyBorder="1" applyAlignment="1">
      <alignment horizontal="center" vertical="center"/>
    </xf>
    <xf numFmtId="0" fontId="135" fillId="0" borderId="9" xfId="4" applyFont="1" applyBorder="1" applyAlignment="1">
      <alignment horizontal="center" vertical="center"/>
    </xf>
    <xf numFmtId="2" fontId="137" fillId="0" borderId="0" xfId="4" applyNumberFormat="1" applyFont="1" applyAlignment="1">
      <alignment horizontal="center" vertical="center" shrinkToFit="1"/>
    </xf>
    <xf numFmtId="0" fontId="140" fillId="0" borderId="0" xfId="4" applyFont="1" applyAlignment="1">
      <alignment horizontal="center" vertical="center"/>
    </xf>
    <xf numFmtId="2" fontId="141" fillId="0" borderId="0" xfId="4" applyNumberFormat="1" applyFont="1" applyAlignment="1">
      <alignment horizontal="center" vertical="center" shrinkToFit="1"/>
    </xf>
    <xf numFmtId="0" fontId="133" fillId="0" borderId="0" xfId="4" applyFont="1" applyAlignment="1">
      <alignment horizontal="center" vertical="center"/>
    </xf>
    <xf numFmtId="4" fontId="137" fillId="0" borderId="0" xfId="4" applyNumberFormat="1" applyFont="1" applyAlignment="1">
      <alignment horizontal="center" vertical="center" shrinkToFit="1"/>
    </xf>
    <xf numFmtId="0" fontId="103" fillId="0" borderId="0" xfId="4" applyFont="1" applyAlignment="1">
      <alignment horizontal="center" vertical="center" wrapText="1"/>
    </xf>
    <xf numFmtId="0" fontId="135" fillId="0" borderId="0" xfId="4" applyFont="1" applyAlignment="1">
      <alignment horizontal="center" vertical="center" shrinkToFit="1"/>
    </xf>
    <xf numFmtId="0" fontId="137" fillId="0" borderId="0" xfId="4" applyFont="1" applyAlignment="1">
      <alignment horizontal="center" vertical="center" shrinkToFit="1"/>
    </xf>
    <xf numFmtId="0" fontId="133" fillId="0" borderId="0" xfId="4" applyFont="1" applyAlignment="1">
      <alignment horizontal="center" vertical="center" shrinkToFit="1"/>
    </xf>
    <xf numFmtId="165" fontId="142" fillId="0" borderId="0" xfId="4" applyNumberFormat="1" applyFont="1" applyAlignment="1">
      <alignment horizontal="center" vertical="center" shrinkToFit="1"/>
    </xf>
    <xf numFmtId="2" fontId="103" fillId="0" borderId="0" xfId="4" applyNumberFormat="1" applyFont="1" applyAlignment="1">
      <alignment horizontal="center" vertical="center"/>
    </xf>
    <xf numFmtId="3" fontId="103" fillId="0" borderId="0" xfId="4" applyNumberFormat="1" applyFont="1" applyAlignment="1">
      <alignment horizontal="center" vertical="center"/>
    </xf>
    <xf numFmtId="0" fontId="13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3" fontId="7" fillId="0" borderId="0" xfId="0" applyNumberFormat="1" applyFont="1" applyAlignment="1">
      <alignment horizontal="center" vertical="center"/>
    </xf>
    <xf numFmtId="0" fontId="143" fillId="0" borderId="0" xfId="4" applyFont="1" applyAlignment="1">
      <alignment horizontal="center" vertical="center"/>
    </xf>
    <xf numFmtId="0" fontId="139" fillId="0" borderId="77" xfId="4" applyFont="1" applyBorder="1" applyAlignment="1">
      <alignment horizontal="center" vertical="center"/>
    </xf>
    <xf numFmtId="0" fontId="139" fillId="0" borderId="0" xfId="4" applyFont="1" applyAlignment="1">
      <alignment horizontal="center" vertical="center" shrinkToFit="1"/>
    </xf>
    <xf numFmtId="0" fontId="142" fillId="0" borderId="28" xfId="4" applyFont="1" applyBorder="1" applyAlignment="1">
      <alignment horizontal="center" vertical="center" shrinkToFit="1"/>
    </xf>
    <xf numFmtId="0" fontId="144" fillId="0" borderId="28" xfId="4" applyFont="1" applyBorder="1" applyAlignment="1">
      <alignment horizontal="center" vertical="center" shrinkToFit="1"/>
    </xf>
    <xf numFmtId="0" fontId="147" fillId="0" borderId="28" xfId="4" applyFont="1" applyBorder="1" applyAlignment="1">
      <alignment horizontal="center" vertical="center" shrinkToFit="1"/>
    </xf>
    <xf numFmtId="0" fontId="139" fillId="0" borderId="0" xfId="0" applyFont="1" applyAlignment="1">
      <alignment horizontal="center" vertical="center" shrinkToFit="1"/>
    </xf>
    <xf numFmtId="0" fontId="3" fillId="0" borderId="3" xfId="4" applyBorder="1" applyAlignment="1">
      <alignment horizontal="center" vertical="center"/>
    </xf>
    <xf numFmtId="0" fontId="103" fillId="0" borderId="28" xfId="4" applyFont="1" applyBorder="1" applyAlignment="1">
      <alignment horizontal="center" vertical="center"/>
    </xf>
    <xf numFmtId="0" fontId="105" fillId="0" borderId="10" xfId="4" applyFont="1" applyBorder="1" applyAlignment="1">
      <alignment horizontal="center" vertical="center"/>
    </xf>
    <xf numFmtId="2" fontId="105" fillId="0" borderId="10" xfId="4" applyNumberFormat="1" applyFont="1" applyBorder="1" applyAlignment="1">
      <alignment horizontal="center" vertical="center"/>
    </xf>
    <xf numFmtId="0" fontId="148" fillId="0" borderId="10" xfId="4" applyFont="1" applyBorder="1" applyAlignment="1">
      <alignment horizontal="center" vertical="center"/>
    </xf>
    <xf numFmtId="0" fontId="148" fillId="0" borderId="11" xfId="4" applyFont="1" applyBorder="1" applyAlignment="1">
      <alignment horizontal="center" vertical="center"/>
    </xf>
    <xf numFmtId="0" fontId="148" fillId="0" borderId="0" xfId="4" applyFont="1" applyAlignment="1">
      <alignment horizontal="center" vertical="center"/>
    </xf>
    <xf numFmtId="0" fontId="105" fillId="0" borderId="28" xfId="4" applyFont="1" applyBorder="1" applyAlignment="1">
      <alignment horizontal="center" vertical="center"/>
    </xf>
    <xf numFmtId="0" fontId="105" fillId="0" borderId="3" xfId="4" applyFont="1" applyBorder="1" applyAlignment="1">
      <alignment horizontal="center" vertical="center"/>
    </xf>
    <xf numFmtId="0" fontId="105" fillId="0" borderId="1" xfId="4" applyFont="1" applyBorder="1" applyAlignment="1">
      <alignment horizontal="center" vertical="center"/>
    </xf>
    <xf numFmtId="0" fontId="105" fillId="0" borderId="2" xfId="4" applyFont="1" applyBorder="1" applyAlignment="1">
      <alignment horizontal="center" vertical="center"/>
    </xf>
    <xf numFmtId="0" fontId="105" fillId="0" borderId="6" xfId="4" applyFont="1" applyBorder="1" applyAlignment="1">
      <alignment horizontal="center" vertical="center"/>
    </xf>
    <xf numFmtId="0" fontId="105" fillId="0" borderId="4" xfId="4" applyFont="1" applyBorder="1" applyAlignment="1">
      <alignment horizontal="center" vertical="center"/>
    </xf>
    <xf numFmtId="0" fontId="105" fillId="0" borderId="5" xfId="4" applyFont="1" applyBorder="1" applyAlignment="1">
      <alignment horizontal="center" vertical="center"/>
    </xf>
    <xf numFmtId="0" fontId="105" fillId="0" borderId="8" xfId="4" applyFont="1" applyBorder="1" applyAlignment="1">
      <alignment horizontal="center" vertical="center"/>
    </xf>
    <xf numFmtId="0" fontId="3" fillId="25" borderId="0" xfId="4" applyFill="1" applyAlignment="1">
      <alignment horizontal="center" vertical="center"/>
    </xf>
    <xf numFmtId="0" fontId="3" fillId="25" borderId="10" xfId="4" applyFill="1" applyBorder="1" applyAlignment="1" applyProtection="1">
      <alignment horizontal="center" vertical="center"/>
      <protection locked="0"/>
    </xf>
    <xf numFmtId="0" fontId="140" fillId="25" borderId="5" xfId="4" applyFont="1" applyFill="1" applyBorder="1" applyAlignment="1">
      <alignment horizontal="center" vertical="center"/>
    </xf>
    <xf numFmtId="3" fontId="140" fillId="25" borderId="14" xfId="4" applyNumberFormat="1" applyFont="1" applyFill="1" applyBorder="1" applyAlignment="1" applyProtection="1">
      <alignment horizontal="center" vertical="center"/>
      <protection locked="0"/>
    </xf>
    <xf numFmtId="0" fontId="140" fillId="25" borderId="14" xfId="4" applyFont="1" applyFill="1" applyBorder="1" applyAlignment="1">
      <alignment horizontal="center" vertical="center"/>
    </xf>
    <xf numFmtId="3" fontId="140" fillId="25" borderId="8" xfId="4" applyNumberFormat="1" applyFont="1" applyFill="1" applyBorder="1" applyAlignment="1" applyProtection="1">
      <alignment horizontal="center" vertical="center"/>
      <protection locked="0"/>
    </xf>
    <xf numFmtId="0" fontId="3" fillId="25" borderId="11" xfId="4" applyFill="1" applyBorder="1" applyAlignment="1">
      <alignment horizontal="center" vertical="center"/>
    </xf>
    <xf numFmtId="0" fontId="3" fillId="25" borderId="28" xfId="4" applyFill="1" applyBorder="1" applyAlignment="1">
      <alignment horizontal="center" vertical="center"/>
    </xf>
    <xf numFmtId="0" fontId="103" fillId="0" borderId="12" xfId="4" applyFont="1" applyBorder="1" applyAlignment="1">
      <alignment horizontal="center" vertical="center"/>
    </xf>
    <xf numFmtId="0" fontId="3" fillId="21" borderId="78" xfId="4" applyFill="1" applyBorder="1" applyAlignment="1">
      <alignment horizontal="center" vertical="center"/>
    </xf>
    <xf numFmtId="0" fontId="3" fillId="21" borderId="79" xfId="4" applyFill="1" applyBorder="1" applyAlignment="1">
      <alignment horizontal="center" vertical="center"/>
    </xf>
    <xf numFmtId="0" fontId="3" fillId="21" borderId="77" xfId="4" applyFill="1" applyBorder="1" applyAlignment="1">
      <alignment horizontal="center" vertical="center"/>
    </xf>
    <xf numFmtId="0" fontId="3" fillId="21" borderId="13" xfId="4" applyFill="1" applyBorder="1" applyAlignment="1">
      <alignment horizontal="center" vertical="center"/>
    </xf>
    <xf numFmtId="0" fontId="3" fillId="21" borderId="3" xfId="4" applyFill="1" applyBorder="1" applyAlignment="1">
      <alignment horizontal="center" vertical="center"/>
    </xf>
    <xf numFmtId="0" fontId="3" fillId="21" borderId="0" xfId="4" applyFill="1" applyAlignment="1">
      <alignment horizontal="center" vertical="center"/>
    </xf>
    <xf numFmtId="0" fontId="3" fillId="21" borderId="7" xfId="4" applyFill="1" applyBorder="1" applyAlignment="1">
      <alignment horizontal="center" vertical="center"/>
    </xf>
    <xf numFmtId="0" fontId="3" fillId="21" borderId="81" xfId="4" applyFill="1" applyBorder="1" applyAlignment="1">
      <alignment horizontal="center" vertical="center"/>
    </xf>
    <xf numFmtId="0" fontId="3" fillId="21" borderId="14" xfId="4" applyFill="1" applyBorder="1" applyAlignment="1">
      <alignment horizontal="center" vertical="center"/>
    </xf>
    <xf numFmtId="0" fontId="3" fillId="21" borderId="4" xfId="4" applyFill="1" applyBorder="1" applyAlignment="1">
      <alignment horizontal="center" vertical="center"/>
    </xf>
    <xf numFmtId="0" fontId="3" fillId="21" borderId="5" xfId="4" applyFill="1" applyBorder="1" applyAlignment="1">
      <alignment horizontal="center" vertical="center"/>
    </xf>
    <xf numFmtId="0" fontId="3" fillId="21" borderId="8" xfId="4" applyFill="1" applyBorder="1" applyAlignment="1">
      <alignment horizontal="center" vertical="center"/>
    </xf>
    <xf numFmtId="0" fontId="3" fillId="21" borderId="23" xfId="4" applyFill="1" applyBorder="1" applyAlignment="1">
      <alignment horizontal="center" vertical="center"/>
    </xf>
    <xf numFmtId="0" fontId="3" fillId="21" borderId="15" xfId="4" applyFill="1" applyBorder="1" applyAlignment="1">
      <alignment horizontal="center" vertical="center"/>
    </xf>
    <xf numFmtId="0" fontId="3" fillId="21" borderId="16" xfId="4" applyFill="1" applyBorder="1" applyAlignment="1">
      <alignment horizontal="center" vertical="center"/>
    </xf>
    <xf numFmtId="0" fontId="3" fillId="21" borderId="6" xfId="4" applyFill="1" applyBorder="1" applyAlignment="1">
      <alignment horizontal="center" vertical="center"/>
    </xf>
    <xf numFmtId="0" fontId="3" fillId="21" borderId="17" xfId="4" applyFill="1" applyBorder="1" applyAlignment="1">
      <alignment horizontal="center" vertical="center"/>
    </xf>
    <xf numFmtId="3" fontId="3" fillId="21" borderId="9" xfId="4" applyNumberFormat="1" applyFill="1" applyBorder="1" applyAlignment="1">
      <alignment horizontal="center" vertical="center"/>
    </xf>
    <xf numFmtId="0" fontId="3" fillId="21" borderId="12" xfId="4" applyFill="1" applyBorder="1" applyAlignment="1">
      <alignment horizontal="center" vertical="center"/>
    </xf>
    <xf numFmtId="0" fontId="3" fillId="21" borderId="23" xfId="4" applyFill="1" applyBorder="1" applyAlignment="1" applyProtection="1">
      <alignment horizontal="center" vertical="center"/>
      <protection locked="0"/>
    </xf>
    <xf numFmtId="0" fontId="3" fillId="21" borderId="0" xfId="4" applyFill="1" applyAlignment="1" applyProtection="1">
      <alignment horizontal="center" vertical="center"/>
      <protection locked="0"/>
    </xf>
    <xf numFmtId="0" fontId="3" fillId="21" borderId="24" xfId="4" applyFill="1" applyBorder="1" applyAlignment="1" applyProtection="1">
      <alignment horizontal="center" vertical="center"/>
      <protection locked="0"/>
    </xf>
    <xf numFmtId="0" fontId="3" fillId="21" borderId="18" xfId="4" applyFill="1" applyBorder="1" applyAlignment="1">
      <alignment horizontal="center" vertical="center"/>
    </xf>
    <xf numFmtId="0" fontId="3" fillId="21" borderId="19" xfId="4" applyFill="1" applyBorder="1" applyAlignment="1">
      <alignment horizontal="center" vertical="center"/>
    </xf>
    <xf numFmtId="0" fontId="3" fillId="21" borderId="25" xfId="4" applyFill="1" applyBorder="1" applyAlignment="1" applyProtection="1">
      <alignment horizontal="center" vertical="center"/>
      <protection locked="0"/>
    </xf>
    <xf numFmtId="0" fontId="3" fillId="21" borderId="26" xfId="4" applyFill="1" applyBorder="1" applyAlignment="1" applyProtection="1">
      <alignment horizontal="center" vertical="center"/>
      <protection locked="0"/>
    </xf>
    <xf numFmtId="0" fontId="3" fillId="21" borderId="27" xfId="4" applyFill="1" applyBorder="1" applyAlignment="1" applyProtection="1">
      <alignment horizontal="center" vertical="center"/>
      <protection locked="0"/>
    </xf>
    <xf numFmtId="0" fontId="152" fillId="21" borderId="23" xfId="4" applyFont="1" applyFill="1" applyBorder="1" applyAlignment="1" applyProtection="1">
      <alignment horizontal="center" vertical="center"/>
      <protection locked="0"/>
    </xf>
    <xf numFmtId="0" fontId="152" fillId="21" borderId="0" xfId="4" applyFont="1" applyFill="1" applyAlignment="1" applyProtection="1">
      <alignment horizontal="center" vertical="center"/>
      <protection locked="0"/>
    </xf>
    <xf numFmtId="16" fontId="3" fillId="21" borderId="0" xfId="4" applyNumberFormat="1" applyFill="1" applyAlignment="1" applyProtection="1">
      <alignment horizontal="center" vertical="center"/>
      <protection locked="0"/>
    </xf>
    <xf numFmtId="1" fontId="3" fillId="21" borderId="0" xfId="4" applyNumberFormat="1" applyFill="1" applyAlignment="1" applyProtection="1">
      <alignment horizontal="center" vertical="center"/>
      <protection locked="0"/>
    </xf>
    <xf numFmtId="0" fontId="153" fillId="21" borderId="24" xfId="4" applyFont="1" applyFill="1" applyBorder="1" applyAlignment="1" applyProtection="1">
      <alignment horizontal="center" vertical="center"/>
      <protection locked="0"/>
    </xf>
    <xf numFmtId="1" fontId="152" fillId="21" borderId="0" xfId="4" applyNumberFormat="1" applyFont="1" applyFill="1" applyAlignment="1" applyProtection="1">
      <alignment horizontal="center" vertical="center"/>
      <protection locked="0"/>
    </xf>
    <xf numFmtId="1" fontId="152" fillId="21" borderId="26" xfId="4" applyNumberFormat="1" applyFont="1" applyFill="1" applyBorder="1" applyAlignment="1" applyProtection="1">
      <alignment horizontal="center" vertical="center"/>
      <protection locked="0"/>
    </xf>
    <xf numFmtId="1" fontId="3" fillId="21" borderId="26" xfId="4" applyNumberFormat="1" applyFill="1" applyBorder="1" applyAlignment="1" applyProtection="1">
      <alignment horizontal="center" vertical="center"/>
      <protection locked="0"/>
    </xf>
    <xf numFmtId="0" fontId="103" fillId="0" borderId="13" xfId="4" applyFont="1" applyBorder="1" applyAlignment="1">
      <alignment horizontal="center" vertical="center"/>
    </xf>
    <xf numFmtId="0" fontId="3" fillId="26" borderId="21" xfId="4" applyFill="1" applyBorder="1" applyAlignment="1">
      <alignment horizontal="center" vertical="center"/>
    </xf>
    <xf numFmtId="0" fontId="3" fillId="26" borderId="80" xfId="4" applyFill="1" applyBorder="1" applyAlignment="1">
      <alignment horizontal="center" vertical="center"/>
    </xf>
    <xf numFmtId="0" fontId="3" fillId="26" borderId="0" xfId="4" applyFill="1" applyAlignment="1">
      <alignment horizontal="center" vertical="center"/>
    </xf>
    <xf numFmtId="3" fontId="3" fillId="26" borderId="0" xfId="4" applyNumberFormat="1" applyFill="1" applyAlignment="1">
      <alignment horizontal="center" vertical="center"/>
    </xf>
    <xf numFmtId="43" fontId="3" fillId="26" borderId="0" xfId="4" applyNumberFormat="1" applyFill="1" applyAlignment="1">
      <alignment horizontal="center" vertical="center"/>
    </xf>
    <xf numFmtId="3" fontId="3" fillId="26" borderId="7" xfId="4" applyNumberFormat="1" applyFill="1" applyBorder="1" applyAlignment="1">
      <alignment horizontal="center" vertical="center"/>
    </xf>
    <xf numFmtId="0" fontId="3" fillId="26" borderId="7" xfId="4" applyFill="1" applyBorder="1" applyAlignment="1">
      <alignment horizontal="center" vertical="center"/>
    </xf>
    <xf numFmtId="0" fontId="3" fillId="26" borderId="5" xfId="4" applyFill="1" applyBorder="1" applyAlignment="1">
      <alignment horizontal="center" vertical="center"/>
    </xf>
    <xf numFmtId="0" fontId="3" fillId="26" borderId="8" xfId="4" applyFill="1" applyBorder="1" applyAlignment="1">
      <alignment horizontal="center" vertical="center"/>
    </xf>
    <xf numFmtId="0" fontId="3" fillId="26" borderId="23" xfId="4" applyFill="1" applyBorder="1" applyAlignment="1">
      <alignment horizontal="center" vertical="center"/>
    </xf>
    <xf numFmtId="0" fontId="3" fillId="26" borderId="2" xfId="4" applyFill="1" applyBorder="1" applyAlignment="1">
      <alignment horizontal="center" vertical="center"/>
    </xf>
    <xf numFmtId="0" fontId="3" fillId="26" borderId="6" xfId="4" applyFill="1" applyBorder="1" applyAlignment="1">
      <alignment horizontal="center" vertical="center"/>
    </xf>
    <xf numFmtId="0" fontId="3" fillId="26" borderId="24" xfId="4" applyFill="1" applyBorder="1" applyAlignment="1">
      <alignment horizontal="center" vertical="center"/>
    </xf>
    <xf numFmtId="0" fontId="3" fillId="26" borderId="26" xfId="4" applyFill="1" applyBorder="1" applyAlignment="1">
      <alignment horizontal="center" vertical="center"/>
    </xf>
    <xf numFmtId="0" fontId="3" fillId="26" borderId="84" xfId="4" applyFill="1" applyBorder="1" applyAlignment="1">
      <alignment horizontal="center" vertical="center"/>
    </xf>
    <xf numFmtId="0" fontId="103" fillId="0" borderId="14" xfId="4" applyFont="1" applyBorder="1" applyAlignment="1">
      <alignment horizontal="center" vertical="center"/>
    </xf>
    <xf numFmtId="0" fontId="3" fillId="27" borderId="20" xfId="4" applyFill="1" applyBorder="1" applyAlignment="1">
      <alignment horizontal="center" vertical="center"/>
    </xf>
    <xf numFmtId="0" fontId="3" fillId="27" borderId="21" xfId="4" applyFill="1" applyBorder="1" applyAlignment="1">
      <alignment horizontal="center" vertical="center"/>
    </xf>
    <xf numFmtId="0" fontId="3" fillId="27" borderId="22" xfId="4" applyFill="1" applyBorder="1" applyAlignment="1">
      <alignment horizontal="center" vertical="center"/>
    </xf>
    <xf numFmtId="0" fontId="103" fillId="0" borderId="11" xfId="4" applyFont="1" applyBorder="1" applyAlignment="1">
      <alignment horizontal="center" vertical="center"/>
    </xf>
    <xf numFmtId="0" fontId="3" fillId="27" borderId="23" xfId="4" applyFill="1" applyBorder="1" applyAlignment="1">
      <alignment horizontal="center" vertical="center"/>
    </xf>
    <xf numFmtId="0" fontId="3" fillId="27" borderId="0" xfId="4" applyFill="1" applyAlignment="1">
      <alignment horizontal="center" vertical="center"/>
    </xf>
    <xf numFmtId="0" fontId="3" fillId="27" borderId="24" xfId="4" applyFill="1" applyBorder="1" applyAlignment="1">
      <alignment horizontal="center" vertical="center"/>
    </xf>
    <xf numFmtId="0" fontId="3" fillId="27" borderId="0" xfId="4" applyFill="1" applyAlignment="1" applyProtection="1">
      <alignment horizontal="center" vertical="center"/>
      <protection locked="0"/>
    </xf>
    <xf numFmtId="3" fontId="3" fillId="27" borderId="0" xfId="4" applyNumberFormat="1" applyFill="1" applyAlignment="1">
      <alignment horizontal="center" vertical="center"/>
    </xf>
    <xf numFmtId="0" fontId="3" fillId="27" borderId="5" xfId="4" applyFill="1" applyBorder="1" applyAlignment="1" applyProtection="1">
      <alignment horizontal="center" vertical="center"/>
      <protection locked="0"/>
    </xf>
    <xf numFmtId="0" fontId="3" fillId="27" borderId="85" xfId="4" applyFill="1" applyBorder="1" applyAlignment="1">
      <alignment horizontal="center" vertical="center"/>
    </xf>
    <xf numFmtId="0" fontId="3" fillId="27" borderId="10" xfId="4" applyFill="1" applyBorder="1" applyAlignment="1">
      <alignment horizontal="center" vertical="center"/>
    </xf>
    <xf numFmtId="0" fontId="3" fillId="27" borderId="11" xfId="4" applyFill="1" applyBorder="1" applyAlignment="1">
      <alignment horizontal="center" vertical="center"/>
    </xf>
    <xf numFmtId="0" fontId="3" fillId="27" borderId="25" xfId="4" applyFill="1" applyBorder="1" applyAlignment="1">
      <alignment horizontal="center" vertical="center"/>
    </xf>
    <xf numFmtId="0" fontId="3" fillId="27" borderId="26" xfId="4" applyFill="1" applyBorder="1" applyAlignment="1">
      <alignment horizontal="center" vertical="center"/>
    </xf>
    <xf numFmtId="0" fontId="3" fillId="27" borderId="26" xfId="4" applyFill="1" applyBorder="1" applyAlignment="1" applyProtection="1">
      <alignment horizontal="center" vertical="center"/>
      <protection locked="0"/>
    </xf>
    <xf numFmtId="0" fontId="3" fillId="27" borderId="27" xfId="4" applyFill="1" applyBorder="1" applyAlignment="1">
      <alignment horizontal="center" vertical="center"/>
    </xf>
    <xf numFmtId="0" fontId="3" fillId="28" borderId="20" xfId="4" applyFill="1" applyBorder="1" applyAlignment="1">
      <alignment horizontal="center" vertical="center"/>
    </xf>
    <xf numFmtId="0" fontId="3" fillId="28" borderId="21" xfId="4" applyFill="1" applyBorder="1" applyAlignment="1">
      <alignment horizontal="center" vertical="center"/>
    </xf>
    <xf numFmtId="0" fontId="3" fillId="28" borderId="22" xfId="4" applyFill="1" applyBorder="1" applyAlignment="1">
      <alignment horizontal="center" vertical="center"/>
    </xf>
    <xf numFmtId="0" fontId="3" fillId="28" borderId="23" xfId="4" applyFill="1" applyBorder="1" applyAlignment="1">
      <alignment horizontal="center" vertical="center"/>
    </xf>
    <xf numFmtId="3" fontId="3" fillId="28" borderId="0" xfId="4" applyNumberFormat="1" applyFill="1" applyAlignment="1">
      <alignment horizontal="center" vertical="center"/>
    </xf>
    <xf numFmtId="0" fontId="3" fillId="28" borderId="0" xfId="4" applyFill="1" applyAlignment="1">
      <alignment horizontal="center" vertical="center"/>
    </xf>
    <xf numFmtId="0" fontId="3" fillId="28" borderId="24" xfId="4" applyFill="1" applyBorder="1" applyAlignment="1">
      <alignment horizontal="center" vertical="center"/>
    </xf>
    <xf numFmtId="0" fontId="3" fillId="28" borderId="83" xfId="4" applyFill="1" applyBorder="1" applyAlignment="1">
      <alignment horizontal="center" vertical="center"/>
    </xf>
    <xf numFmtId="0" fontId="3" fillId="28" borderId="2" xfId="4" applyFill="1" applyBorder="1" applyAlignment="1">
      <alignment horizontal="center" vertical="center"/>
    </xf>
    <xf numFmtId="0" fontId="3" fillId="28" borderId="86" xfId="4" applyFill="1" applyBorder="1" applyAlignment="1">
      <alignment horizontal="center" vertical="center"/>
    </xf>
    <xf numFmtId="0" fontId="3" fillId="28" borderId="82" xfId="4" applyFill="1" applyBorder="1" applyAlignment="1">
      <alignment horizontal="center" vertical="center"/>
    </xf>
    <xf numFmtId="0" fontId="3" fillId="28" borderId="5" xfId="4" applyFill="1" applyBorder="1" applyAlignment="1">
      <alignment horizontal="center" vertical="center"/>
    </xf>
    <xf numFmtId="0" fontId="3" fillId="28" borderId="87" xfId="4" applyFill="1" applyBorder="1" applyAlignment="1">
      <alignment horizontal="center" vertical="center"/>
    </xf>
    <xf numFmtId="0" fontId="3" fillId="28" borderId="25" xfId="4" applyFill="1" applyBorder="1" applyAlignment="1">
      <alignment horizontal="center" vertical="center"/>
    </xf>
    <xf numFmtId="0" fontId="3" fillId="28" borderId="26" xfId="4" applyFill="1" applyBorder="1" applyAlignment="1">
      <alignment horizontal="center" vertical="center"/>
    </xf>
    <xf numFmtId="0" fontId="3" fillId="28" borderId="27" xfId="4" applyFill="1" applyBorder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154" fillId="0" borderId="39" xfId="0" applyFont="1" applyBorder="1" applyAlignment="1">
      <alignment horizontal="center" vertical="center"/>
    </xf>
    <xf numFmtId="0" fontId="155" fillId="0" borderId="0" xfId="0" applyFont="1" applyAlignment="1">
      <alignment horizontal="center" vertical="center"/>
    </xf>
    <xf numFmtId="43" fontId="154" fillId="0" borderId="40" xfId="1" applyFont="1" applyBorder="1" applyAlignment="1">
      <alignment horizontal="center" vertical="center"/>
    </xf>
    <xf numFmtId="0" fontId="156" fillId="4" borderId="15" xfId="0" applyFont="1" applyFill="1" applyBorder="1" applyAlignment="1">
      <alignment horizontal="center" vertical="center"/>
    </xf>
    <xf numFmtId="0" fontId="156" fillId="4" borderId="17" xfId="0" applyFont="1" applyFill="1" applyBorder="1" applyAlignment="1">
      <alignment horizontal="center" vertical="center"/>
    </xf>
    <xf numFmtId="0" fontId="156" fillId="4" borderId="18" xfId="0" applyFont="1" applyFill="1" applyBorder="1" applyAlignment="1">
      <alignment horizontal="center" vertical="center"/>
    </xf>
    <xf numFmtId="0" fontId="122" fillId="0" borderId="0" xfId="0" applyFont="1" applyAlignment="1">
      <alignment horizontal="center" vertical="center"/>
    </xf>
    <xf numFmtId="0" fontId="83" fillId="0" borderId="67" xfId="0" applyFont="1" applyBorder="1" applyAlignment="1">
      <alignment vertical="center"/>
    </xf>
    <xf numFmtId="43" fontId="85" fillId="0" borderId="67" xfId="1" applyFont="1" applyFill="1" applyBorder="1" applyAlignment="1">
      <alignment vertical="center"/>
    </xf>
    <xf numFmtId="0" fontId="0" fillId="29" borderId="0" xfId="0" applyFill="1"/>
    <xf numFmtId="0" fontId="82" fillId="0" borderId="21" xfId="0" applyFont="1" applyBorder="1" applyAlignment="1">
      <alignment horizontal="center" vertical="center"/>
    </xf>
    <xf numFmtId="0" fontId="82" fillId="0" borderId="5" xfId="0" applyFont="1" applyBorder="1" applyAlignment="1">
      <alignment horizontal="center" vertical="center"/>
    </xf>
    <xf numFmtId="0" fontId="83" fillId="0" borderId="65" xfId="0" applyFont="1" applyBorder="1" applyAlignment="1">
      <alignment horizontal="center" vertical="center"/>
    </xf>
    <xf numFmtId="0" fontId="83" fillId="0" borderId="66" xfId="0" applyFont="1" applyBorder="1" applyAlignment="1">
      <alignment horizontal="center" vertical="center"/>
    </xf>
    <xf numFmtId="0" fontId="84" fillId="0" borderId="2" xfId="0" applyFont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0" fillId="16" borderId="0" xfId="0" applyFill="1" applyAlignment="1">
      <alignment horizontal="center"/>
    </xf>
    <xf numFmtId="0" fontId="51" fillId="0" borderId="0" xfId="0" applyFont="1" applyAlignment="1">
      <alignment horizontal="center" vertical="center"/>
    </xf>
    <xf numFmtId="0" fontId="49" fillId="0" borderId="0" xfId="3" applyFont="1" applyFill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0" fillId="0" borderId="0" xfId="3" applyFont="1" applyAlignment="1">
      <alignment horizontal="center" vertical="center"/>
    </xf>
    <xf numFmtId="0" fontId="64" fillId="16" borderId="0" xfId="0" applyFont="1" applyFill="1" applyAlignment="1">
      <alignment horizontal="center"/>
    </xf>
    <xf numFmtId="0" fontId="64" fillId="16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2" fillId="0" borderId="0" xfId="0" applyFont="1" applyAlignment="1">
      <alignment horizontal="center"/>
    </xf>
    <xf numFmtId="43" fontId="85" fillId="0" borderId="65" xfId="1" applyFont="1" applyFill="1" applyBorder="1" applyAlignment="1">
      <alignment horizontal="center" vertical="center"/>
    </xf>
    <xf numFmtId="43" fontId="85" fillId="0" borderId="0" xfId="1" applyFont="1" applyFill="1" applyBorder="1" applyAlignment="1">
      <alignment horizontal="center" vertical="center"/>
    </xf>
    <xf numFmtId="0" fontId="89" fillId="16" borderId="0" xfId="0" applyFont="1" applyFill="1" applyAlignment="1">
      <alignment horizontal="center"/>
    </xf>
    <xf numFmtId="165" fontId="76" fillId="7" borderId="0" xfId="0" applyNumberFormat="1" applyFont="1" applyFill="1" applyAlignment="1">
      <alignment horizontal="center"/>
    </xf>
    <xf numFmtId="0" fontId="53" fillId="16" borderId="0" xfId="0" applyFont="1" applyFill="1" applyAlignment="1">
      <alignment horizontal="center"/>
    </xf>
    <xf numFmtId="0" fontId="66" fillId="16" borderId="55" xfId="0" applyFont="1" applyFill="1" applyBorder="1" applyAlignment="1">
      <alignment horizontal="center" vertical="center"/>
    </xf>
    <xf numFmtId="0" fontId="66" fillId="16" borderId="56" xfId="0" applyFont="1" applyFill="1" applyBorder="1" applyAlignment="1">
      <alignment horizontal="center" vertical="center"/>
    </xf>
    <xf numFmtId="0" fontId="75" fillId="16" borderId="0" xfId="0" applyFont="1" applyFill="1" applyAlignment="1">
      <alignment horizontal="center"/>
    </xf>
    <xf numFmtId="0" fontId="72" fillId="16" borderId="0" xfId="0" applyFont="1" applyFill="1" applyAlignment="1">
      <alignment horizontal="center" vertical="center"/>
    </xf>
    <xf numFmtId="0" fontId="0" fillId="13" borderId="0" xfId="0" applyFill="1" applyAlignment="1">
      <alignment horizontal="center"/>
    </xf>
    <xf numFmtId="0" fontId="57" fillId="16" borderId="0" xfId="0" applyFont="1" applyFill="1" applyAlignment="1">
      <alignment horizontal="center"/>
    </xf>
    <xf numFmtId="3" fontId="74" fillId="16" borderId="0" xfId="0" applyNumberFormat="1" applyFont="1" applyFill="1" applyAlignment="1">
      <alignment horizontal="center"/>
    </xf>
    <xf numFmtId="0" fontId="72" fillId="16" borderId="0" xfId="0" applyFont="1" applyFill="1" applyAlignment="1">
      <alignment horizontal="center" vertical="top"/>
    </xf>
    <xf numFmtId="0" fontId="72" fillId="16" borderId="0" xfId="0" applyFont="1" applyFill="1" applyAlignment="1">
      <alignment horizontal="center" vertical="center" wrapText="1"/>
    </xf>
    <xf numFmtId="3" fontId="157" fillId="16" borderId="0" xfId="0" applyNumberFormat="1" applyFont="1" applyFill="1" applyAlignment="1">
      <alignment horizontal="center" vertical="center"/>
    </xf>
    <xf numFmtId="3" fontId="157" fillId="16" borderId="26" xfId="0" applyNumberFormat="1" applyFont="1" applyFill="1" applyBorder="1" applyAlignment="1">
      <alignment horizontal="center" vertical="center"/>
    </xf>
    <xf numFmtId="43" fontId="71" fillId="7" borderId="25" xfId="1" applyFont="1" applyFill="1" applyBorder="1" applyAlignment="1">
      <alignment horizontal="center"/>
    </xf>
    <xf numFmtId="43" fontId="71" fillId="7" borderId="27" xfId="1" applyFont="1" applyFill="1" applyBorder="1" applyAlignment="1">
      <alignment horizontal="center"/>
    </xf>
    <xf numFmtId="0" fontId="0" fillId="16" borderId="70" xfId="0" applyFill="1" applyBorder="1" applyAlignment="1">
      <alignment horizontal="center"/>
    </xf>
    <xf numFmtId="0" fontId="82" fillId="0" borderId="21" xfId="0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73" fillId="16" borderId="23" xfId="0" applyFont="1" applyFill="1" applyBorder="1" applyAlignment="1">
      <alignment horizontal="center" vertical="center"/>
    </xf>
    <xf numFmtId="0" fontId="73" fillId="16" borderId="0" xfId="0" applyFont="1" applyFill="1" applyAlignment="1">
      <alignment horizontal="center" vertical="center"/>
    </xf>
    <xf numFmtId="3" fontId="157" fillId="16" borderId="0" xfId="0" applyNumberFormat="1" applyFont="1" applyFill="1" applyAlignment="1">
      <alignment horizontal="center"/>
    </xf>
    <xf numFmtId="43" fontId="71" fillId="7" borderId="29" xfId="1" applyFont="1" applyFill="1" applyBorder="1" applyAlignment="1">
      <alignment horizontal="center"/>
    </xf>
    <xf numFmtId="43" fontId="71" fillId="7" borderId="31" xfId="1" applyFont="1" applyFill="1" applyBorder="1" applyAlignment="1">
      <alignment horizontal="center"/>
    </xf>
    <xf numFmtId="43" fontId="87" fillId="7" borderId="20" xfId="1" applyFont="1" applyFill="1" applyBorder="1" applyAlignment="1">
      <alignment horizontal="center"/>
    </xf>
    <xf numFmtId="43" fontId="87" fillId="7" borderId="22" xfId="1" applyFont="1" applyFill="1" applyBorder="1" applyAlignment="1">
      <alignment horizontal="center"/>
    </xf>
    <xf numFmtId="0" fontId="70" fillId="16" borderId="0" xfId="0" applyFont="1" applyFill="1" applyAlignment="1">
      <alignment horizontal="center" vertical="center"/>
    </xf>
    <xf numFmtId="3" fontId="57" fillId="16" borderId="0" xfId="0" applyNumberFormat="1" applyFont="1" applyFill="1" applyAlignment="1">
      <alignment horizontal="center" vertical="center"/>
    </xf>
    <xf numFmtId="3" fontId="77" fillId="16" borderId="0" xfId="0" applyNumberFormat="1" applyFont="1" applyFill="1" applyAlignment="1">
      <alignment horizontal="right"/>
    </xf>
    <xf numFmtId="0" fontId="55" fillId="16" borderId="0" xfId="0" applyFont="1" applyFill="1" applyAlignment="1">
      <alignment horizontal="center" vertical="center"/>
    </xf>
    <xf numFmtId="0" fontId="0" fillId="17" borderId="23" xfId="0" applyFill="1" applyBorder="1" applyAlignment="1">
      <alignment horizontal="center"/>
    </xf>
    <xf numFmtId="0" fontId="0" fillId="17" borderId="0" xfId="0" applyFill="1" applyAlignment="1">
      <alignment horizontal="center"/>
    </xf>
    <xf numFmtId="0" fontId="83" fillId="0" borderId="67" xfId="0" applyFont="1" applyBorder="1" applyAlignment="1">
      <alignment horizontal="center" vertical="center"/>
    </xf>
    <xf numFmtId="0" fontId="83" fillId="0" borderId="68" xfId="0" applyFont="1" applyBorder="1" applyAlignment="1">
      <alignment horizontal="center" vertical="center"/>
    </xf>
    <xf numFmtId="43" fontId="85" fillId="0" borderId="67" xfId="1" applyFont="1" applyFill="1" applyBorder="1" applyAlignment="1">
      <alignment horizontal="center" vertical="center"/>
    </xf>
    <xf numFmtId="43" fontId="85" fillId="0" borderId="68" xfId="1" applyFont="1" applyFill="1" applyBorder="1" applyAlignment="1">
      <alignment horizontal="center" vertical="center"/>
    </xf>
    <xf numFmtId="3" fontId="77" fillId="16" borderId="0" xfId="0" applyNumberFormat="1" applyFont="1" applyFill="1" applyAlignment="1">
      <alignment horizontal="center" vertical="center"/>
    </xf>
    <xf numFmtId="0" fontId="57" fillId="16" borderId="0" xfId="0" applyFont="1" applyFill="1" applyAlignment="1">
      <alignment horizontal="left"/>
    </xf>
    <xf numFmtId="3" fontId="157" fillId="16" borderId="0" xfId="0" applyNumberFormat="1" applyFont="1" applyFill="1" applyAlignment="1">
      <alignment vertical="center" wrapText="1"/>
    </xf>
    <xf numFmtId="3" fontId="157" fillId="16" borderId="0" xfId="0" applyNumberFormat="1" applyFont="1" applyFill="1" applyAlignment="1">
      <alignment horizontal="center" vertical="center" wrapText="1"/>
    </xf>
    <xf numFmtId="3" fontId="157" fillId="16" borderId="26" xfId="0" applyNumberFormat="1" applyFont="1" applyFill="1" applyBorder="1" applyAlignment="1">
      <alignment horizontal="center" vertical="center" wrapText="1"/>
    </xf>
    <xf numFmtId="1" fontId="119" fillId="0" borderId="34" xfId="0" applyNumberFormat="1" applyFont="1" applyBorder="1" applyAlignment="1">
      <alignment horizontal="right" vertical="center" wrapText="1"/>
    </xf>
    <xf numFmtId="1" fontId="119" fillId="0" borderId="16" xfId="0" applyNumberFormat="1" applyFont="1" applyBorder="1" applyAlignment="1">
      <alignment horizontal="right" vertical="center" wrapText="1"/>
    </xf>
    <xf numFmtId="1" fontId="87" fillId="0" borderId="29" xfId="0" applyNumberFormat="1" applyFont="1" applyBorder="1" applyAlignment="1">
      <alignment horizontal="center" vertical="center" wrapText="1"/>
    </xf>
    <xf numFmtId="1" fontId="87" fillId="0" borderId="31" xfId="0" applyNumberFormat="1" applyFont="1" applyBorder="1" applyAlignment="1">
      <alignment horizontal="center" vertical="center" wrapText="1"/>
    </xf>
    <xf numFmtId="1" fontId="119" fillId="0" borderId="28" xfId="0" applyNumberFormat="1" applyFont="1" applyBorder="1" applyAlignment="1">
      <alignment horizontal="right" vertical="center" wrapText="1"/>
    </xf>
    <xf numFmtId="1" fontId="119" fillId="0" borderId="9" xfId="0" applyNumberFormat="1" applyFont="1" applyBorder="1" applyAlignment="1">
      <alignment horizontal="right" vertical="center" wrapText="1"/>
    </xf>
    <xf numFmtId="1" fontId="87" fillId="0" borderId="23" xfId="0" applyNumberFormat="1" applyFont="1" applyBorder="1" applyAlignment="1">
      <alignment horizontal="center" vertical="center" wrapText="1"/>
    </xf>
    <xf numFmtId="1" fontId="87" fillId="0" borderId="24" xfId="0" applyNumberFormat="1" applyFont="1" applyBorder="1" applyAlignment="1">
      <alignment horizontal="center" vertical="center" wrapText="1"/>
    </xf>
    <xf numFmtId="1" fontId="87" fillId="0" borderId="25" xfId="0" applyNumberFormat="1" applyFont="1" applyBorder="1" applyAlignment="1">
      <alignment horizontal="center" vertical="center" wrapText="1"/>
    </xf>
    <xf numFmtId="1" fontId="87" fillId="0" borderId="27" xfId="0" applyNumberFormat="1" applyFont="1" applyBorder="1" applyAlignment="1">
      <alignment horizontal="center" vertical="center" wrapText="1"/>
    </xf>
    <xf numFmtId="1" fontId="119" fillId="0" borderId="33" xfId="0" applyNumberFormat="1" applyFont="1" applyBorder="1" applyAlignment="1">
      <alignment horizontal="right" vertical="center" wrapText="1"/>
    </xf>
    <xf numFmtId="1" fontId="119" fillId="0" borderId="19" xfId="0" applyNumberFormat="1" applyFont="1" applyBorder="1" applyAlignment="1">
      <alignment horizontal="right" vertical="center" wrapText="1"/>
    </xf>
    <xf numFmtId="43" fontId="85" fillId="0" borderId="76" xfId="1" applyFont="1" applyFill="1" applyBorder="1" applyAlignment="1">
      <alignment horizontal="center" vertical="center"/>
    </xf>
    <xf numFmtId="43" fontId="85" fillId="0" borderId="7" xfId="1" applyFont="1" applyFill="1" applyBorder="1" applyAlignment="1">
      <alignment horizontal="center" vertical="center"/>
    </xf>
    <xf numFmtId="0" fontId="123" fillId="0" borderId="2" xfId="0" applyFont="1" applyBorder="1" applyAlignment="1">
      <alignment horizontal="center" vertical="center" wrapText="1"/>
    </xf>
    <xf numFmtId="0" fontId="123" fillId="0" borderId="0" xfId="0" applyFont="1" applyAlignment="1">
      <alignment horizontal="center" vertical="center" wrapText="1"/>
    </xf>
    <xf numFmtId="0" fontId="90" fillId="0" borderId="21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0" borderId="0" xfId="0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21" xfId="0" applyFont="1" applyFill="1" applyBorder="1" applyAlignment="1">
      <alignment horizontal="center" vertical="center"/>
    </xf>
    <xf numFmtId="0" fontId="37" fillId="10" borderId="22" xfId="0" applyFont="1" applyFill="1" applyBorder="1" applyAlignment="1">
      <alignment horizontal="center" vertical="center"/>
    </xf>
    <xf numFmtId="0" fontId="37" fillId="10" borderId="25" xfId="0" applyFont="1" applyFill="1" applyBorder="1" applyAlignment="1">
      <alignment horizontal="center" vertical="center"/>
    </xf>
    <xf numFmtId="0" fontId="37" fillId="10" borderId="26" xfId="0" applyFont="1" applyFill="1" applyBorder="1" applyAlignment="1">
      <alignment horizontal="center" vertical="center"/>
    </xf>
    <xf numFmtId="0" fontId="37" fillId="10" borderId="27" xfId="0" applyFont="1" applyFill="1" applyBorder="1" applyAlignment="1">
      <alignment horizontal="center" vertical="center"/>
    </xf>
    <xf numFmtId="0" fontId="42" fillId="11" borderId="0" xfId="0" applyFont="1" applyFill="1" applyAlignment="1" applyProtection="1">
      <alignment horizontal="center"/>
      <protection locked="0"/>
    </xf>
    <xf numFmtId="0" fontId="38" fillId="2" borderId="29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 vertical="center"/>
    </xf>
    <xf numFmtId="169" fontId="43" fillId="2" borderId="23" xfId="0" applyNumberFormat="1" applyFont="1" applyFill="1" applyBorder="1" applyAlignment="1">
      <alignment horizontal="center" vertical="center"/>
    </xf>
    <xf numFmtId="169" fontId="43" fillId="2" borderId="0" xfId="0" applyNumberFormat="1" applyFont="1" applyFill="1" applyAlignment="1">
      <alignment horizontal="center" vertical="center"/>
    </xf>
    <xf numFmtId="0" fontId="42" fillId="0" borderId="0" xfId="0" applyFont="1" applyAlignment="1" applyProtection="1">
      <alignment horizontal="center"/>
      <protection locked="0"/>
    </xf>
    <xf numFmtId="0" fontId="107" fillId="0" borderId="0" xfId="0" applyFont="1" applyAlignment="1">
      <alignment horizontal="center"/>
    </xf>
    <xf numFmtId="0" fontId="37" fillId="10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3" fillId="0" borderId="9" xfId="4" applyBorder="1" applyAlignment="1">
      <alignment horizontal="center"/>
    </xf>
    <xf numFmtId="0" fontId="3" fillId="0" borderId="10" xfId="4" applyBorder="1" applyAlignment="1">
      <alignment horizontal="center"/>
    </xf>
    <xf numFmtId="0" fontId="3" fillId="0" borderId="9" xfId="4" applyBorder="1" applyAlignment="1">
      <alignment horizontal="left"/>
    </xf>
    <xf numFmtId="0" fontId="3" fillId="0" borderId="10" xfId="4" applyBorder="1" applyAlignment="1">
      <alignment horizontal="left"/>
    </xf>
    <xf numFmtId="0" fontId="3" fillId="0" borderId="0" xfId="4" applyAlignment="1">
      <alignment horizontal="left"/>
    </xf>
    <xf numFmtId="0" fontId="3" fillId="0" borderId="0" xfId="4" applyAlignment="1">
      <alignment horizontal="center"/>
    </xf>
    <xf numFmtId="0" fontId="6" fillId="0" borderId="0" xfId="4" applyFont="1" applyAlignment="1">
      <alignment horizontal="left" wrapText="1"/>
    </xf>
    <xf numFmtId="0" fontId="3" fillId="2" borderId="9" xfId="4" applyFill="1" applyBorder="1" applyAlignment="1">
      <alignment horizontal="left"/>
    </xf>
    <xf numFmtId="0" fontId="3" fillId="2" borderId="10" xfId="4" applyFill="1" applyBorder="1" applyAlignment="1">
      <alignment horizontal="left"/>
    </xf>
    <xf numFmtId="0" fontId="3" fillId="2" borderId="10" xfId="4" applyFill="1" applyBorder="1" applyAlignment="1" applyProtection="1">
      <alignment horizontal="center"/>
      <protection locked="0"/>
    </xf>
    <xf numFmtId="0" fontId="3" fillId="2" borderId="11" xfId="4" applyFill="1" applyBorder="1" applyAlignment="1" applyProtection="1">
      <alignment horizontal="center"/>
      <protection locked="0"/>
    </xf>
    <xf numFmtId="0" fontId="3" fillId="0" borderId="10" xfId="4" applyBorder="1" applyAlignment="1" applyProtection="1">
      <alignment horizontal="center"/>
      <protection locked="0"/>
    </xf>
    <xf numFmtId="0" fontId="3" fillId="0" borderId="11" xfId="4" applyBorder="1" applyAlignment="1" applyProtection="1">
      <alignment horizontal="center"/>
      <protection locked="0"/>
    </xf>
    <xf numFmtId="0" fontId="3" fillId="0" borderId="5" xfId="4" applyBorder="1" applyAlignment="1">
      <alignment horizontal="center"/>
    </xf>
    <xf numFmtId="0" fontId="6" fillId="2" borderId="9" xfId="4" applyFont="1" applyFill="1" applyBorder="1" applyAlignment="1" applyProtection="1">
      <alignment horizontal="center"/>
      <protection locked="0"/>
    </xf>
    <xf numFmtId="0" fontId="6" fillId="2" borderId="10" xfId="4" applyFont="1" applyFill="1" applyBorder="1" applyAlignment="1" applyProtection="1">
      <alignment horizontal="center"/>
      <protection locked="0"/>
    </xf>
    <xf numFmtId="0" fontId="6" fillId="2" borderId="11" xfId="4" applyFont="1" applyFill="1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0" fontId="3" fillId="0" borderId="2" xfId="4" applyBorder="1" applyAlignment="1" applyProtection="1">
      <alignment horizontal="center"/>
      <protection locked="0"/>
    </xf>
    <xf numFmtId="0" fontId="3" fillId="0" borderId="6" xfId="4" applyBorder="1" applyAlignment="1" applyProtection="1">
      <alignment horizontal="center"/>
      <protection locked="0"/>
    </xf>
    <xf numFmtId="0" fontId="3" fillId="0" borderId="9" xfId="4" applyBorder="1" applyAlignment="1" applyProtection="1">
      <alignment horizontal="center"/>
      <protection locked="0"/>
    </xf>
    <xf numFmtId="0" fontId="23" fillId="0" borderId="0" xfId="4" applyFont="1" applyAlignment="1">
      <alignment horizontal="left"/>
    </xf>
    <xf numFmtId="0" fontId="11" fillId="0" borderId="4" xfId="4" applyFont="1" applyBorder="1" applyAlignment="1">
      <alignment horizontal="center" vertical="center" shrinkToFit="1"/>
    </xf>
    <xf numFmtId="0" fontId="11" fillId="0" borderId="5" xfId="4" applyFont="1" applyBorder="1" applyAlignment="1">
      <alignment horizontal="center" vertical="center" shrinkToFit="1"/>
    </xf>
    <xf numFmtId="0" fontId="11" fillId="0" borderId="8" xfId="4" applyFont="1" applyBorder="1" applyAlignment="1">
      <alignment horizontal="center" vertical="center" shrinkToFit="1"/>
    </xf>
    <xf numFmtId="0" fontId="21" fillId="0" borderId="3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7" xfId="4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shrinkToFit="1"/>
    </xf>
    <xf numFmtId="0" fontId="31" fillId="0" borderId="2" xfId="4" applyFont="1" applyBorder="1" applyAlignment="1">
      <alignment horizontal="center" vertical="center" shrinkToFit="1"/>
    </xf>
    <xf numFmtId="0" fontId="31" fillId="0" borderId="6" xfId="4" applyFont="1" applyBorder="1" applyAlignment="1">
      <alignment horizontal="center" vertical="center" shrinkToFit="1"/>
    </xf>
    <xf numFmtId="0" fontId="32" fillId="0" borderId="4" xfId="4" applyFont="1" applyBorder="1" applyAlignment="1">
      <alignment horizontal="center" shrinkToFit="1"/>
    </xf>
    <xf numFmtId="0" fontId="32" fillId="0" borderId="5" xfId="4" applyFont="1" applyBorder="1" applyAlignment="1">
      <alignment horizontal="center" shrinkToFit="1"/>
    </xf>
    <xf numFmtId="0" fontId="32" fillId="0" borderId="8" xfId="4" applyFont="1" applyBorder="1" applyAlignment="1">
      <alignment horizontal="center" shrinkToFit="1"/>
    </xf>
    <xf numFmtId="49" fontId="23" fillId="0" borderId="9" xfId="4" applyNumberFormat="1" applyFont="1" applyBorder="1" applyAlignment="1">
      <alignment horizontal="center"/>
    </xf>
    <xf numFmtId="49" fontId="23" fillId="0" borderId="10" xfId="4" applyNumberFormat="1" applyFont="1" applyBorder="1" applyAlignment="1">
      <alignment horizontal="center"/>
    </xf>
    <xf numFmtId="0" fontId="23" fillId="0" borderId="2" xfId="4" applyFont="1" applyBorder="1" applyAlignment="1">
      <alignment horizontal="center"/>
    </xf>
    <xf numFmtId="0" fontId="23" fillId="0" borderId="6" xfId="4" applyFont="1" applyBorder="1" applyAlignment="1">
      <alignment horizontal="center"/>
    </xf>
    <xf numFmtId="0" fontId="23" fillId="0" borderId="4" xfId="4" applyFont="1" applyBorder="1" applyAlignment="1">
      <alignment horizontal="center"/>
    </xf>
    <xf numFmtId="0" fontId="23" fillId="0" borderId="5" xfId="4" applyFont="1" applyBorder="1" applyAlignment="1">
      <alignment horizontal="center"/>
    </xf>
    <xf numFmtId="0" fontId="23" fillId="0" borderId="8" xfId="4" applyFont="1" applyBorder="1" applyAlignment="1">
      <alignment horizontal="center"/>
    </xf>
    <xf numFmtId="0" fontId="12" fillId="0" borderId="13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7" fillId="4" borderId="28" xfId="4" applyFont="1" applyFill="1" applyBorder="1" applyAlignment="1">
      <alignment horizontal="center" vertical="center"/>
    </xf>
    <xf numFmtId="0" fontId="20" fillId="0" borderId="3" xfId="4" applyFont="1" applyBorder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20" fillId="0" borderId="7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 shrinkToFit="1"/>
    </xf>
    <xf numFmtId="0" fontId="17" fillId="0" borderId="10" xfId="4" applyFont="1" applyBorder="1" applyAlignment="1">
      <alignment horizontal="center" vertical="center" shrinkToFit="1"/>
    </xf>
    <xf numFmtId="0" fontId="17" fillId="0" borderId="11" xfId="4" applyFont="1" applyBorder="1" applyAlignment="1">
      <alignment horizontal="center" vertical="center" shrinkToFit="1"/>
    </xf>
    <xf numFmtId="0" fontId="17" fillId="0" borderId="28" xfId="4" applyFont="1" applyBorder="1" applyAlignment="1">
      <alignment horizontal="center" vertical="center" shrinkToFit="1"/>
    </xf>
    <xf numFmtId="0" fontId="17" fillId="0" borderId="9" xfId="4" applyFont="1" applyBorder="1" applyAlignment="1">
      <alignment horizontal="center"/>
    </xf>
    <xf numFmtId="0" fontId="17" fillId="0" borderId="10" xfId="4" applyFont="1" applyBorder="1" applyAlignment="1">
      <alignment horizontal="center"/>
    </xf>
    <xf numFmtId="0" fontId="30" fillId="0" borderId="3" xfId="4" applyFont="1" applyBorder="1" applyAlignment="1">
      <alignment horizontal="center" vertical="center" shrinkToFit="1"/>
    </xf>
    <xf numFmtId="0" fontId="30" fillId="0" borderId="0" xfId="4" applyFont="1" applyAlignment="1">
      <alignment horizontal="center" vertical="center" shrinkToFit="1"/>
    </xf>
    <xf numFmtId="0" fontId="30" fillId="0" borderId="7" xfId="4" applyFont="1" applyBorder="1" applyAlignment="1">
      <alignment horizontal="center" vertical="center" shrinkToFit="1"/>
    </xf>
    <xf numFmtId="0" fontId="7" fillId="8" borderId="28" xfId="4" applyFont="1" applyFill="1" applyBorder="1" applyAlignment="1">
      <alignment horizontal="center" vertical="center"/>
    </xf>
    <xf numFmtId="0" fontId="15" fillId="6" borderId="28" xfId="4" applyFont="1" applyFill="1" applyBorder="1" applyAlignment="1">
      <alignment horizontal="left" vertical="center" shrinkToFit="1"/>
    </xf>
    <xf numFmtId="0" fontId="11" fillId="6" borderId="28" xfId="4" applyFont="1" applyFill="1" applyBorder="1" applyAlignment="1">
      <alignment horizontal="center" vertical="center" shrinkToFit="1"/>
    </xf>
    <xf numFmtId="165" fontId="22" fillId="6" borderId="28" xfId="4" applyNumberFormat="1" applyFont="1" applyFill="1" applyBorder="1" applyAlignment="1">
      <alignment horizontal="center" vertical="center" shrinkToFit="1"/>
    </xf>
    <xf numFmtId="0" fontId="22" fillId="0" borderId="28" xfId="4" applyFont="1" applyBorder="1" applyAlignment="1">
      <alignment horizontal="center" vertical="center" shrinkToFit="1"/>
    </xf>
    <xf numFmtId="0" fontId="16" fillId="0" borderId="9" xfId="4" applyFont="1" applyBorder="1" applyAlignment="1">
      <alignment horizontal="center"/>
    </xf>
    <xf numFmtId="0" fontId="16" fillId="0" borderId="10" xfId="4" applyFont="1" applyBorder="1" applyAlignment="1">
      <alignment horizontal="center"/>
    </xf>
    <xf numFmtId="0" fontId="16" fillId="0" borderId="32" xfId="4" applyFont="1" applyBorder="1" applyAlignment="1">
      <alignment horizontal="center"/>
    </xf>
    <xf numFmtId="0" fontId="17" fillId="0" borderId="14" xfId="4" applyFont="1" applyBorder="1" applyAlignment="1">
      <alignment horizontal="center" vertical="center" shrinkToFit="1"/>
    </xf>
    <xf numFmtId="0" fontId="15" fillId="2" borderId="28" xfId="4" applyFont="1" applyFill="1" applyBorder="1" applyAlignment="1">
      <alignment horizontal="left" vertical="center" shrinkToFit="1"/>
    </xf>
    <xf numFmtId="0" fontId="11" fillId="2" borderId="28" xfId="4" applyFont="1" applyFill="1" applyBorder="1" applyAlignment="1">
      <alignment horizontal="center" vertical="center" shrinkToFit="1"/>
    </xf>
    <xf numFmtId="165" fontId="22" fillId="2" borderId="28" xfId="4" applyNumberFormat="1" applyFont="1" applyFill="1" applyBorder="1" applyAlignment="1">
      <alignment horizontal="center" vertical="center" shrinkToFit="1"/>
    </xf>
    <xf numFmtId="0" fontId="22" fillId="0" borderId="1" xfId="4" applyFont="1" applyBorder="1" applyAlignment="1">
      <alignment horizontal="center" vertical="center" shrinkToFit="1"/>
    </xf>
    <xf numFmtId="0" fontId="22" fillId="0" borderId="2" xfId="4" applyFont="1" applyBorder="1" applyAlignment="1">
      <alignment horizontal="center" vertical="center" shrinkToFit="1"/>
    </xf>
    <xf numFmtId="0" fontId="22" fillId="0" borderId="6" xfId="4" applyFont="1" applyBorder="1" applyAlignment="1">
      <alignment horizontal="center" vertical="center" shrinkToFit="1"/>
    </xf>
    <xf numFmtId="0" fontId="15" fillId="2" borderId="9" xfId="4" applyFont="1" applyFill="1" applyBorder="1" applyAlignment="1">
      <alignment horizontal="center" vertical="center" shrinkToFit="1"/>
    </xf>
    <xf numFmtId="0" fontId="15" fillId="2" borderId="10" xfId="4" applyFont="1" applyFill="1" applyBorder="1" applyAlignment="1">
      <alignment horizontal="center" vertical="center" shrinkToFit="1"/>
    </xf>
    <xf numFmtId="0" fontId="15" fillId="2" borderId="11" xfId="4" applyFont="1" applyFill="1" applyBorder="1" applyAlignment="1">
      <alignment horizontal="center" vertical="center" shrinkToFit="1"/>
    </xf>
    <xf numFmtId="0" fontId="12" fillId="0" borderId="34" xfId="4" applyFont="1" applyBorder="1" applyAlignment="1">
      <alignment horizontal="center" vertical="center" shrinkToFit="1"/>
    </xf>
    <xf numFmtId="165" fontId="28" fillId="0" borderId="28" xfId="4" applyNumberFormat="1" applyFont="1" applyBorder="1" applyAlignment="1">
      <alignment horizontal="center" vertical="center" shrinkToFit="1"/>
    </xf>
    <xf numFmtId="0" fontId="10" fillId="0" borderId="33" xfId="4" applyFont="1" applyBorder="1" applyAlignment="1">
      <alignment horizontal="center" vertical="center" shrinkToFit="1"/>
    </xf>
    <xf numFmtId="0" fontId="13" fillId="0" borderId="9" xfId="4" applyFont="1" applyBorder="1" applyAlignment="1">
      <alignment horizontal="center"/>
    </xf>
    <xf numFmtId="0" fontId="13" fillId="0" borderId="10" xfId="4" applyFont="1" applyBorder="1" applyAlignment="1">
      <alignment horizontal="center"/>
    </xf>
    <xf numFmtId="0" fontId="13" fillId="0" borderId="11" xfId="4" applyFont="1" applyBorder="1" applyAlignment="1">
      <alignment horizontal="center"/>
    </xf>
    <xf numFmtId="1" fontId="11" fillId="0" borderId="10" xfId="4" applyNumberFormat="1" applyFont="1" applyBorder="1" applyAlignment="1">
      <alignment horizontal="right"/>
    </xf>
    <xf numFmtId="0" fontId="14" fillId="0" borderId="9" xfId="4" applyFont="1" applyBorder="1" applyAlignment="1">
      <alignment horizontal="center"/>
    </xf>
    <xf numFmtId="0" fontId="14" fillId="0" borderId="10" xfId="4" applyFont="1" applyBorder="1" applyAlignment="1">
      <alignment horizontal="center"/>
    </xf>
    <xf numFmtId="0" fontId="14" fillId="0" borderId="11" xfId="4" applyFont="1" applyBorder="1" applyAlignment="1">
      <alignment horizontal="center"/>
    </xf>
    <xf numFmtId="0" fontId="15" fillId="2" borderId="10" xfId="4" applyFont="1" applyFill="1" applyBorder="1" applyAlignment="1">
      <alignment horizontal="right"/>
    </xf>
    <xf numFmtId="0" fontId="15" fillId="0" borderId="28" xfId="4" applyFont="1" applyBorder="1" applyAlignment="1">
      <alignment horizontal="center" vertical="center" shrinkToFit="1"/>
    </xf>
    <xf numFmtId="0" fontId="10" fillId="0" borderId="28" xfId="4" applyFont="1" applyBorder="1" applyAlignment="1">
      <alignment horizontal="center" vertical="center" shrinkToFit="1"/>
    </xf>
    <xf numFmtId="0" fontId="22" fillId="0" borderId="28" xfId="4" applyFont="1" applyBorder="1" applyAlignment="1">
      <alignment horizontal="center"/>
    </xf>
    <xf numFmtId="0" fontId="15" fillId="2" borderId="4" xfId="4" applyFont="1" applyFill="1" applyBorder="1" applyAlignment="1">
      <alignment horizontal="left" vertical="center" shrinkToFit="1"/>
    </xf>
    <xf numFmtId="0" fontId="3" fillId="2" borderId="5" xfId="4" applyFill="1" applyBorder="1"/>
    <xf numFmtId="0" fontId="3" fillId="2" borderId="8" xfId="4" applyFill="1" applyBorder="1"/>
    <xf numFmtId="0" fontId="11" fillId="2" borderId="14" xfId="4" applyFont="1" applyFill="1" applyBorder="1" applyAlignment="1">
      <alignment horizontal="center" vertical="center" shrinkToFit="1"/>
    </xf>
    <xf numFmtId="165" fontId="22" fillId="2" borderId="14" xfId="4" applyNumberFormat="1" applyFont="1" applyFill="1" applyBorder="1" applyAlignment="1">
      <alignment horizontal="center" vertical="center" shrinkToFit="1"/>
    </xf>
    <xf numFmtId="0" fontId="22" fillId="8" borderId="28" xfId="4" applyFont="1" applyFill="1" applyBorder="1" applyAlignment="1">
      <alignment horizontal="center"/>
    </xf>
    <xf numFmtId="0" fontId="8" fillId="0" borderId="29" xfId="4" applyFont="1" applyBorder="1" applyAlignment="1">
      <alignment horizontal="center"/>
    </xf>
    <xf numFmtId="0" fontId="8" fillId="0" borderId="30" xfId="4" applyFont="1" applyBorder="1" applyAlignment="1">
      <alignment horizontal="center"/>
    </xf>
    <xf numFmtId="0" fontId="8" fillId="0" borderId="31" xfId="4" applyFont="1" applyBorder="1" applyAlignment="1">
      <alignment horizontal="center"/>
    </xf>
    <xf numFmtId="0" fontId="3" fillId="0" borderId="28" xfId="4" applyBorder="1" applyAlignment="1">
      <alignment horizontal="center" vertical="center" wrapText="1"/>
    </xf>
    <xf numFmtId="167" fontId="3" fillId="0" borderId="12" xfId="4" applyNumberFormat="1" applyBorder="1" applyAlignment="1">
      <alignment horizontal="center" vertical="center" wrapText="1"/>
    </xf>
    <xf numFmtId="4" fontId="10" fillId="0" borderId="29" xfId="4" applyNumberFormat="1" applyFont="1" applyBorder="1" applyAlignment="1">
      <alignment horizontal="center" vertical="center" shrinkToFit="1"/>
    </xf>
    <xf numFmtId="4" fontId="10" fillId="0" borderId="30" xfId="4" applyNumberFormat="1" applyFont="1" applyBorder="1" applyAlignment="1">
      <alignment horizontal="center" vertical="center" shrinkToFit="1"/>
    </xf>
    <xf numFmtId="4" fontId="10" fillId="0" borderId="31" xfId="4" applyNumberFormat="1" applyFont="1" applyBorder="1" applyAlignment="1">
      <alignment horizontal="center" vertical="center" shrinkToFit="1"/>
    </xf>
    <xf numFmtId="2" fontId="10" fillId="0" borderId="29" xfId="4" applyNumberFormat="1" applyFont="1" applyBorder="1" applyAlignment="1">
      <alignment horizontal="center" vertical="center" shrinkToFit="1"/>
    </xf>
    <xf numFmtId="2" fontId="10" fillId="0" borderId="30" xfId="4" applyNumberFormat="1" applyFont="1" applyBorder="1" applyAlignment="1">
      <alignment horizontal="center" vertical="center" shrinkToFit="1"/>
    </xf>
    <xf numFmtId="2" fontId="10" fillId="0" borderId="31" xfId="4" applyNumberFormat="1" applyFont="1" applyBorder="1" applyAlignment="1">
      <alignment horizontal="center" vertical="center" shrinkToFit="1"/>
    </xf>
    <xf numFmtId="0" fontId="13" fillId="0" borderId="4" xfId="4" applyFont="1" applyBorder="1" applyAlignment="1">
      <alignment horizontal="center"/>
    </xf>
    <xf numFmtId="0" fontId="13" fillId="0" borderId="5" xfId="4" applyFont="1" applyBorder="1" applyAlignment="1">
      <alignment horizontal="center"/>
    </xf>
    <xf numFmtId="0" fontId="13" fillId="0" borderId="8" xfId="4" applyFont="1" applyBorder="1" applyAlignment="1">
      <alignment horizontal="center"/>
    </xf>
    <xf numFmtId="1" fontId="11" fillId="0" borderId="5" xfId="4" applyNumberFormat="1" applyFont="1" applyBorder="1" applyAlignment="1">
      <alignment horizontal="right"/>
    </xf>
    <xf numFmtId="49" fontId="9" fillId="0" borderId="28" xfId="4" applyNumberFormat="1" applyFont="1" applyBorder="1" applyAlignment="1">
      <alignment horizontal="center" vertical="center" shrinkToFit="1"/>
    </xf>
    <xf numFmtId="49" fontId="9" fillId="0" borderId="12" xfId="4" applyNumberFormat="1" applyFont="1" applyBorder="1" applyAlignment="1">
      <alignment horizontal="center" vertical="center" shrinkToFit="1"/>
    </xf>
    <xf numFmtId="2" fontId="10" fillId="0" borderId="28" xfId="4" applyNumberFormat="1" applyFont="1" applyBorder="1" applyAlignment="1">
      <alignment horizontal="center" vertical="center" shrinkToFit="1"/>
    </xf>
    <xf numFmtId="2" fontId="10" fillId="0" borderId="12" xfId="4" applyNumberFormat="1" applyFont="1" applyBorder="1" applyAlignment="1">
      <alignment horizontal="center" vertical="center" shrinkToFit="1"/>
    </xf>
    <xf numFmtId="0" fontId="0" fillId="24" borderId="0" xfId="0" applyFill="1" applyAlignment="1">
      <alignment horizontal="center" vertical="center"/>
    </xf>
    <xf numFmtId="0" fontId="121" fillId="0" borderId="0" xfId="0" applyFont="1" applyAlignment="1">
      <alignment horizontal="center" vertical="center"/>
    </xf>
    <xf numFmtId="1" fontId="121" fillId="0" borderId="0" xfId="0" applyNumberFormat="1" applyFont="1" applyAlignment="1">
      <alignment horizontal="center" vertical="center"/>
    </xf>
    <xf numFmtId="0" fontId="124" fillId="24" borderId="0" xfId="0" applyFont="1" applyFill="1" applyAlignment="1">
      <alignment horizontal="center" vertical="center"/>
    </xf>
    <xf numFmtId="0" fontId="125" fillId="24" borderId="0" xfId="0" applyFont="1" applyFill="1" applyAlignment="1">
      <alignment horizontal="center" vertical="center"/>
    </xf>
    <xf numFmtId="0" fontId="103" fillId="0" borderId="0" xfId="4" applyFont="1" applyAlignment="1">
      <alignment horizontal="center" vertical="center" wrapText="1"/>
    </xf>
    <xf numFmtId="0" fontId="131" fillId="24" borderId="0" xfId="4" applyFont="1" applyFill="1" applyAlignment="1">
      <alignment horizontal="center" vertical="center"/>
    </xf>
    <xf numFmtId="0" fontId="127" fillId="0" borderId="0" xfId="0" applyFont="1" applyAlignment="1">
      <alignment horizontal="center" vertical="center" textRotation="255"/>
    </xf>
    <xf numFmtId="0" fontId="128" fillId="24" borderId="0" xfId="0" applyFont="1" applyFill="1" applyAlignment="1">
      <alignment horizontal="center" vertical="center"/>
    </xf>
    <xf numFmtId="0" fontId="3" fillId="24" borderId="0" xfId="4" applyFill="1" applyAlignment="1">
      <alignment horizontal="center" vertical="center"/>
    </xf>
    <xf numFmtId="0" fontId="129" fillId="0" borderId="29" xfId="4" applyFont="1" applyBorder="1" applyAlignment="1">
      <alignment horizontal="center" vertical="center"/>
    </xf>
    <xf numFmtId="0" fontId="129" fillId="0" borderId="22" xfId="4" applyFont="1" applyBorder="1" applyAlignment="1">
      <alignment horizontal="center" vertical="center"/>
    </xf>
    <xf numFmtId="49" fontId="130" fillId="0" borderId="20" xfId="4" applyNumberFormat="1" applyFont="1" applyBorder="1" applyAlignment="1">
      <alignment horizontal="center" vertical="center" shrinkToFit="1"/>
    </xf>
    <xf numFmtId="49" fontId="130" fillId="0" borderId="22" xfId="4" applyNumberFormat="1" applyFont="1" applyBorder="1" applyAlignment="1">
      <alignment horizontal="center" vertical="center" shrinkToFit="1"/>
    </xf>
    <xf numFmtId="2" fontId="130" fillId="0" borderId="23" xfId="4" applyNumberFormat="1" applyFont="1" applyBorder="1" applyAlignment="1">
      <alignment horizontal="center" vertical="center" wrapText="1" shrinkToFit="1"/>
    </xf>
    <xf numFmtId="2" fontId="130" fillId="0" borderId="0" xfId="4" applyNumberFormat="1" applyFont="1" applyAlignment="1">
      <alignment horizontal="center" vertical="center" wrapText="1" shrinkToFit="1"/>
    </xf>
    <xf numFmtId="3" fontId="137" fillId="0" borderId="0" xfId="4" applyNumberFormat="1" applyFont="1" applyAlignment="1">
      <alignment horizontal="center" vertical="center" shrinkToFit="1"/>
    </xf>
    <xf numFmtId="165" fontId="145" fillId="0" borderId="28" xfId="4" applyNumberFormat="1" applyFont="1" applyBorder="1" applyAlignment="1">
      <alignment horizontal="center" vertical="center" shrinkToFit="1"/>
    </xf>
    <xf numFmtId="0" fontId="146" fillId="24" borderId="0" xfId="0" applyFont="1" applyFill="1" applyAlignment="1">
      <alignment horizontal="center" vertical="center"/>
    </xf>
    <xf numFmtId="0" fontId="133" fillId="0" borderId="0" xfId="4" applyFont="1" applyAlignment="1">
      <alignment horizontal="center" vertical="center" wrapText="1"/>
    </xf>
    <xf numFmtId="2" fontId="141" fillId="0" borderId="0" xfId="4" applyNumberFormat="1" applyFont="1" applyAlignment="1">
      <alignment horizontal="center" vertical="center" shrinkToFit="1"/>
    </xf>
    <xf numFmtId="0" fontId="133" fillId="0" borderId="0" xfId="4" applyFont="1" applyAlignment="1">
      <alignment horizontal="center" vertical="center"/>
    </xf>
    <xf numFmtId="0" fontId="133" fillId="0" borderId="24" xfId="4" applyFont="1" applyBorder="1" applyAlignment="1">
      <alignment horizontal="center" vertical="center"/>
    </xf>
    <xf numFmtId="4" fontId="135" fillId="0" borderId="23" xfId="4" applyNumberFormat="1" applyFont="1" applyBorder="1" applyAlignment="1">
      <alignment horizontal="center" vertical="center"/>
    </xf>
    <xf numFmtId="4" fontId="135" fillId="0" borderId="0" xfId="4" applyNumberFormat="1" applyFont="1" applyAlignment="1">
      <alignment horizontal="center" vertical="center"/>
    </xf>
    <xf numFmtId="0" fontId="105" fillId="0" borderId="2" xfId="4" applyFont="1" applyBorder="1" applyAlignment="1">
      <alignment horizontal="center" vertical="center"/>
    </xf>
    <xf numFmtId="0" fontId="105" fillId="0" borderId="6" xfId="4" applyFont="1" applyBorder="1" applyAlignment="1">
      <alignment horizontal="center" vertical="center"/>
    </xf>
    <xf numFmtId="0" fontId="142" fillId="0" borderId="28" xfId="4" applyFont="1" applyBorder="1" applyAlignment="1">
      <alignment horizontal="center" vertical="center"/>
    </xf>
    <xf numFmtId="0" fontId="137" fillId="0" borderId="28" xfId="4" applyFont="1" applyBorder="1" applyAlignment="1">
      <alignment horizontal="center" vertical="center" shrinkToFit="1"/>
    </xf>
    <xf numFmtId="0" fontId="142" fillId="0" borderId="28" xfId="4" applyFont="1" applyBorder="1" applyAlignment="1">
      <alignment horizontal="center" vertical="center" shrinkToFit="1"/>
    </xf>
    <xf numFmtId="0" fontId="147" fillId="0" borderId="28" xfId="4" applyFont="1" applyBorder="1" applyAlignment="1">
      <alignment horizontal="center" vertical="center" shrinkToFit="1"/>
    </xf>
    <xf numFmtId="49" fontId="105" fillId="0" borderId="9" xfId="4" applyNumberFormat="1" applyFont="1" applyBorder="1" applyAlignment="1">
      <alignment horizontal="center" vertical="center"/>
    </xf>
    <xf numFmtId="49" fontId="105" fillId="0" borderId="10" xfId="4" applyNumberFormat="1" applyFont="1" applyBorder="1" applyAlignment="1">
      <alignment horizontal="center" vertical="center"/>
    </xf>
    <xf numFmtId="0" fontId="105" fillId="0" borderId="4" xfId="4" applyFont="1" applyBorder="1" applyAlignment="1">
      <alignment horizontal="center" vertical="center"/>
    </xf>
    <xf numFmtId="0" fontId="105" fillId="0" borderId="5" xfId="4" applyFont="1" applyBorder="1" applyAlignment="1">
      <alignment horizontal="center" vertical="center"/>
    </xf>
    <xf numFmtId="0" fontId="105" fillId="0" borderId="8" xfId="4" applyFont="1" applyBorder="1" applyAlignment="1">
      <alignment horizontal="center" vertical="center"/>
    </xf>
    <xf numFmtId="0" fontId="140" fillId="25" borderId="9" xfId="4" applyFont="1" applyFill="1" applyBorder="1" applyAlignment="1" applyProtection="1">
      <alignment horizontal="center" vertical="center"/>
      <protection locked="0"/>
    </xf>
    <xf numFmtId="0" fontId="140" fillId="25" borderId="10" xfId="4" applyFont="1" applyFill="1" applyBorder="1" applyAlignment="1" applyProtection="1">
      <alignment horizontal="center" vertical="center"/>
      <protection locked="0"/>
    </xf>
    <xf numFmtId="0" fontId="140" fillId="25" borderId="11" xfId="4" applyFont="1" applyFill="1" applyBorder="1" applyAlignment="1" applyProtection="1">
      <alignment horizontal="center" vertical="center"/>
      <protection locked="0"/>
    </xf>
    <xf numFmtId="0" fontId="3" fillId="25" borderId="5" xfId="4" applyFill="1" applyBorder="1" applyAlignment="1">
      <alignment horizontal="center" vertical="center"/>
    </xf>
    <xf numFmtId="0" fontId="3" fillId="25" borderId="1" xfId="4" applyFill="1" applyBorder="1" applyAlignment="1" applyProtection="1">
      <alignment horizontal="center" vertical="center"/>
      <protection locked="0"/>
    </xf>
    <xf numFmtId="0" fontId="3" fillId="25" borderId="2" xfId="4" applyFill="1" applyBorder="1" applyAlignment="1" applyProtection="1">
      <alignment horizontal="center" vertical="center"/>
      <protection locked="0"/>
    </xf>
    <xf numFmtId="0" fontId="3" fillId="25" borderId="6" xfId="4" applyFill="1" applyBorder="1" applyAlignment="1" applyProtection="1">
      <alignment horizontal="center" vertical="center"/>
      <protection locked="0"/>
    </xf>
    <xf numFmtId="0" fontId="133" fillId="0" borderId="4" xfId="4" applyFont="1" applyBorder="1" applyAlignment="1">
      <alignment horizontal="center" vertical="center" shrinkToFit="1"/>
    </xf>
    <xf numFmtId="0" fontId="133" fillId="0" borderId="5" xfId="4" applyFont="1" applyBorder="1" applyAlignment="1">
      <alignment horizontal="center" vertical="center" shrinkToFit="1"/>
    </xf>
    <xf numFmtId="0" fontId="133" fillId="0" borderId="8" xfId="4" applyFont="1" applyBorder="1" applyAlignment="1">
      <alignment horizontal="center" vertical="center" shrinkToFit="1"/>
    </xf>
    <xf numFmtId="0" fontId="3" fillId="25" borderId="9" xfId="4" applyFill="1" applyBorder="1" applyAlignment="1">
      <alignment horizontal="center" vertical="center"/>
    </xf>
    <xf numFmtId="0" fontId="3" fillId="25" borderId="10" xfId="4" applyFill="1" applyBorder="1" applyAlignment="1">
      <alignment horizontal="center" vertical="center"/>
    </xf>
    <xf numFmtId="0" fontId="3" fillId="25" borderId="9" xfId="4" applyFill="1" applyBorder="1" applyAlignment="1" applyProtection="1">
      <alignment horizontal="center" vertical="center"/>
      <protection locked="0"/>
    </xf>
    <xf numFmtId="0" fontId="3" fillId="25" borderId="10" xfId="4" applyFill="1" applyBorder="1" applyAlignment="1" applyProtection="1">
      <alignment horizontal="center" vertical="center"/>
      <protection locked="0"/>
    </xf>
    <xf numFmtId="0" fontId="3" fillId="25" borderId="11" xfId="4" applyFill="1" applyBorder="1" applyAlignment="1" applyProtection="1">
      <alignment horizontal="center" vertical="center"/>
      <protection locked="0"/>
    </xf>
    <xf numFmtId="0" fontId="32" fillId="0" borderId="4" xfId="4" applyFont="1" applyBorder="1" applyAlignment="1">
      <alignment horizontal="center" vertical="center" shrinkToFit="1"/>
    </xf>
    <xf numFmtId="0" fontId="32" fillId="0" borderId="5" xfId="4" applyFont="1" applyBorder="1" applyAlignment="1">
      <alignment horizontal="center" vertical="center" shrinkToFit="1"/>
    </xf>
    <xf numFmtId="0" fontId="32" fillId="0" borderId="8" xfId="4" applyFont="1" applyBorder="1" applyAlignment="1">
      <alignment horizontal="center" vertical="center" shrinkToFit="1"/>
    </xf>
    <xf numFmtId="0" fontId="149" fillId="0" borderId="9" xfId="4" applyFont="1" applyBorder="1" applyAlignment="1">
      <alignment horizontal="center" vertical="center"/>
    </xf>
    <xf numFmtId="0" fontId="149" fillId="0" borderId="10" xfId="4" applyFont="1" applyBorder="1" applyAlignment="1">
      <alignment horizontal="center" vertical="center"/>
    </xf>
    <xf numFmtId="0" fontId="150" fillId="0" borderId="3" xfId="4" applyFont="1" applyBorder="1" applyAlignment="1">
      <alignment horizontal="center" vertical="center" wrapText="1"/>
    </xf>
    <xf numFmtId="0" fontId="150" fillId="0" borderId="0" xfId="4" applyFont="1" applyAlignment="1">
      <alignment horizontal="center" vertical="center" wrapText="1"/>
    </xf>
    <xf numFmtId="0" fontId="150" fillId="0" borderId="7" xfId="4" applyFont="1" applyBorder="1" applyAlignment="1">
      <alignment horizontal="center" vertical="center" wrapText="1"/>
    </xf>
    <xf numFmtId="0" fontId="151" fillId="0" borderId="3" xfId="4" applyFont="1" applyBorder="1" applyAlignment="1">
      <alignment horizontal="center" vertical="center" wrapText="1"/>
    </xf>
    <xf numFmtId="0" fontId="151" fillId="0" borderId="0" xfId="4" applyFont="1" applyAlignment="1">
      <alignment horizontal="center" vertical="center" wrapText="1"/>
    </xf>
    <xf numFmtId="0" fontId="151" fillId="0" borderId="7" xfId="4" applyFont="1" applyBorder="1" applyAlignment="1">
      <alignment horizontal="center" vertical="center" wrapText="1"/>
    </xf>
    <xf numFmtId="0" fontId="3" fillId="21" borderId="23" xfId="4" applyFill="1" applyBorder="1" applyAlignment="1" applyProtection="1">
      <alignment horizontal="center" vertical="center"/>
      <protection locked="0"/>
    </xf>
    <xf numFmtId="0" fontId="3" fillId="21" borderId="0" xfId="4" applyFill="1" applyAlignment="1" applyProtection="1">
      <alignment horizontal="center" vertical="center"/>
      <protection locked="0"/>
    </xf>
    <xf numFmtId="0" fontId="3" fillId="21" borderId="43" xfId="4" applyFill="1" applyBorder="1" applyAlignment="1">
      <alignment horizontal="center" vertical="center"/>
    </xf>
    <xf numFmtId="0" fontId="3" fillId="21" borderId="21" xfId="4" applyFill="1" applyBorder="1" applyAlignment="1">
      <alignment horizontal="center" vertical="center"/>
    </xf>
    <xf numFmtId="0" fontId="3" fillId="21" borderId="80" xfId="4" applyFill="1" applyBorder="1" applyAlignment="1">
      <alignment horizontal="center" vertical="center"/>
    </xf>
    <xf numFmtId="0" fontId="3" fillId="21" borderId="1" xfId="4" applyFill="1" applyBorder="1" applyAlignment="1">
      <alignment horizontal="center" vertical="center"/>
    </xf>
    <xf numFmtId="0" fontId="3" fillId="21" borderId="2" xfId="4" applyFill="1" applyBorder="1" applyAlignment="1">
      <alignment horizontal="center" vertical="center"/>
    </xf>
    <xf numFmtId="0" fontId="3" fillId="21" borderId="6" xfId="4" applyFill="1" applyBorder="1" applyAlignment="1">
      <alignment horizontal="center" vertical="center"/>
    </xf>
    <xf numFmtId="0" fontId="3" fillId="21" borderId="20" xfId="4" applyFill="1" applyBorder="1" applyAlignment="1" applyProtection="1">
      <alignment horizontal="center" vertical="center"/>
      <protection locked="0"/>
    </xf>
    <xf numFmtId="0" fontId="3" fillId="21" borderId="21" xfId="4" applyFill="1" applyBorder="1" applyAlignment="1" applyProtection="1">
      <alignment horizontal="center" vertical="center"/>
      <protection locked="0"/>
    </xf>
    <xf numFmtId="0" fontId="3" fillId="21" borderId="22" xfId="4" applyFill="1" applyBorder="1" applyAlignment="1" applyProtection="1">
      <alignment horizontal="center" vertical="center"/>
      <protection locked="0"/>
    </xf>
    <xf numFmtId="0" fontId="3" fillId="21" borderId="25" xfId="4" applyFill="1" applyBorder="1" applyAlignment="1" applyProtection="1">
      <alignment horizontal="center" vertical="center"/>
      <protection locked="0"/>
    </xf>
    <xf numFmtId="0" fontId="3" fillId="21" borderId="26" xfId="4" applyFill="1" applyBorder="1" applyAlignment="1" applyProtection="1">
      <alignment horizontal="center" vertical="center"/>
      <protection locked="0"/>
    </xf>
    <xf numFmtId="0" fontId="3" fillId="27" borderId="10" xfId="4" applyFill="1" applyBorder="1" applyAlignment="1">
      <alignment horizontal="center" vertical="center"/>
    </xf>
    <xf numFmtId="0" fontId="3" fillId="28" borderId="0" xfId="4" applyFill="1" applyAlignment="1">
      <alignment horizontal="center" vertical="center"/>
    </xf>
    <xf numFmtId="0" fontId="3" fillId="28" borderId="24" xfId="4" applyFill="1" applyBorder="1" applyAlignment="1">
      <alignment horizontal="center" vertical="center"/>
    </xf>
    <xf numFmtId="0" fontId="152" fillId="21" borderId="23" xfId="4" applyFont="1" applyFill="1" applyBorder="1" applyAlignment="1" applyProtection="1">
      <alignment horizontal="center" vertical="center"/>
      <protection locked="0"/>
    </xf>
    <xf numFmtId="0" fontId="152" fillId="21" borderId="0" xfId="4" applyFont="1" applyFill="1" applyAlignment="1" applyProtection="1">
      <alignment horizontal="center" vertical="center"/>
      <protection locked="0"/>
    </xf>
    <xf numFmtId="0" fontId="3" fillId="26" borderId="20" xfId="4" applyFill="1" applyBorder="1" applyAlignment="1">
      <alignment horizontal="center" vertical="center" wrapText="1"/>
    </xf>
    <xf numFmtId="0" fontId="3" fillId="26" borderId="21" xfId="4" applyFill="1" applyBorder="1" applyAlignment="1">
      <alignment horizontal="center" vertical="center" wrapText="1"/>
    </xf>
    <xf numFmtId="0" fontId="3" fillId="26" borderId="23" xfId="4" applyFill="1" applyBorder="1" applyAlignment="1">
      <alignment horizontal="center" vertical="center" wrapText="1"/>
    </xf>
    <xf numFmtId="0" fontId="3" fillId="26" borderId="0" xfId="4" applyFill="1" applyAlignment="1">
      <alignment horizontal="center" vertical="center" wrapText="1"/>
    </xf>
    <xf numFmtId="0" fontId="3" fillId="26" borderId="82" xfId="4" applyFill="1" applyBorder="1" applyAlignment="1">
      <alignment horizontal="center" vertical="center" wrapText="1"/>
    </xf>
    <xf numFmtId="0" fontId="3" fillId="26" borderId="5" xfId="4" applyFill="1" applyBorder="1" applyAlignment="1">
      <alignment horizontal="center" vertical="center" wrapText="1"/>
    </xf>
    <xf numFmtId="0" fontId="3" fillId="26" borderId="83" xfId="4" applyFill="1" applyBorder="1" applyAlignment="1">
      <alignment horizontal="center" vertical="center" wrapText="1"/>
    </xf>
    <xf numFmtId="0" fontId="3" fillId="26" borderId="2" xfId="4" applyFill="1" applyBorder="1" applyAlignment="1">
      <alignment horizontal="center" vertical="center" wrapText="1"/>
    </xf>
    <xf numFmtId="0" fontId="3" fillId="26" borderId="25" xfId="4" applyFill="1" applyBorder="1" applyAlignment="1">
      <alignment horizontal="center" vertical="center" wrapText="1"/>
    </xf>
    <xf numFmtId="0" fontId="3" fillId="26" borderId="26" xfId="4" applyFill="1" applyBorder="1" applyAlignment="1">
      <alignment horizontal="center" vertical="center" wrapText="1"/>
    </xf>
    <xf numFmtId="0" fontId="3" fillId="0" borderId="23" xfId="4" applyBorder="1" applyAlignment="1" applyProtection="1">
      <alignment horizontal="center"/>
      <protection locked="0"/>
    </xf>
    <xf numFmtId="0" fontId="3" fillId="0" borderId="0" xfId="4" applyAlignment="1" applyProtection="1">
      <alignment horizontal="center"/>
      <protection locked="0"/>
    </xf>
    <xf numFmtId="0" fontId="3" fillId="0" borderId="25" xfId="4" applyBorder="1" applyAlignment="1" applyProtection="1">
      <alignment horizontal="center"/>
      <protection locked="0"/>
    </xf>
    <xf numFmtId="0" fontId="3" fillId="0" borderId="26" xfId="4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0" xfId="4" applyFont="1" applyAlignment="1" applyProtection="1">
      <alignment horizontal="center"/>
      <protection locked="0"/>
    </xf>
    <xf numFmtId="0" fontId="3" fillId="0" borderId="1" xfId="4" applyBorder="1" applyAlignment="1">
      <alignment horizontal="center"/>
    </xf>
    <xf numFmtId="0" fontId="3" fillId="0" borderId="2" xfId="4" applyBorder="1" applyAlignment="1">
      <alignment horizontal="center"/>
    </xf>
    <xf numFmtId="0" fontId="3" fillId="0" borderId="6" xfId="4" applyBorder="1" applyAlignment="1">
      <alignment horizontal="center"/>
    </xf>
    <xf numFmtId="0" fontId="3" fillId="3" borderId="1" xfId="4" applyFill="1" applyBorder="1" applyAlignment="1">
      <alignment horizontal="center"/>
    </xf>
    <xf numFmtId="0" fontId="3" fillId="3" borderId="2" xfId="4" applyFill="1" applyBorder="1" applyAlignment="1">
      <alignment horizontal="center"/>
    </xf>
    <xf numFmtId="0" fontId="3" fillId="3" borderId="6" xfId="4" applyFill="1" applyBorder="1" applyAlignment="1">
      <alignment horizontal="center"/>
    </xf>
    <xf numFmtId="0" fontId="3" fillId="0" borderId="20" xfId="4" applyBorder="1" applyAlignment="1" applyProtection="1">
      <alignment horizontal="center"/>
      <protection locked="0"/>
    </xf>
    <xf numFmtId="0" fontId="3" fillId="0" borderId="21" xfId="4" applyBorder="1" applyAlignment="1" applyProtection="1">
      <alignment horizontal="center"/>
      <protection locked="0"/>
    </xf>
    <xf numFmtId="0" fontId="3" fillId="0" borderId="22" xfId="4" applyBorder="1" applyAlignment="1" applyProtection="1">
      <alignment horizontal="center"/>
      <protection locked="0"/>
    </xf>
    <xf numFmtId="0" fontId="3" fillId="2" borderId="1" xfId="4" applyFill="1" applyBorder="1" applyAlignment="1">
      <alignment horizontal="center" vertical="center" wrapText="1"/>
    </xf>
    <xf numFmtId="0" fontId="3" fillId="2" borderId="2" xfId="4" applyFill="1" applyBorder="1" applyAlignment="1">
      <alignment horizontal="center" vertical="center" wrapText="1"/>
    </xf>
    <xf numFmtId="0" fontId="3" fillId="2" borderId="3" xfId="4" applyFill="1" applyBorder="1" applyAlignment="1">
      <alignment horizontal="center" vertical="center" wrapText="1"/>
    </xf>
    <xf numFmtId="0" fontId="3" fillId="2" borderId="0" xfId="4" applyFill="1" applyAlignment="1">
      <alignment horizontal="center" vertical="center" wrapText="1"/>
    </xf>
    <xf numFmtId="0" fontId="3" fillId="2" borderId="4" xfId="4" applyFill="1" applyBorder="1" applyAlignment="1">
      <alignment horizontal="center" vertical="center" wrapText="1"/>
    </xf>
    <xf numFmtId="0" fontId="3" fillId="2" borderId="5" xfId="4" applyFill="1" applyBorder="1" applyAlignment="1">
      <alignment horizontal="center" vertical="center" wrapText="1"/>
    </xf>
    <xf numFmtId="0" fontId="3" fillId="3" borderId="1" xfId="4" applyFill="1" applyBorder="1" applyAlignment="1">
      <alignment horizontal="center" vertical="center" wrapText="1"/>
    </xf>
    <xf numFmtId="0" fontId="3" fillId="3" borderId="2" xfId="4" applyFill="1" applyBorder="1" applyAlignment="1">
      <alignment horizontal="center" vertical="center" wrapText="1"/>
    </xf>
    <xf numFmtId="0" fontId="3" fillId="3" borderId="3" xfId="4" applyFill="1" applyBorder="1" applyAlignment="1">
      <alignment horizontal="center" vertical="center" wrapText="1"/>
    </xf>
    <xf numFmtId="0" fontId="3" fillId="3" borderId="0" xfId="4" applyFill="1" applyAlignment="1">
      <alignment horizontal="center" vertical="center" wrapText="1"/>
    </xf>
    <xf numFmtId="0" fontId="3" fillId="3" borderId="4" xfId="4" applyFill="1" applyBorder="1" applyAlignment="1">
      <alignment horizontal="center" vertical="center" wrapText="1"/>
    </xf>
    <xf numFmtId="0" fontId="3" fillId="3" borderId="5" xfId="4" applyFill="1" applyBorder="1" applyAlignment="1">
      <alignment horizontal="center" vertical="center" wrapText="1"/>
    </xf>
    <xf numFmtId="0" fontId="3" fillId="4" borderId="1" xfId="4" applyFill="1" applyBorder="1" applyAlignment="1">
      <alignment horizontal="center" vertical="center" wrapText="1"/>
    </xf>
    <xf numFmtId="0" fontId="3" fillId="4" borderId="2" xfId="4" applyFill="1" applyBorder="1" applyAlignment="1">
      <alignment horizontal="center" vertical="center" wrapText="1"/>
    </xf>
    <xf numFmtId="0" fontId="3" fillId="4" borderId="3" xfId="4" applyFill="1" applyBorder="1" applyAlignment="1">
      <alignment horizontal="center" vertical="center" wrapText="1"/>
    </xf>
    <xf numFmtId="0" fontId="3" fillId="4" borderId="0" xfId="4" applyFill="1" applyAlignment="1">
      <alignment horizontal="center" vertical="center" wrapText="1"/>
    </xf>
    <xf numFmtId="0" fontId="3" fillId="4" borderId="4" xfId="4" applyFill="1" applyBorder="1" applyAlignment="1">
      <alignment horizontal="center" vertical="center" wrapText="1"/>
    </xf>
    <xf numFmtId="0" fontId="3" fillId="4" borderId="5" xfId="4" applyFill="1" applyBorder="1" applyAlignment="1">
      <alignment horizontal="center" vertical="center" wrapText="1"/>
    </xf>
    <xf numFmtId="0" fontId="3" fillId="0" borderId="0" xfId="4" applyAlignment="1">
      <alignment horizontal="center" vertical="center"/>
    </xf>
    <xf numFmtId="0" fontId="3" fillId="0" borderId="7" xfId="4" applyBorder="1" applyAlignment="1">
      <alignment horizontal="center" vertical="center"/>
    </xf>
  </cellXfs>
  <cellStyles count="5">
    <cellStyle name="Comma" xfId="1" builtinId="3"/>
    <cellStyle name="Hyperlink" xfId="3" builtinId="8"/>
    <cellStyle name="Normal" xfId="0" builtinId="0"/>
    <cellStyle name="Normal 2" xfId="4" xr:uid="{00000000-0005-0000-0000-000003000000}"/>
    <cellStyle name="Percent" xfId="2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1277996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1</xdr:col>
          <xdr:colOff>1771650</xdr:colOff>
          <xdr:row>104</xdr:row>
          <xdr:rowOff>142875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19050</xdr:rowOff>
        </xdr:from>
        <xdr:to>
          <xdr:col>1</xdr:col>
          <xdr:colOff>1771650</xdr:colOff>
          <xdr:row>106</xdr:row>
          <xdr:rowOff>47625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19050</xdr:rowOff>
        </xdr:from>
        <xdr:to>
          <xdr:col>1</xdr:col>
          <xdr:colOff>1771650</xdr:colOff>
          <xdr:row>107</xdr:row>
          <xdr:rowOff>47625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9525</xdr:rowOff>
        </xdr:from>
        <xdr:to>
          <xdr:col>1</xdr:col>
          <xdr:colOff>1781175</xdr:colOff>
          <xdr:row>110</xdr:row>
          <xdr:rowOff>142875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9525</xdr:rowOff>
        </xdr:from>
        <xdr:to>
          <xdr:col>1</xdr:col>
          <xdr:colOff>1781175</xdr:colOff>
          <xdr:row>111</xdr:row>
          <xdr:rowOff>142875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19050</xdr:rowOff>
        </xdr:from>
        <xdr:to>
          <xdr:col>1</xdr:col>
          <xdr:colOff>1781175</xdr:colOff>
          <xdr:row>115</xdr:row>
          <xdr:rowOff>95250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19050</xdr:rowOff>
        </xdr:from>
        <xdr:to>
          <xdr:col>1</xdr:col>
          <xdr:colOff>1781175</xdr:colOff>
          <xdr:row>116</xdr:row>
          <xdr:rowOff>95250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1781175</xdr:colOff>
          <xdr:row>116</xdr:row>
          <xdr:rowOff>142875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19050</xdr:rowOff>
        </xdr:from>
        <xdr:to>
          <xdr:col>1</xdr:col>
          <xdr:colOff>1781175</xdr:colOff>
          <xdr:row>114</xdr:row>
          <xdr:rowOff>95250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19050</xdr:rowOff>
        </xdr:from>
        <xdr:to>
          <xdr:col>1</xdr:col>
          <xdr:colOff>1771650</xdr:colOff>
          <xdr:row>129</xdr:row>
          <xdr:rowOff>95250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9525</xdr:rowOff>
        </xdr:from>
        <xdr:to>
          <xdr:col>1</xdr:col>
          <xdr:colOff>1771650</xdr:colOff>
          <xdr:row>129</xdr:row>
          <xdr:rowOff>142875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9525</xdr:rowOff>
        </xdr:from>
        <xdr:to>
          <xdr:col>1</xdr:col>
          <xdr:colOff>1771650</xdr:colOff>
          <xdr:row>130</xdr:row>
          <xdr:rowOff>142875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0</xdr:col>
          <xdr:colOff>581025</xdr:colOff>
          <xdr:row>104</xdr:row>
          <xdr:rowOff>142875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666750</xdr:colOff>
          <xdr:row>116</xdr:row>
          <xdr:rowOff>142875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19050</xdr:rowOff>
        </xdr:from>
        <xdr:to>
          <xdr:col>1</xdr:col>
          <xdr:colOff>666750</xdr:colOff>
          <xdr:row>118</xdr:row>
          <xdr:rowOff>95250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9525</xdr:rowOff>
        </xdr:from>
        <xdr:to>
          <xdr:col>1</xdr:col>
          <xdr:colOff>1771650</xdr:colOff>
          <xdr:row>131</xdr:row>
          <xdr:rowOff>142875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105</xdr:row>
          <xdr:rowOff>9525</xdr:rowOff>
        </xdr:from>
        <xdr:to>
          <xdr:col>5</xdr:col>
          <xdr:colOff>9525</xdr:colOff>
          <xdr:row>105</xdr:row>
          <xdr:rowOff>142875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106</xdr:row>
          <xdr:rowOff>19050</xdr:rowOff>
        </xdr:from>
        <xdr:to>
          <xdr:col>5</xdr:col>
          <xdr:colOff>9525</xdr:colOff>
          <xdr:row>107</xdr:row>
          <xdr:rowOff>47625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107</xdr:row>
          <xdr:rowOff>19050</xdr:rowOff>
        </xdr:from>
        <xdr:to>
          <xdr:col>5</xdr:col>
          <xdr:colOff>9525</xdr:colOff>
          <xdr:row>108</xdr:row>
          <xdr:rowOff>47625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9525</xdr:rowOff>
        </xdr:from>
        <xdr:to>
          <xdr:col>5</xdr:col>
          <xdr:colOff>9525</xdr:colOff>
          <xdr:row>111</xdr:row>
          <xdr:rowOff>142875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9525</xdr:rowOff>
        </xdr:from>
        <xdr:to>
          <xdr:col>5</xdr:col>
          <xdr:colOff>9525</xdr:colOff>
          <xdr:row>112</xdr:row>
          <xdr:rowOff>142875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19050</xdr:rowOff>
        </xdr:from>
        <xdr:to>
          <xdr:col>5</xdr:col>
          <xdr:colOff>9525</xdr:colOff>
          <xdr:row>116</xdr:row>
          <xdr:rowOff>95250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19050</xdr:rowOff>
        </xdr:from>
        <xdr:to>
          <xdr:col>5</xdr:col>
          <xdr:colOff>9525</xdr:colOff>
          <xdr:row>117</xdr:row>
          <xdr:rowOff>95250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9525</xdr:rowOff>
        </xdr:from>
        <xdr:to>
          <xdr:col>5</xdr:col>
          <xdr:colOff>9525</xdr:colOff>
          <xdr:row>117</xdr:row>
          <xdr:rowOff>142875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19050</xdr:rowOff>
        </xdr:from>
        <xdr:to>
          <xdr:col>5</xdr:col>
          <xdr:colOff>9525</xdr:colOff>
          <xdr:row>115</xdr:row>
          <xdr:rowOff>95250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129</xdr:row>
          <xdr:rowOff>19050</xdr:rowOff>
        </xdr:from>
        <xdr:to>
          <xdr:col>5</xdr:col>
          <xdr:colOff>9525</xdr:colOff>
          <xdr:row>130</xdr:row>
          <xdr:rowOff>95250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130</xdr:row>
          <xdr:rowOff>9525</xdr:rowOff>
        </xdr:from>
        <xdr:to>
          <xdr:col>5</xdr:col>
          <xdr:colOff>9525</xdr:colOff>
          <xdr:row>130</xdr:row>
          <xdr:rowOff>142875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131</xdr:row>
          <xdr:rowOff>9525</xdr:rowOff>
        </xdr:from>
        <xdr:to>
          <xdr:col>5</xdr:col>
          <xdr:colOff>9525</xdr:colOff>
          <xdr:row>131</xdr:row>
          <xdr:rowOff>142875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105</xdr:row>
          <xdr:rowOff>9525</xdr:rowOff>
        </xdr:from>
        <xdr:to>
          <xdr:col>8</xdr:col>
          <xdr:colOff>571500</xdr:colOff>
          <xdr:row>105</xdr:row>
          <xdr:rowOff>142875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9525</xdr:rowOff>
        </xdr:from>
        <xdr:to>
          <xdr:col>7</xdr:col>
          <xdr:colOff>657225</xdr:colOff>
          <xdr:row>117</xdr:row>
          <xdr:rowOff>142875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19050</xdr:rowOff>
        </xdr:from>
        <xdr:to>
          <xdr:col>7</xdr:col>
          <xdr:colOff>657225</xdr:colOff>
          <xdr:row>119</xdr:row>
          <xdr:rowOff>95250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132</xdr:row>
          <xdr:rowOff>9525</xdr:rowOff>
        </xdr:from>
        <xdr:to>
          <xdr:col>5</xdr:col>
          <xdr:colOff>9525</xdr:colOff>
          <xdr:row>132</xdr:row>
          <xdr:rowOff>142875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gaz/Desktop/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EGOLAS"/>
      <sheetName val="PERG. CS."/>
      <sheetName val="UMB"/>
      <sheetName val="UMB CS."/>
      <sheetName val="تسعير البرجولات الالومنيوم"/>
    </sheetNames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 dataDxfId="1607"/>
    <tableColumn id="3" xr3:uid="{00000000-0010-0000-0000-000003000000}" name="طريقة الدهان" dataDxfId="1606"/>
    <tableColumn id="5" xr3:uid="{00000000-0010-0000-0000-000005000000}" name="لون الالومنيوم" dataDxfId="1605"/>
    <tableColumn id="6" xr3:uid="{00000000-0010-0000-0000-000006000000}" name="Column3" dataDxfId="1604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566" totalsRowDxfId="1565"/>
    <tableColumn id="2" xr3:uid="{00000000-0010-0000-0400-000002000000}" name="عدد" dataDxfId="1564" totalsRowDxfId="156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1"/>
    <tableColumn id="11" xr3:uid="{00000000-0010-0000-0400-00000B000000}" name="Column2" dataDxfId="1560" totalsRowDxfId="1559"/>
    <tableColumn id="10" xr3:uid="{00000000-0010-0000-0400-00000A000000}" name="Column1" dataDxfId="1558" totalsRowDxfId="1557"/>
    <tableColumn id="12" xr3:uid="{00000000-0010-0000-0400-00000C000000}" name="المسطح" totalsRowFunction="sum" dataDxfId="1556" totalsRowDxfId="1555">
      <calculatedColumnFormula>(Table1[[#This Row],[Column1]]+Table1[[#This Row],[Column2]])*12*Table1[[#This Row],[عدد]]</calculatedColumnFormula>
    </tableColumn>
    <tableColumn id="4" xr3:uid="{00000000-0010-0000-0400-000004000000}" name="الوحده" dataDxfId="1554" totalsRowDxfId="1553"/>
    <tableColumn id="5" xr3:uid="{00000000-0010-0000-0400-000005000000}" name="الوزن" totalsRowFunction="custom" totalsRowDxfId="1552">
      <totalsRowFormula>(H6*B6)+(H8*B8)+(H7*B7)</totalsRowFormula>
    </tableColumn>
    <tableColumn id="6" xr3:uid="{00000000-0010-0000-0400-000006000000}" name="مسطح" dataDxfId="1551" totalsRowDxfId="1550"/>
    <tableColumn id="7" xr3:uid="{00000000-0010-0000-0400-000007000000}" name="سعر الشبك " dataDxfId="1549" totalsRowDxfId="1548">
      <calculatedColumnFormula>H6*$H$2/1000</calculatedColumnFormula>
    </tableColumn>
    <tableColumn id="8" xr3:uid="{00000000-0010-0000-0400-000008000000}" name="اجمالي" totalsRowFunction="sum" dataDxfId="1547" totalsRowDxfId="1546">
      <calculatedColumnFormula>B6*J6</calculatedColumnFormula>
    </tableColumn>
    <tableColumn id="9" xr3:uid="{00000000-0010-0000-0400-000009000000}" name="%" totalsRowFunction="custom" totalsRowDxfId="1545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416"/>
    <tableColumn id="2" xr3:uid="{00000000-0010-0000-5E00-000002000000}" name="عدد" dataDxfId="415">
      <calculatedColumnFormula>IF((BL62="الاسكندرية"),0.25,0.1)</calculatedColumnFormula>
    </tableColumn>
    <tableColumn id="3" xr3:uid="{00000000-0010-0000-5E00-000003000000}" name="بيان" totalsRowLabel="Total" dataDxfId="414"/>
    <tableColumn id="11" xr3:uid="{00000000-0010-0000-5E00-00000B000000}" name="Column2" dataDxfId="413"/>
    <tableColumn id="10" xr3:uid="{00000000-0010-0000-5E00-00000A000000}" name="Column1" dataDxfId="412"/>
    <tableColumn id="12" xr3:uid="{00000000-0010-0000-5E00-00000C000000}" name="Column12" totalsRowFunction="sum" dataDxfId="411"/>
    <tableColumn id="4" xr3:uid="{00000000-0010-0000-5E00-000004000000}" name="الوحده" dataDxfId="410"/>
    <tableColumn id="5" xr3:uid="{00000000-0010-0000-5E00-000005000000}" name="الوزن" dataDxfId="409"/>
    <tableColumn id="6" xr3:uid="{00000000-0010-0000-5E00-000006000000}" name="سعر الكيلو" dataDxfId="408"/>
    <tableColumn id="7" xr3:uid="{00000000-0010-0000-5E00-000007000000}" name="سعر الشبك " dataDxfId="407">
      <calculatedColumnFormula>BQ45</calculatedColumnFormula>
    </tableColumn>
    <tableColumn id="8" xr3:uid="{00000000-0010-0000-5E00-000008000000}" name="اجمالي" totalsRowFunction="sum" dataDxfId="40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405"/>
    <tableColumn id="2" xr3:uid="{00000000-0010-0000-5F00-000002000000}" name="خارجي" dataDxfId="404"/>
    <tableColumn id="3" xr3:uid="{00000000-0010-0000-5F00-000003000000}" name="داخلي" dataDxfId="403"/>
    <tableColumn id="4" xr3:uid="{00000000-0010-0000-5F00-000004000000}" name="بدل الوجبة" dataDxfId="402"/>
    <tableColumn id="5" xr3:uid="{00000000-0010-0000-5F00-000005000000}" name="دبابة" dataDxfId="401"/>
    <tableColumn id="6" xr3:uid="{00000000-0010-0000-5F00-000006000000}" name="جامبو" dataDxfId="400"/>
    <tableColumn id="7" xr3:uid="{00000000-0010-0000-5F00-000007000000}" name="الاقامة" dataDxfId="399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398"/>
    <tableColumn id="4" xr3:uid="{00000000-0010-0000-6000-000004000000}" name="Column22" dataDxfId="397"/>
    <tableColumn id="5" xr3:uid="{00000000-0010-0000-6000-000005000000}" name="Column23" dataDxfId="396"/>
    <tableColumn id="3" xr3:uid="{00000000-0010-0000-6000-000003000000}" name="Column3" dataDxfId="395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39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393" totalsRowDxfId="392"/>
    <tableColumn id="2" xr3:uid="{00000000-0010-0000-6100-000002000000}" name="عدد" dataDxfId="391" totalsRowDxfId="390"/>
    <tableColumn id="3" xr3:uid="{00000000-0010-0000-6100-000003000000}" name="بيان" totalsRowLabel="Total" dataDxfId="389" totalsRowDxfId="388"/>
    <tableColumn id="11" xr3:uid="{00000000-0010-0000-6100-00000B000000}" name="Column2" dataDxfId="387" totalsRowDxfId="386"/>
    <tableColumn id="10" xr3:uid="{00000000-0010-0000-6100-00000A000000}" name="Column1" dataDxfId="385" totalsRowDxfId="384"/>
    <tableColumn id="12" xr3:uid="{00000000-0010-0000-6100-00000C000000}" name="المسطح" totalsRowFunction="sum" dataDxfId="383" totalsRowDxfId="382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381" totalsRowDxfId="380"/>
    <tableColumn id="5" xr3:uid="{00000000-0010-0000-6100-000005000000}" name="الوزن" totalsRowFunction="custom" totalsRowDxfId="379">
      <totalsRowFormula>(BN6*BH6)+(BN7*BG7)+(BN8*BG8)+(BN9*BG9)</totalsRowFormula>
    </tableColumn>
    <tableColumn id="6" xr3:uid="{00000000-0010-0000-6100-000006000000}" name="اجمالي المسطح" totalsRowFunction="sum" dataDxfId="378" totalsRowDxfId="377">
      <calculatedColumnFormula>Table1588090[[#This Row],[المسطح]]*Table1588090[[#This Row],[عدد]]</calculatedColumnFormula>
    </tableColumn>
    <tableColumn id="7" xr3:uid="{00000000-0010-0000-6100-000007000000}" name="سعر الشبك " dataDxfId="376" totalsRowDxfId="375">
      <calculatedColumnFormula>BN6*$S$2/1000</calculatedColumnFormula>
    </tableColumn>
    <tableColumn id="8" xr3:uid="{00000000-0010-0000-6100-000008000000}" name="اجمالي" totalsRowFunction="sum" dataDxfId="374" totalsRowDxfId="373">
      <calculatedColumnFormula>BH6*BP6</calculatedColumnFormula>
    </tableColumn>
    <tableColumn id="9" xr3:uid="{00000000-0010-0000-6100-000009000000}" name="%" totalsRowFunction="custom" totalsRowDxfId="37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71" totalsRowDxfId="370"/>
    <tableColumn id="2" xr3:uid="{00000000-0010-0000-6200-000002000000}" name="عدد" totalsRowFunction="custom" totalsRowDxfId="369">
      <totalsRowFormula>(Table8091[[#Totals],[price]]*1.1)/(BA1*AY1/10000)</totalsRowFormula>
    </tableColumn>
    <tableColumn id="3" xr3:uid="{00000000-0010-0000-6200-000003000000}" name="طول" dataDxfId="368" totalsRowDxfId="367"/>
    <tableColumn id="4" xr3:uid="{00000000-0010-0000-6200-000004000000}" name="Column2" dataDxfId="366" totalsRowDxfId="365"/>
    <tableColumn id="5" xr3:uid="{00000000-0010-0000-6200-000005000000}" name="wt/m" dataDxfId="364" totalsRowDxfId="363"/>
    <tableColumn id="6" xr3:uid="{00000000-0010-0000-6200-000006000000}" name="price" totalsRowFunction="sum" dataDxfId="362" totalsRowDxfId="361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360" totalsRowDxfId="359"/>
    <tableColumn id="2" xr3:uid="{00000000-0010-0000-6300-000002000000}" name="عدد" dataDxfId="358" totalsRowDxfId="35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356" totalsRowDxfId="355"/>
    <tableColumn id="11" xr3:uid="{00000000-0010-0000-6300-00000B000000}" name="Column2" dataDxfId="354" totalsRowDxfId="353"/>
    <tableColumn id="10" xr3:uid="{00000000-0010-0000-6300-00000A000000}" name="Column1" dataDxfId="352" totalsRowDxfId="351"/>
    <tableColumn id="12" xr3:uid="{00000000-0010-0000-6300-00000C000000}" name="Column12" dataDxfId="350" totalsRowDxfId="349"/>
    <tableColumn id="4" xr3:uid="{00000000-0010-0000-6300-000004000000}" name="الوحده" totalsRowLabel="total" dataDxfId="348" totalsRowDxfId="347"/>
    <tableColumn id="5" xr3:uid="{00000000-0010-0000-6300-000005000000}" name="الوزن" dataDxfId="346" totalsRowDxfId="345"/>
    <tableColumn id="6" xr3:uid="{00000000-0010-0000-6300-000006000000}" name="سعر الكيلو" dataDxfId="344" totalsRowDxfId="343"/>
    <tableColumn id="7" xr3:uid="{00000000-0010-0000-6300-000007000000}" name="سعر الشبك " dataDxfId="342" totalsRowDxfId="341">
      <calculatedColumnFormula>BP28</calculatedColumnFormula>
    </tableColumn>
    <tableColumn id="8" xr3:uid="{00000000-0010-0000-6300-000008000000}" name="اجمالي" totalsRowFunction="sum" dataDxfId="340" totalsRowDxfId="339">
      <calculatedColumnFormula>BH98*BP99</calculatedColumnFormula>
    </tableColumn>
    <tableColumn id="9" xr3:uid="{00000000-0010-0000-6300-000009000000}" name="%" totalsRowFunction="custom" totalsRowDxfId="33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337" totalsRowDxfId="336"/>
    <tableColumn id="2" xr3:uid="{00000000-0010-0000-6400-000002000000}" name="عدد" dataDxfId="335" totalsRowDxfId="334">
      <calculatedColumnFormula>IF((#REF!="بالتات"),0,4)</calculatedColumnFormula>
    </tableColumn>
    <tableColumn id="3" xr3:uid="{00000000-0010-0000-6400-000003000000}" name="بيان" totalsRowLabel="Total" dataDxfId="333" totalsRowDxfId="332"/>
    <tableColumn id="11" xr3:uid="{00000000-0010-0000-6400-00000B000000}" name="Column2" dataDxfId="331" totalsRowDxfId="330"/>
    <tableColumn id="10" xr3:uid="{00000000-0010-0000-6400-00000A000000}" name="Column1" dataDxfId="329" totalsRowDxfId="328"/>
    <tableColumn id="12" xr3:uid="{00000000-0010-0000-6400-00000C000000}" name="Column12" dataDxfId="327" totalsRowDxfId="326"/>
    <tableColumn id="4" xr3:uid="{00000000-0010-0000-6400-000004000000}" name="الوحده" dataDxfId="325" totalsRowDxfId="324"/>
    <tableColumn id="5" xr3:uid="{00000000-0010-0000-6400-000005000000}" name="الوزن" dataDxfId="323" totalsRowDxfId="322"/>
    <tableColumn id="6" xr3:uid="{00000000-0010-0000-6400-000006000000}" name="سعر الكيلو" dataDxfId="321" totalsRowDxfId="320"/>
    <tableColumn id="7" xr3:uid="{00000000-0010-0000-6400-000007000000}" name="سعر الشبك " dataDxfId="319" totalsRowDxfId="318">
      <calculatedColumnFormula>Sheet2!AW26</calculatedColumnFormula>
    </tableColumn>
    <tableColumn id="8" xr3:uid="{00000000-0010-0000-6400-000008000000}" name="اجمالي" totalsRowFunction="sum" dataDxfId="317" totalsRowDxfId="316">
      <calculatedColumnFormula>BH84*BP84</calculatedColumnFormula>
    </tableColumn>
    <tableColumn id="9" xr3:uid="{00000000-0010-0000-6400-000009000000}" name="%" totalsRowFunction="custom" totalsRowDxfId="31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314"/>
    <tableColumn id="2" xr3:uid="{00000000-0010-0000-6500-000002000000}" name="عدد" totalsRowFunction="sum" dataDxfId="313">
      <calculatedColumnFormula>BH90*4</calculatedColumnFormula>
    </tableColumn>
    <tableColumn id="3" xr3:uid="{00000000-0010-0000-6500-000003000000}" name="بيان" totalsRowLabel="Total" dataDxfId="312"/>
    <tableColumn id="11" xr3:uid="{00000000-0010-0000-6500-00000B000000}" name="Column2" dataDxfId="311"/>
    <tableColumn id="10" xr3:uid="{00000000-0010-0000-6500-00000A000000}" name="Column1" dataDxfId="310"/>
    <tableColumn id="12" xr3:uid="{00000000-0010-0000-6500-00000C000000}" name="Column12" totalsRowFunction="sum" dataDxfId="30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308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307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30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304"/>
    <tableColumn id="2" xr3:uid="{00000000-0010-0000-6600-000002000000}" name="المعدل" dataDxfId="303"/>
    <tableColumn id="3" xr3:uid="{00000000-0010-0000-6600-000003000000}" name="الوحدة" dataDxfId="302"/>
    <tableColumn id="4" xr3:uid="{00000000-0010-0000-6600-000004000000}" name="Column4" dataDxfId="301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300"/>
    <tableColumn id="2" xr3:uid="{00000000-0010-0000-6700-000002000000}" name="Column2" dataDxfId="299"/>
    <tableColumn id="3" xr3:uid="{00000000-0010-0000-6700-000003000000}" name="Column3" dataDxfId="298"/>
    <tableColumn id="4" xr3:uid="{00000000-0010-0000-6700-000004000000}" name="Column4" dataDxfId="297"/>
    <tableColumn id="5" xr3:uid="{00000000-0010-0000-6700-000005000000}" name="Column5" dataDxfId="296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44" totalsRowDxfId="1543"/>
    <tableColumn id="2" xr3:uid="{00000000-0010-0000-0500-000002000000}" name="عدد" dataDxfId="1542" totalsRowDxfId="154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40" totalsRowDxfId="1539"/>
    <tableColumn id="11" xr3:uid="{00000000-0010-0000-0500-00000B000000}" name="Column2" dataDxfId="1538" totalsRowDxfId="1537"/>
    <tableColumn id="10" xr3:uid="{00000000-0010-0000-0500-00000A000000}" name="Column1" dataDxfId="1536" totalsRowDxfId="1535"/>
    <tableColumn id="12" xr3:uid="{00000000-0010-0000-0500-00000C000000}" name="Column12" dataDxfId="1534" totalsRowDxfId="1533"/>
    <tableColumn id="4" xr3:uid="{00000000-0010-0000-0500-000004000000}" name="الوحده" totalsRowLabel="total" dataDxfId="1532" totalsRowDxfId="1531"/>
    <tableColumn id="5" xr3:uid="{00000000-0010-0000-0500-000005000000}" name="الوزن" dataDxfId="1530" totalsRowDxfId="1529"/>
    <tableColumn id="6" xr3:uid="{00000000-0010-0000-0500-000006000000}" name="سعر الكيلو" dataDxfId="1528" totalsRowDxfId="1527"/>
    <tableColumn id="7" xr3:uid="{00000000-0010-0000-0500-000007000000}" name="سعر الشبك " dataDxfId="1526" totalsRowDxfId="1525">
      <calculatedColumnFormula>Sheet2!B8</calculatedColumnFormula>
    </tableColumn>
    <tableColumn id="8" xr3:uid="{00000000-0010-0000-0500-000008000000}" name="اجمالي" totalsRowFunction="sum" dataDxfId="1524" totalsRowDxfId="1523">
      <calculatedColumnFormula>B35*J35</calculatedColumnFormula>
    </tableColumn>
    <tableColumn id="9" xr3:uid="{00000000-0010-0000-0500-000009000000}" name="%" totalsRowFunction="custom" totalsRowDxfId="1522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95" totalsRowDxfId="294"/>
    <tableColumn id="2" xr3:uid="{00000000-0010-0000-6800-000002000000}" name="عدد" dataDxfId="293" totalsRowDxfId="292">
      <calculatedColumnFormula>IF((تسعير!$AT$12="بالتات"),0,BH119-2)</calculatedColumnFormula>
    </tableColumn>
    <tableColumn id="3" xr3:uid="{00000000-0010-0000-6800-000003000000}" name="بيان" totalsRowLabel="Total" dataDxfId="291" totalsRowDxfId="290"/>
    <tableColumn id="5" xr3:uid="{00000000-0010-0000-6800-000005000000}" name="اليومية / الاجرة" dataDxfId="289" totalsRowDxfId="288"/>
    <tableColumn id="6" xr3:uid="{00000000-0010-0000-6800-000006000000}" name="بدل الوجبة" dataDxfId="287" totalsRowDxfId="286"/>
    <tableColumn id="11" xr3:uid="{00000000-0010-0000-6800-00000B000000}" name="موقع العمل" dataDxfId="285" totalsRowDxfId="284">
      <calculatedColumnFormula>تسعير!$BE$44</calculatedColumnFormula>
    </tableColumn>
    <tableColumn id="10" xr3:uid="{00000000-0010-0000-6800-00000A000000}" name="شيفت العمل" dataDxfId="283" totalsRowDxfId="282"/>
    <tableColumn id="12" xr3:uid="{00000000-0010-0000-6800-00000C000000}" name="Column12" totalsRowFunction="sum" dataDxfId="281" totalsRowDxfId="28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75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72"/>
    <tableColumn id="2" xr3:uid="{00000000-0010-0000-6900-000002000000}" name="عدد" dataDxfId="271">
      <calculatedColumnFormula>IF((BL133="الاسكندرية"),0.25,0.1)</calculatedColumnFormula>
    </tableColumn>
    <tableColumn id="3" xr3:uid="{00000000-0010-0000-6900-000003000000}" name="بيان" totalsRowLabel="Total" dataDxfId="270"/>
    <tableColumn id="11" xr3:uid="{00000000-0010-0000-6900-00000B000000}" name="Column2" dataDxfId="269"/>
    <tableColumn id="10" xr3:uid="{00000000-0010-0000-6900-00000A000000}" name="Column1" dataDxfId="268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65"/>
    <tableColumn id="6" xr3:uid="{00000000-0010-0000-6900-000006000000}" name="سعر الكيلو" dataDxfId="264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62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61"/>
    <tableColumn id="2" xr3:uid="{00000000-0010-0000-6A00-000002000000}" name="خارجي" dataDxfId="260"/>
    <tableColumn id="3" xr3:uid="{00000000-0010-0000-6A00-000003000000}" name="داخلي" dataDxfId="259"/>
    <tableColumn id="4" xr3:uid="{00000000-0010-0000-6A00-000004000000}" name="بدل الوجبة" dataDxfId="258"/>
    <tableColumn id="5" xr3:uid="{00000000-0010-0000-6A00-000005000000}" name="دبابة" dataDxfId="257"/>
    <tableColumn id="6" xr3:uid="{00000000-0010-0000-6A00-000006000000}" name="جامبو" dataDxfId="256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4"/>
    <tableColumn id="4" xr3:uid="{00000000-0010-0000-6B00-000004000000}" name="Column22" dataDxfId="253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49" totalsRowDxfId="248"/>
    <tableColumn id="2" xr3:uid="{00000000-0010-0000-6C00-000002000000}" name="عدد" dataDxfId="247" totalsRowDxfId="2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45" totalsRowDxfId="244"/>
    <tableColumn id="11" xr3:uid="{00000000-0010-0000-6C00-00000B000000}" name="Column2" dataDxfId="243" totalsRowDxfId="242"/>
    <tableColumn id="10" xr3:uid="{00000000-0010-0000-6C00-00000A000000}" name="Column1" dataDxfId="241" totalsRowDxfId="240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6"/>
    <tableColumn id="5" xr3:uid="{00000000-0010-0000-6C00-000005000000}" name="الوزن" totalsRowFunction="custom" totalsRowDxfId="235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27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24" totalsRowDxfId="223"/>
    <tableColumn id="4" xr3:uid="{00000000-0010-0000-6D00-000004000000}" name="Column2" dataDxfId="222" totalsRowDxfId="221"/>
    <tableColumn id="5" xr3:uid="{00000000-0010-0000-6D00-000005000000}" name="wt/m" dataDxfId="220" totalsRowDxfId="219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16" dataDxfId="215" totalsRowDxfId="214">
  <autoFilter ref="A2:F23" xr:uid="{00000000-0009-0000-0100-000071000000}"/>
  <tableColumns count="6">
    <tableColumn id="1" xr3:uid="{00000000-0010-0000-6E00-000001000000}" name="Column1" totalsRowLabel="Total" dataDxfId="213" totalsRowDxfId="212"/>
    <tableColumn id="2" xr3:uid="{00000000-0010-0000-6E00-000002000000}" name="عدد" totalsRowFunction="custom" dataDxfId="211" totalsRowDxfId="210">
      <totalsRowFormula>(Table80102114[[#Totals],[price]]*1.1)/(F1*D1/10000)</totalsRowFormula>
    </tableColumn>
    <tableColumn id="3" xr3:uid="{00000000-0010-0000-6E00-000003000000}" name="طول" dataDxfId="209" totalsRowDxfId="208"/>
    <tableColumn id="4" xr3:uid="{00000000-0010-0000-6E00-000004000000}" name="Column2" dataDxfId="207" totalsRowDxfId="206"/>
    <tableColumn id="5" xr3:uid="{00000000-0010-0000-6E00-000005000000}" name="wt/m" dataDxfId="205" totalsRowDxfId="204"/>
    <tableColumn id="6" xr3:uid="{00000000-0010-0000-6E00-000006000000}" name="price" totalsRowFunction="sum" dataDxfId="203" totalsRowDxfId="202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201" dataDxfId="200" totalsRowDxfId="199">
  <autoFilter ref="A75:F96" xr:uid="{00000000-0009-0000-0100-000072000000}"/>
  <tableColumns count="6">
    <tableColumn id="1" xr3:uid="{00000000-0010-0000-6F00-000001000000}" name="Column1" totalsRowLabel="Total" dataDxfId="198" totalsRowDxfId="197"/>
    <tableColumn id="2" xr3:uid="{00000000-0010-0000-6F00-000002000000}" name="عدد" totalsRowFunction="custom" dataDxfId="196" totalsRowDxfId="195">
      <totalsRowFormula>(Table80102114115[[#Totals],[price]]*1.1)/(F74*D74/10000)</totalsRowFormula>
    </tableColumn>
    <tableColumn id="3" xr3:uid="{00000000-0010-0000-6F00-000003000000}" name="طول" dataDxfId="194" totalsRowDxfId="193"/>
    <tableColumn id="4" xr3:uid="{00000000-0010-0000-6F00-000004000000}" name="Column2" dataDxfId="192" totalsRowDxfId="191"/>
    <tableColumn id="5" xr3:uid="{00000000-0010-0000-6F00-000005000000}" name="wt/m" dataDxfId="190" totalsRowDxfId="189"/>
    <tableColumn id="6" xr3:uid="{00000000-0010-0000-6F00-000006000000}" name="price" totalsRowFunction="sum" dataDxfId="188" totalsRowDxfId="187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headerRowDxfId="186" dataDxfId="185">
  <autoFilter ref="B2:F3" xr:uid="{6E284D28-C3AA-4BF5-AA47-75599B0A856C}"/>
  <tableColumns count="5">
    <tableColumn id="1" xr3:uid="{F05C6A66-F43A-449F-8365-F848C3E3FCF4}" name="المنتج" dataDxfId="184">
      <calculatedColumnFormula>تسعير!AH60</calculatedColumnFormula>
    </tableColumn>
    <tableColumn id="2" xr3:uid="{0CEFF7DA-9167-4759-90A5-641D43832BD8}" name="العرض" dataDxfId="183">
      <calculatedColumnFormula>تسعير!AI60</calculatedColumnFormula>
    </tableColumn>
    <tableColumn id="3" xr3:uid="{8920483F-B230-4954-B6EB-299A021EF592}" name="الامتداد" dataDxfId="182">
      <calculatedColumnFormula>تسعير!AJ60</calculatedColumnFormula>
    </tableColumn>
    <tableColumn id="4" xr3:uid="{07EB60AF-C006-4964-9A4B-3B79BB8020B0}" name="لون الشاسية" dataDxfId="181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 headerRowDxfId="179" dataDxfId="178" totalsRowDxfId="177">
  <autoFilter ref="B6:F11" xr:uid="{3AE47BF8-B869-46BC-B7F0-F4DA963C247E}"/>
  <tableColumns count="5">
    <tableColumn id="1" xr3:uid="{DFF224CE-7576-4515-904B-FBFC4D5C680A}" name="الخامة" totalsRowLabel="Total" dataDxfId="176" totalsRowDxfId="175"/>
    <tableColumn id="2" xr3:uid="{AC1FAC90-AE41-46EF-9B31-9E503AF62A6C}" name="العدد" dataDxfId="174" totalsRowDxfId="173"/>
    <tableColumn id="3" xr3:uid="{E1CF79A6-154B-492B-9561-A0D71EC90423}" name="الطول" dataDxfId="172" totalsRowDxfId="171"/>
    <tableColumn id="4" xr3:uid="{2DFC47C0-43DD-44F1-B996-3B03682BBF44}" name="الوزن المتري" dataDxfId="170" totalsRowDxfId="169"/>
    <tableColumn id="5" xr3:uid="{6DCB8640-022B-4F19-A849-8A0B3E6FF733}" name="القيمة" totalsRowFunction="sum" dataDxfId="168" totalsRowDxfId="167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21"/>
    <tableColumn id="2" xr3:uid="{00000000-0010-0000-0600-000002000000}" name="عدد" dataDxfId="15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19"/>
    <tableColumn id="11" xr3:uid="{00000000-0010-0000-0600-00000B000000}" name="Column2" dataDxfId="1518"/>
    <tableColumn id="10" xr3:uid="{00000000-0010-0000-0600-00000A000000}" name="Column1" dataDxfId="1517"/>
    <tableColumn id="12" xr3:uid="{00000000-0010-0000-0600-00000C000000}" name="Column12" totalsRowFunction="sum" dataDxfId="151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1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14">
      <calculatedColumnFormula>Table14[[#This Row],[Column12]]*Table14[[#This Row],[عدد]]</calculatedColumnFormula>
    </tableColumn>
    <tableColumn id="7" xr3:uid="{00000000-0010-0000-0600-000007000000}" name="سعر الشبك " dataDxfId="1513">
      <calculatedColumnFormula>H12*$I$2/1000</calculatedColumnFormula>
    </tableColumn>
    <tableColumn id="8" xr3:uid="{00000000-0010-0000-0600-000008000000}" name="اجمالي" totalsRowFunction="sum" dataDxfId="1512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6" dataDxfId="165" totalsRowDxfId="164">
  <autoFilter ref="B14:G35" xr:uid="{01F8C92F-369B-4B5C-B07A-DC67DD79B1FC}"/>
  <tableColumns count="6">
    <tableColumn id="1" xr3:uid="{BF4333B4-59C0-4EE4-89B9-FEED8A8A131D}" name="Column1" totalsRowLabel="Total" dataDxfId="163" totalsRowDxfId="162"/>
    <tableColumn id="2" xr3:uid="{20C39B5D-0F6B-4807-8E24-DD5BBEDC42F4}" name="عدد" totalsRowFunction="custom" dataDxfId="161" totalsRowDxfId="160">
      <totalsRowFormula>(Table80102[[#Totals],[price]]*1.1)/(E13*C13/10000)</totalsRowFormula>
    </tableColumn>
    <tableColumn id="3" xr3:uid="{45234998-15CC-4591-990E-6C40A423CF54}" name="طول" dataDxfId="159" totalsRowDxfId="158"/>
    <tableColumn id="4" xr3:uid="{4A1E2D76-BA68-478E-A8B0-68B9239E9C44}" name="Column2" dataDxfId="157" totalsRowDxfId="156"/>
    <tableColumn id="5" xr3:uid="{41823737-EC82-4CC7-8E7F-BF2A359EB0F1}" name="wt/m" dataDxfId="155" totalsRowDxfId="154"/>
    <tableColumn id="6" xr3:uid="{31A18015-9562-44BD-ACB0-8D06980C4071}" name="price" totalsRowFunction="sum" dataDxfId="153" totalsRowDxfId="152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 headerRowDxfId="151" dataDxfId="150" totalsRowDxfId="149">
  <autoFilter ref="B38:F48" xr:uid="{F4B57681-793F-4DA6-938B-EF5BA0D74D8B}"/>
  <tableColumns count="5">
    <tableColumn id="1" xr3:uid="{8B0C594C-91EB-4284-9F8F-8A39950C8C96}" name="Column1" totalsRowLabel="Total" dataDxfId="148" totalsRowDxfId="147"/>
    <tableColumn id="2" xr3:uid="{B543F9EC-FF51-4F7C-AF63-C0390F20F5E6}" name="Column2" dataDxfId="146" totalsRowDxfId="145"/>
    <tableColumn id="3" xr3:uid="{0D691CEA-49C1-4CCC-81ED-00113B1CDE33}" name="Column3" dataDxfId="144" totalsRowDxfId="143"/>
    <tableColumn id="4" xr3:uid="{A4AF1872-10C0-4826-9A8F-27A24196EE4A}" name="Column4" dataDxfId="142" totalsRowDxfId="141"/>
    <tableColumn id="5" xr3:uid="{079CDC73-967D-4C39-BF78-3501BC5069B9}" name="Column5" totalsRowFunction="sum" dataDxfId="140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38" dataDxfId="137" totalsRowDxfId="136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129" totalsRowDxfId="128" dataCellStyle="Normal 2"/>
    <tableColumn id="5" xr3:uid="{1115AC2C-AEA0-4516-AD56-DAAF56E2D143}" name="2" dataDxfId="127" totalsRowDxfId="126" dataCellStyle="Normal 2"/>
    <tableColumn id="6" xr3:uid="{6BEE7943-4AF3-40C5-8F21-5AF96C9F6E7E}" name="3" dataDxfId="125" totalsRowDxfId="124" dataCellStyle="Normal 2"/>
    <tableColumn id="14" xr3:uid="{C339D900-5713-413C-BEA2-B416B483EECB}" name="4" dataDxfId="123" totalsRowDxfId="122" dataCellStyle="Normal 2">
      <calculatedColumnFormula>IF(D52&gt;350,4,0)</calculatedColumnFormula>
    </tableColumn>
    <tableColumn id="13" xr3:uid="{64E4A22B-DF40-44E4-9B52-1CA2155D6B8D}" name="5" dataDxfId="121" totalsRowDxfId="120" dataCellStyle="Normal 2">
      <calculatedColumnFormula>IF(D52&gt;350,4,0)</calculatedColumnFormula>
    </tableColumn>
    <tableColumn id="15" xr3:uid="{15F67072-09CF-48A5-9489-ED271AD7F8A3}" name="6" dataDxfId="119" totalsRowDxfId="118" dataCellStyle="Normal 2"/>
    <tableColumn id="7" xr3:uid="{D610E8C1-D47D-44FA-8593-8C1C46E4FC43}" name="اختيار" dataDxfId="117" totalsRowDxfId="116" dataCellStyle="Normal 2"/>
    <tableColumn id="8" xr3:uid="{96BFA68C-4B20-4323-988C-5F46D6C1E6D2}" name="التقطيع" dataDxfId="115" totalsRowDxfId="114" dataCellStyle="Normal 2"/>
    <tableColumn id="9" xr3:uid="{5C4B63B7-714C-476F-BDE3-A5940DE8B0EE}" name="بالهدر" dataDxfId="113" totalsRowDxfId="112" dataCellStyle="Normal 2">
      <calculatedColumnFormula>CEILING(L52,0.25)</calculatedColumnFormula>
    </tableColumn>
    <tableColumn id="10" xr3:uid="{967AAB2A-3CBC-489F-8789-9F5C00F5D83C}" name="Column1" dataDxfId="111" totalsRowDxfId="110" dataCellStyle="Normal 2"/>
    <tableColumn id="11" xr3:uid="{76CE1684-442E-40CE-9E88-94D80CB7830B}" name="وزن المتر" dataDxfId="109" totalsRowDxfId="108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05" dataDxfId="103" totalsRowDxfId="101" headerRowBorderDxfId="104" tableBorder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00" totalsRowDxfId="99" dataCellStyle="Normal 2"/>
    <tableColumn id="2" xr3:uid="{BA98A798-2CCA-4B7A-8B05-63B06D09333A}" name="عدد" dataDxfId="98" totalsRowDxfId="97" dataCellStyle="Normal 2"/>
    <tableColumn id="3" xr3:uid="{874A13E8-F264-4E16-B5DC-F94B11DF3BA1}" name="سعر" dataDxfId="96" totalsRowDxfId="95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91" totalsRowDxfId="90">
  <autoFilter ref="L12:Q23" xr:uid="{A630A4D1-964B-4D9C-80E9-DA639A17F16D}"/>
  <tableColumns count="6">
    <tableColumn id="1" xr3:uid="{D6CA05FE-79A8-47D8-8096-DAD04C28DE48}" name="Column1" totalsRowLabel="Total" dataDxfId="89" totalsRowDxfId="88"/>
    <tableColumn id="2" xr3:uid="{DF451939-4251-43AE-B6F6-9E343597384A}" name="عدد" totalsRowFunction="custom" dataDxfId="87" totalsRowDxfId="86">
      <totalsRowFormula>(Table80102113140[[#Totals],[price]]*1.1)/(O11*M11/10000)</totalsRowFormula>
    </tableColumn>
    <tableColumn id="3" xr3:uid="{C25478EA-3E99-4126-8989-54E48D1715D2}" name="طول" dataDxfId="85" totalsRowDxfId="84"/>
    <tableColumn id="4" xr3:uid="{9822A093-08F1-4B4D-9AFC-90D5A4131131}" name="Column2" dataDxfId="83" totalsRowDxfId="82"/>
    <tableColumn id="5" xr3:uid="{2E48C218-473A-4C6D-8C09-4D5CDD33479B}" name="wt/m" dataDxfId="81" totalsRowDxfId="80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 headerRowDxfId="77" dataDxfId="76" totalsRowDxfId="75">
  <autoFilter ref="L25:P34" xr:uid="{BFF28C6C-15F3-47BD-88D1-5EB534211F6B}"/>
  <tableColumns count="5">
    <tableColumn id="1" xr3:uid="{9DE4B88F-3A1F-4686-9607-FB56CFBE60E1}" name="الخامة" totalsRowLabel="Total" dataDxfId="74" totalsRowDxfId="73"/>
    <tableColumn id="2" xr3:uid="{8C5BB10F-4160-48DE-8E36-8322997DFC90}" name="العدد" dataDxfId="72" totalsRowDxfId="71"/>
    <tableColumn id="3" xr3:uid="{8C2DB168-1346-4F4D-8028-99DAA46CA97F}" name="الطول" dataDxfId="70" totalsRowDxfId="69"/>
    <tableColumn id="4" xr3:uid="{866F221C-3D0D-4C3D-BAC5-BC71C31F988A}" name="الوزن المتري" dataDxfId="68" totalsRowDxfId="67"/>
    <tableColumn id="5" xr3:uid="{26A682D6-1BAA-49D8-B104-F85A78FD4337}" name="القيمة" totalsRowFunction="sum" dataDxfId="66" totalsRowDxfId="65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 headerRowDxfId="64" dataDxfId="63" totalsRowDxfId="62">
  <autoFilter ref="S11:W25" xr:uid="{8C0460ED-F85D-4F8A-AFC5-8C3E78065780}"/>
  <tableColumns count="5">
    <tableColumn id="1" xr3:uid="{0BF8D15F-55B2-4A03-A6A5-0AEC0B93FBE7}" name="الخامة" totalsRowLabel="Total" dataDxfId="61" totalsRowDxfId="60"/>
    <tableColumn id="2" xr3:uid="{DFD82FB1-E16D-4EB9-BC16-032302D0DFD8}" name="العدد" dataDxfId="59" totalsRowDxfId="58"/>
    <tableColumn id="3" xr3:uid="{32B24A82-2417-4B8A-A868-3E9377712ED3}" name="الطول" dataDxfId="57" totalsRowDxfId="56"/>
    <tableColumn id="4" xr3:uid="{A008AA4C-B661-4CD9-9558-94DFB3285C9F}" name="الوزن المتري" dataDxfId="55" totalsRowDxfId="54"/>
    <tableColumn id="5" xr3:uid="{16C6370F-A223-4D41-8C87-9F8C98E775FB}" name="القيمة" totalsRowFunction="sum" dataDxfId="53" totalsRowDxfId="52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 headerRowDxfId="51" dataDxfId="50" totalsRowDxfId="49">
  <autoFilter ref="S30:W38" xr:uid="{86FDC189-1FB8-42E6-B00C-062A233FAF92}"/>
  <tableColumns count="5">
    <tableColumn id="1" xr3:uid="{EA869FC2-04E3-4779-9045-DEEEF8D9DE8F}" name="الخامة" totalsRowLabel="Total" dataDxfId="48" totalsRowDxfId="47"/>
    <tableColumn id="2" xr3:uid="{724E6041-949A-40E4-9C1B-BF687A1B4E21}" name="العدد" dataDxfId="46" totalsRowDxfId="45"/>
    <tableColumn id="3" xr3:uid="{A135C7BF-0BF0-45CA-AFCE-32A1C2F59117}" name="الطول" dataDxfId="44" totalsRowDxfId="43"/>
    <tableColumn id="4" xr3:uid="{56394E2D-8D59-445F-91BF-A07EB53504A9}" name="الوزن المتري" dataDxfId="42" totalsRowDxfId="41"/>
    <tableColumn id="5" xr3:uid="{7D868DBE-48E5-48C9-BED8-FB26F1C5C3B7}" name="القيمة" totalsRowFunction="sum" dataDxfId="40" totalsRowDxfId="3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 headerRowDxfId="38" dataDxfId="37" totalsRowDxfId="36">
  <autoFilter ref="S44:W55" xr:uid="{150FD4ED-1C25-4A09-81EB-03FC9C33F9F9}"/>
  <tableColumns count="5">
    <tableColumn id="1" xr3:uid="{27755FB6-0B53-4FD5-AD12-45C800FF797B}" name="الخامة" totalsRowLabel="Total" dataDxfId="35" totalsRowDxfId="34"/>
    <tableColumn id="2" xr3:uid="{978B531D-F9E2-4C19-9501-5372BACE94A5}" name="العدد" dataDxfId="33" totalsRowDxfId="32"/>
    <tableColumn id="3" xr3:uid="{316D5575-AD17-4050-A67B-BE63DE275514}" name="الطول" dataDxfId="31" totalsRowDxfId="30"/>
    <tableColumn id="4" xr3:uid="{63FBC5A5-76B2-4F09-9EAC-D9CC60E965BC}" name="الوزن المتري" dataDxfId="29" totalsRowDxfId="28"/>
    <tableColumn id="5" xr3:uid="{93DDBAEE-FE7A-4F20-B554-7DA7AC7B7356}" name="القيمة" totalsRowFunction="sum" dataDxfId="27" totalsRowDxfId="26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 headerRowDxfId="25" dataDxfId="24" totalsRowDxfId="23">
  <autoFilter ref="S60:W71" xr:uid="{458C5E96-2D95-43BD-A8DA-1969F8DA9B1D}"/>
  <tableColumns count="5">
    <tableColumn id="1" xr3:uid="{8CCDC8FE-2E8E-4320-A07F-377E9D382912}" name="الخامة" totalsRowLabel="Total" dataDxfId="22" totalsRowDxfId="21"/>
    <tableColumn id="2" xr3:uid="{ABDC6ABD-6FCD-4DC0-BCE9-B934CFF9CD0B}" name="العدد" dataDxfId="20" totalsRowDxfId="19"/>
    <tableColumn id="3" xr3:uid="{BA9411AB-313A-498F-957D-BA0426F955B2}" name="الطول" dataDxfId="18" totalsRowDxfId="17"/>
    <tableColumn id="4" xr3:uid="{31EDAA8B-0A9E-4850-9C12-BA8629A84FED}" name="الوزن المتري" dataDxfId="16" totalsRowDxfId="15"/>
    <tableColumn id="5" xr3:uid="{D935894B-CC2E-4DF6-8E9C-DF196925EBCE}" name="القيمة" totalsRowFunction="sum" dataDxfId="14" totalsRowDxfId="13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11" totalsRowDxfId="1510"/>
    <tableColumn id="2" xr3:uid="{00000000-0010-0000-0700-000002000000}" name="عدد" dataDxfId="1509" totalsRowDxfId="1508"/>
    <tableColumn id="3" xr3:uid="{00000000-0010-0000-0700-000003000000}" name="بيان" totalsRowLabel="Total" dataDxfId="1507" totalsRowDxfId="1506"/>
    <tableColumn id="11" xr3:uid="{00000000-0010-0000-0700-00000B000000}" name="Column2" dataDxfId="1505" totalsRowDxfId="1504"/>
    <tableColumn id="10" xr3:uid="{00000000-0010-0000-0700-00000A000000}" name="Column1" dataDxfId="1503" totalsRowDxfId="1502"/>
    <tableColumn id="12" xr3:uid="{00000000-0010-0000-0700-00000C000000}" name="Column12" dataDxfId="1501" totalsRowDxfId="1500"/>
    <tableColumn id="4" xr3:uid="{00000000-0010-0000-0700-000004000000}" name="الوحده" dataDxfId="1499" totalsRowDxfId="1498"/>
    <tableColumn id="5" xr3:uid="{00000000-0010-0000-0700-000005000000}" name="الوزن" dataDxfId="1497" totalsRowDxfId="1496"/>
    <tableColumn id="6" xr3:uid="{00000000-0010-0000-0700-000006000000}" name="سعر الكيلو" dataDxfId="1495" totalsRowDxfId="1494"/>
    <tableColumn id="7" xr3:uid="{00000000-0010-0000-0700-000007000000}" name="سعر الشبك " dataDxfId="1493" totalsRowDxfId="1492">
      <calculatedColumnFormula>Sheet2!B22</calculatedColumnFormula>
    </tableColumn>
    <tableColumn id="8" xr3:uid="{00000000-0010-0000-0700-000008000000}" name="اجمالي" totalsRowFunction="sum" dataDxfId="1491" totalsRowDxfId="1490">
      <calculatedColumnFormula>B17*J17</calculatedColumnFormula>
    </tableColumn>
    <tableColumn id="9" xr3:uid="{00000000-0010-0000-0700-000009000000}" name="%" totalsRowFunction="custom" totalsRowDxfId="1489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 headerRowDxfId="12" dataDxfId="11" totalsRowDxfId="10">
  <autoFilter ref="S76:W87" xr:uid="{C5D89C21-CD94-4DF8-B056-E617F6154D75}"/>
  <tableColumns count="5">
    <tableColumn id="1" xr3:uid="{C8D31AC7-5388-40FD-8484-312C2B6742AA}" name="الخامة" totalsRowLabel="Total" dataDxfId="9" totalsRowDxfId="8"/>
    <tableColumn id="2" xr3:uid="{3969767B-BCF8-4F1F-BA9F-542F8610FD38}" name="العدد" dataDxfId="7" totalsRowDxfId="6"/>
    <tableColumn id="3" xr3:uid="{099CFB9E-DE29-472B-A16A-C94A59DB3358}" name="الطول" dataDxfId="5" totalsRowDxfId="4"/>
    <tableColumn id="4" xr3:uid="{DCEAD467-24FC-468F-82EB-389BDB25D3BF}" name="الوزن المتري" dataDxfId="3" totalsRowDxfId="2"/>
    <tableColumn id="5" xr3:uid="{216E6FFF-6B03-469E-9078-A1A4FC2135E3}" name="القيمة" totalsRowFunction="sum" dataDxfId="1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88" totalsRowDxfId="1487"/>
    <tableColumn id="2" xr3:uid="{00000000-0010-0000-0800-000002000000}" name="عدد" totalsRowFunction="count" dataDxfId="1486" totalsRowDxfId="1485">
      <calculatedColumnFormula>B29*4</calculatedColumnFormula>
    </tableColumn>
    <tableColumn id="3" xr3:uid="{00000000-0010-0000-0800-000003000000}" name="بيان" totalsRowLabel="Total" dataDxfId="1484" totalsRowDxfId="1483"/>
    <tableColumn id="11" xr3:uid="{00000000-0010-0000-0800-00000B000000}" name="Column2" dataDxfId="1482" totalsRowDxfId="1481"/>
    <tableColumn id="10" xr3:uid="{00000000-0010-0000-0800-00000A000000}" name="Column1" dataDxfId="1480" totalsRowDxfId="1479"/>
    <tableColumn id="12" xr3:uid="{00000000-0010-0000-0800-00000C000000}" name="Column12" totalsRowFunction="sum" dataDxfId="1478" totalsRowDxfId="1477">
      <calculatedColumnFormula>(Table16[[#This Row],[Column1]]*Table16[[#This Row],[Column2]])*Table16[[#This Row],[عدد]]</calculatedColumnFormula>
    </tableColumn>
    <tableColumn id="4" xr3:uid="{00000000-0010-0000-0800-000004000000}" name="الوحده" dataDxfId="1476" totalsRowDxfId="1475"/>
    <tableColumn id="5" xr3:uid="{00000000-0010-0000-0800-000005000000}" name="الوزن" totalsRowFunction="custom" totalsRowDxfId="1474">
      <totalsRowFormula>H30*B30+H31*B31</totalsRowFormula>
    </tableColumn>
    <tableColumn id="6" xr3:uid="{00000000-0010-0000-0800-000006000000}" name="Column3" dataDxfId="1473" totalsRowDxfId="1472"/>
    <tableColumn id="7" xr3:uid="{00000000-0010-0000-0800-000007000000}" name="سعر الشبك " dataDxfId="1471" totalsRowDxfId="1470">
      <calculatedColumnFormula>H30*$H$2/1000</calculatedColumnFormula>
    </tableColumn>
    <tableColumn id="8" xr3:uid="{00000000-0010-0000-0800-000008000000}" name="اجمالي" totalsRowFunction="sum" dataDxfId="1469" totalsRowDxfId="1468">
      <calculatedColumnFormula>B30*J30</calculatedColumnFormula>
    </tableColumn>
    <tableColumn id="9" xr3:uid="{00000000-0010-0000-0800-000009000000}" name="%" totalsRowFunction="custom" totalsRowDxfId="146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1466"/>
    <tableColumn id="2" xr3:uid="{00000000-0010-0000-0900-000002000000}" name="المعدل" dataDxfId="1465"/>
    <tableColumn id="3" xr3:uid="{00000000-0010-0000-0900-000003000000}" name="الوحدة" dataDxfId="1464"/>
    <tableColumn id="4" xr3:uid="{00000000-0010-0000-0900-000004000000}" name="Column4" dataDxfId="1463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62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460"/>
    <tableColumn id="11" xr3:uid="{00000000-0010-0000-0A00-00000B000000}" name="Column2" dataDxfId="1459"/>
    <tableColumn id="10" xr3:uid="{00000000-0010-0000-0A00-00000A000000}" name="Column1" dataDxfId="1458"/>
    <tableColumn id="12" xr3:uid="{00000000-0010-0000-0A00-00000C000000}" name="Column12" totalsRowFunction="sum" dataDxfId="1457"/>
    <tableColumn id="4" xr3:uid="{00000000-0010-0000-0A00-000004000000}" name="الوحده" dataDxfId="1456"/>
    <tableColumn id="5" xr3:uid="{00000000-0010-0000-0A00-000005000000}" name="الوزن" dataDxfId="1455"/>
    <tableColumn id="6" xr3:uid="{00000000-0010-0000-0A00-000006000000}" name="سعر الكيلو" dataDxfId="1454"/>
    <tableColumn id="7" xr3:uid="{00000000-0010-0000-0A00-000007000000}" name="سعر الشبك " dataDxfId="1453">
      <calculatedColumnFormula>Sheet2!B31</calculatedColumnFormula>
    </tableColumn>
    <tableColumn id="8" xr3:uid="{00000000-0010-0000-0A00-000008000000}" name="اجمالي" totalsRowFunction="sum" dataDxfId="1452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51" totalsRowDxfId="1450"/>
    <tableColumn id="2" xr3:uid="{00000000-0010-0000-0B00-000002000000}" name="عدد" dataDxfId="1449" totalsRowDxfId="1448">
      <calculatedColumnFormula>IF((F78="الاسكندرية"),0.25,0.1)</calculatedColumnFormula>
    </tableColumn>
    <tableColumn id="3" xr3:uid="{00000000-0010-0000-0B00-000003000000}" name="بيان برجولا رويال" totalsRowLabel="Total" dataDxfId="1447" totalsRowDxfId="1446"/>
    <tableColumn id="12" xr3:uid="{00000000-0010-0000-0B00-00000C000000}" name="Column12" totalsRowFunction="sum" dataDxfId="1445" totalsRowDxfId="1444"/>
    <tableColumn id="5" xr3:uid="{00000000-0010-0000-0B00-000005000000}" name="Column1" dataDxfId="1443" totalsRowDxfId="1442"/>
    <tableColumn id="11" xr3:uid="{00000000-0010-0000-0B00-00000B000000}" name="العرض" dataDxfId="1441" totalsRowDxfId="1440"/>
    <tableColumn id="10" xr3:uid="{00000000-0010-0000-0B00-00000A000000}" name="الامتداد" dataDxfId="1439" totalsRowDxfId="1438"/>
    <tableColumn id="4" xr3:uid="{00000000-0010-0000-0B00-000004000000}" name="سعر المتر" dataDxfId="1437" totalsRowDxfId="1436"/>
    <tableColumn id="6" xr3:uid="{00000000-0010-0000-0B00-000006000000}" name="Column2" dataDxfId="1435" totalsRowDxfId="1434"/>
    <tableColumn id="7" xr3:uid="{00000000-0010-0000-0B00-000007000000}" name="سعر البرجولا كاملة" dataDxfId="1433" totalsRowDxfId="1432">
      <calculatedColumnFormula>(K57)</calculatedColumnFormula>
    </tableColumn>
    <tableColumn id="8" xr3:uid="{00000000-0010-0000-0B00-000008000000}" name="اجمالي" totalsRowFunction="sum" dataDxfId="1431" totalsRowDxfId="1430">
      <calculatedColumnFormula>B58*Table1611[[#This Row],[سعر البرجولا كاملة]]</calculatedColumnFormula>
    </tableColumn>
    <tableColumn id="9" xr3:uid="{00000000-0010-0000-0B00-000009000000}" name="%" totalsRowFunction="custom" totalsRowDxfId="1429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8" totalsRowDxfId="1427"/>
    <tableColumn id="2" xr3:uid="{00000000-0010-0000-0C00-000002000000}" name="عدد" dataDxfId="1426" totalsRowDxfId="1425">
      <calculatedColumnFormula>B61</calculatedColumnFormula>
    </tableColumn>
    <tableColumn id="3" xr3:uid="{00000000-0010-0000-0C00-000003000000}" name="بيان" totalsRowLabel="Total" dataDxfId="1424" totalsRowDxfId="1423"/>
    <tableColumn id="5" xr3:uid="{00000000-0010-0000-0C00-000005000000}" name="اليومية / الاجرة" dataDxfId="1422" totalsRowDxfId="1421"/>
    <tableColumn id="6" xr3:uid="{00000000-0010-0000-0C00-000006000000}" name="بدل الوجبة" dataDxfId="1420" totalsRowDxfId="1419"/>
    <tableColumn id="11" xr3:uid="{00000000-0010-0000-0C00-00000B000000}" name="موقع العمل" dataDxfId="1418" totalsRowDxfId="1417">
      <calculatedColumnFormula>تسعير!$T$4</calculatedColumnFormula>
    </tableColumn>
    <tableColumn id="10" xr3:uid="{00000000-0010-0000-0C00-00000A000000}" name="شيفت العمل" dataDxfId="1416" totalsRowDxfId="1415"/>
    <tableColumn id="12" xr3:uid="{00000000-0010-0000-0C00-00000C000000}" name="Column12" totalsRowFunction="sum" dataDxfId="1414" totalsRowDxfId="1413">
      <calculatedColumnFormula>SUMIF(Table17[Column1],Table1612[[#This Row],[موقع العمل]],$T$2:$T$20)</calculatedColumnFormula>
    </tableColumn>
    <tableColumn id="4" xr3:uid="{00000000-0010-0000-0C00-000004000000}" name="عدد الايام" dataDxfId="1412" totalsRowDxfId="1411"/>
    <tableColumn id="7" xr3:uid="{00000000-0010-0000-0C00-000007000000}" name="اجمالي التكلفة للعامل" dataDxfId="1410" totalsRowDxfId="1409">
      <calculatedColumnFormula>Table1612[[#This Row],[Column12]]</calculatedColumnFormula>
    </tableColumn>
    <tableColumn id="8" xr3:uid="{00000000-0010-0000-0C00-000008000000}" name="اجمالي" totalsRowFunction="sum" dataDxfId="1408" totalsRowDxfId="1407">
      <calculatedColumnFormula>B67*J67</calculatedColumnFormula>
    </tableColumn>
    <tableColumn id="9" xr3:uid="{00000000-0010-0000-0C00-000009000000}" name="%" totalsRowFunction="custom" totalsRowDxfId="1406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1405"/>
    <tableColumn id="2" xr3:uid="{00000000-0010-0000-0D00-000002000000}" name="خارجي" dataDxfId="1404"/>
    <tableColumn id="3" xr3:uid="{00000000-0010-0000-0D00-000003000000}" name="داخلي" dataDxfId="1403"/>
    <tableColumn id="4" xr3:uid="{00000000-0010-0000-0D00-000004000000}" name="بدل الوجبة" dataDxfId="1402"/>
    <tableColumn id="5" xr3:uid="{00000000-0010-0000-0D00-000005000000}" name="دبابة" dataDxfId="1401"/>
    <tableColumn id="6" xr3:uid="{00000000-0010-0000-0D00-000006000000}" name="جامبو" dataDxfId="1400"/>
    <tableColumn id="7" xr3:uid="{00000000-0010-0000-0D00-000007000000}" name="الاقامة" dataDxfId="1399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 dataDxfId="1603">
      <calculatedColumnFormula>IF(AND((تسعير!T12=D2),(تسعير!X8&lt;801)),"A",IF(AND((تسعير!T12=D3),(تسعير!X8&lt;801)),"B",IF(AND(,(تسعير!T12=D2),(تسعير!X8&gt;800)),"C",IF(AND((تسعير!T12=D3),(تسعير!X8&gt;800)),"D","no"))))</calculatedColumnFormula>
    </tableColumn>
    <tableColumn id="2" xr3:uid="{00000000-0010-0000-0100-000002000000}" name="Column2" dataDxfId="160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 dataDxfId="1601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398"/>
    <tableColumn id="4" xr3:uid="{00000000-0010-0000-0E00-000004000000}" name="Column22" dataDxfId="1397"/>
    <tableColumn id="5" xr3:uid="{00000000-0010-0000-0E00-000005000000}" name="Column23" dataDxfId="1396"/>
    <tableColumn id="3" xr3:uid="{00000000-0010-0000-0E00-000003000000}" name="Column3" dataDxfId="1395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394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3" totalsRowDxfId="1392"/>
    <tableColumn id="2" xr3:uid="{00000000-0010-0000-0F00-000002000000}" name="عدد" dataDxfId="1391" totalsRowDxfId="139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89" totalsRowDxfId="1388"/>
    <tableColumn id="11" xr3:uid="{00000000-0010-0000-0F00-00000B000000}" name="Column2" dataDxfId="1387" totalsRowDxfId="1386"/>
    <tableColumn id="10" xr3:uid="{00000000-0010-0000-0F00-00000A000000}" name="Column1" dataDxfId="1385" totalsRowDxfId="1384"/>
    <tableColumn id="12" xr3:uid="{00000000-0010-0000-0F00-00000C000000}" name="المسطح" totalsRowFunction="sum" dataDxfId="1383" totalsRowDxfId="1382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81" totalsRowDxfId="1380"/>
    <tableColumn id="5" xr3:uid="{00000000-0010-0000-0F00-000005000000}" name="الوزن" totalsRowFunction="custom" dataDxfId="1379" totalsRowDxfId="1378">
      <totalsRowFormula>H9*B9+H8*B8+H7*B7</totalsRowFormula>
    </tableColumn>
    <tableColumn id="6" xr3:uid="{00000000-0010-0000-0F00-000006000000}" name="اجمالي الميزان" totalsRowFunction="sum" dataDxfId="1377" totalsRowDxfId="1376">
      <calculatedColumnFormula>Table118[[#This Row],[الوزن]]*Table118[[#This Row],[عدد]]</calculatedColumnFormula>
    </tableColumn>
    <tableColumn id="7" xr3:uid="{00000000-0010-0000-0F00-000007000000}" name="سعر الشبك " dataDxfId="1375" totalsRowDxfId="1374">
      <calculatedColumnFormula>H6*$H$2/1000</calculatedColumnFormula>
    </tableColumn>
    <tableColumn id="8" xr3:uid="{00000000-0010-0000-0F00-000008000000}" name="اجمالي" totalsRowFunction="sum" dataDxfId="1373" totalsRowDxfId="1372">
      <calculatedColumnFormula>B6*J6</calculatedColumnFormula>
    </tableColumn>
    <tableColumn id="9" xr3:uid="{00000000-0010-0000-0F00-000009000000}" name="%" totalsRowFunction="custom" totalsRowDxfId="1371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70" totalsRowDxfId="1369"/>
    <tableColumn id="2" xr3:uid="{00000000-0010-0000-1000-000002000000}" name="عدد" dataDxfId="1368" totalsRowDxfId="136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66" totalsRowDxfId="1365"/>
    <tableColumn id="11" xr3:uid="{00000000-0010-0000-1000-00000B000000}" name="Column2" dataDxfId="1364" totalsRowDxfId="1363"/>
    <tableColumn id="10" xr3:uid="{00000000-0010-0000-1000-00000A000000}" name="Column1" dataDxfId="1362" totalsRowDxfId="1361"/>
    <tableColumn id="12" xr3:uid="{00000000-0010-0000-1000-00000C000000}" name="Column12" dataDxfId="1360" totalsRowDxfId="1359"/>
    <tableColumn id="4" xr3:uid="{00000000-0010-0000-1000-000004000000}" name="الوحده" totalsRowLabel="total" dataDxfId="1358" totalsRowDxfId="1357"/>
    <tableColumn id="5" xr3:uid="{00000000-0010-0000-1000-000005000000}" name="الوزن" dataDxfId="1356" totalsRowDxfId="135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54" totalsRowDxfId="1353">
      <calculatedColumnFormula>Sheet2!B7</calculatedColumnFormula>
    </tableColumn>
    <tableColumn id="7" xr3:uid="{00000000-0010-0000-1000-000007000000}" name="سعر الشبك " dataDxfId="1352" totalsRowDxfId="1351"/>
    <tableColumn id="8" xr3:uid="{00000000-0010-0000-1000-000008000000}" name="اجمالي" totalsRowFunction="sum" dataDxfId="1350" totalsRowDxfId="1349">
      <calculatedColumnFormula>B36*Table1319[[#This Row],[سعر الكيلو]]</calculatedColumnFormula>
    </tableColumn>
    <tableColumn id="9" xr3:uid="{00000000-0010-0000-1000-000009000000}" name="%" totalsRowFunction="custom" totalsRowDxfId="134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7" totalsRowDxfId="1346"/>
    <tableColumn id="2" xr3:uid="{00000000-0010-0000-1100-000002000000}" name="عدد" dataDxfId="1345" totalsRowDxfId="1344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3" totalsRowDxfId="1342"/>
    <tableColumn id="11" xr3:uid="{00000000-0010-0000-1100-00000B000000}" name="Column2" dataDxfId="1341" totalsRowDxfId="1340"/>
    <tableColumn id="10" xr3:uid="{00000000-0010-0000-1100-00000A000000}" name="Column1" dataDxfId="1339" totalsRowDxfId="1338"/>
    <tableColumn id="12" xr3:uid="{00000000-0010-0000-1100-00000C000000}" name="Column12" totalsRowFunction="sum" dataDxfId="1337" totalsRowDxfId="133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35" totalsRowDxfId="1334"/>
    <tableColumn id="5" xr3:uid="{00000000-0010-0000-1100-000005000000}" name="الوزن" totalsRowFunction="custom" dataDxfId="1333" totalsRowDxfId="1332">
      <totalsRowFormula>H13*B13+H14*B14</totalsRowFormula>
    </tableColumn>
    <tableColumn id="6" xr3:uid="{00000000-0010-0000-1100-000006000000}" name="سعر الكيلو" totalsRowFunction="sum" dataDxfId="1331" totalsRowDxfId="1330">
      <calculatedColumnFormula>Table1421[[#This Row],[الوزن]]*Table1421[[#This Row],[عدد]]</calculatedColumnFormula>
    </tableColumn>
    <tableColumn id="7" xr3:uid="{00000000-0010-0000-1100-000007000000}" name="سعر الشبك " dataDxfId="1329" totalsRowDxfId="1328">
      <calculatedColumnFormula>H13*$I$2/1000</calculatedColumnFormula>
    </tableColumn>
    <tableColumn id="8" xr3:uid="{00000000-0010-0000-1100-000008000000}" name="اجمالي" totalsRowFunction="sum" dataDxfId="1327" totalsRowDxfId="1326">
      <calculatedColumnFormula>B13*J13</calculatedColumnFormula>
    </tableColumn>
    <tableColumn id="9" xr3:uid="{00000000-0010-0000-1100-000009000000}" name="%" totalsRowFunction="custom" totalsRowDxfId="1325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24" totalsRowDxfId="1323"/>
    <tableColumn id="2" xr3:uid="{00000000-0010-0000-1200-000002000000}" name="عدد" dataDxfId="1322" totalsRowDxfId="1321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20" totalsRowDxfId="1319"/>
    <tableColumn id="11" xr3:uid="{00000000-0010-0000-1200-00000B000000}" name="Column2" dataDxfId="1318" totalsRowDxfId="1317"/>
    <tableColumn id="10" xr3:uid="{00000000-0010-0000-1200-00000A000000}" name="Column1" dataDxfId="1316" totalsRowDxfId="1315"/>
    <tableColumn id="12" xr3:uid="{00000000-0010-0000-1200-00000C000000}" name="Column12" dataDxfId="1314" totalsRowDxfId="1313"/>
    <tableColumn id="4" xr3:uid="{00000000-0010-0000-1200-000004000000}" name="الوحده" dataDxfId="1312" totalsRowDxfId="1311"/>
    <tableColumn id="5" xr3:uid="{00000000-0010-0000-1200-000005000000}" name="الوزن" dataDxfId="1310" totalsRowDxfId="1309"/>
    <tableColumn id="6" xr3:uid="{00000000-0010-0000-1200-000006000000}" name="سعر الكيلو" dataDxfId="1308" totalsRowDxfId="1307"/>
    <tableColumn id="7" xr3:uid="{00000000-0010-0000-1200-000007000000}" name="سعر الشبك " dataDxfId="1306" totalsRowDxfId="1305">
      <calculatedColumnFormula>Sheet2!B22</calculatedColumnFormula>
    </tableColumn>
    <tableColumn id="8" xr3:uid="{00000000-0010-0000-1200-000008000000}" name="اجمالي" totalsRowFunction="sum" dataDxfId="1304" totalsRowDxfId="1303">
      <calculatedColumnFormula>B18*J18</calculatedColumnFormula>
    </tableColumn>
    <tableColumn id="9" xr3:uid="{00000000-0010-0000-1200-000009000000}" name="%" totalsRowFunction="custom" totalsRowDxfId="1302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01"/>
    <tableColumn id="2" xr3:uid="{00000000-0010-0000-1300-000002000000}" name="عدد" totalsRowFunction="count" dataDxfId="1300">
      <calculatedColumnFormula>B30*4</calculatedColumnFormula>
    </tableColumn>
    <tableColumn id="3" xr3:uid="{00000000-0010-0000-1300-000003000000}" name="بيان" totalsRowLabel="Total" dataDxfId="1299"/>
    <tableColumn id="11" xr3:uid="{00000000-0010-0000-1300-00000B000000}" name="Column2" dataDxfId="1298"/>
    <tableColumn id="10" xr3:uid="{00000000-0010-0000-1300-00000A000000}" name="Column1" dataDxfId="1297"/>
    <tableColumn id="12" xr3:uid="{00000000-0010-0000-1300-00000C000000}" name="Column12" totalsRowFunction="sum" dataDxfId="129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29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294">
      <calculatedColumnFormula>$H$2/1000</calculatedColumnFormula>
    </tableColumn>
    <tableColumn id="7" xr3:uid="{00000000-0010-0000-1300-000007000000}" name="سعر الشبك " dataDxfId="1293">
      <calculatedColumnFormula>H31*$H$2/1000</calculatedColumnFormula>
    </tableColumn>
    <tableColumn id="8" xr3:uid="{00000000-0010-0000-1300-000008000000}" name="اجمالي" totalsRowFunction="sum" dataDxfId="1292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291"/>
    <tableColumn id="2" xr3:uid="{00000000-0010-0000-1400-000002000000}" name="المعدل" dataDxfId="1290"/>
    <tableColumn id="3" xr3:uid="{00000000-0010-0000-1400-000003000000}" name="الوحدة" dataDxfId="1289"/>
    <tableColumn id="4" xr3:uid="{00000000-0010-0000-1400-000004000000}" name="Column4" dataDxfId="128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28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285"/>
    <tableColumn id="11" xr3:uid="{00000000-0010-0000-1500-00000B000000}" name="Column2" dataDxfId="1284"/>
    <tableColumn id="10" xr3:uid="{00000000-0010-0000-1500-00000A000000}" name="Column1" dataDxfId="1283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1279"/>
    <tableColumn id="7" xr3:uid="{00000000-0010-0000-1500-000007000000}" name="سعر الشبك " dataDxfId="1278">
      <calculatedColumnFormula>Sheet2!B31</calculatedColumnFormula>
    </tableColumn>
    <tableColumn id="8" xr3:uid="{00000000-0010-0000-1500-000008000000}" name="اجمالي" totalsRowFunction="sum" dataDxfId="1277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276" totalsRowDxfId="1275"/>
    <tableColumn id="2" xr3:uid="{00000000-0010-0000-1600-000002000000}" name="عدد" dataDxfId="1274" totalsRowDxfId="1273">
      <calculatedColumnFormula>IF((F80="الاسكندرية"),0.25,0.1)</calculatedColumnFormula>
    </tableColumn>
    <tableColumn id="3" xr3:uid="{00000000-0010-0000-1600-000003000000}" name="بيان برجولا رويال" totalsRowLabel="Total" dataDxfId="1272" totalsRowDxfId="1271"/>
    <tableColumn id="12" xr3:uid="{00000000-0010-0000-1600-00000C000000}" name="Column12" totalsRowFunction="sum" dataDxfId="1270" totalsRowDxfId="1269"/>
    <tableColumn id="5" xr3:uid="{00000000-0010-0000-1600-000005000000}" name="Column1" dataDxfId="1268" totalsRowDxfId="1267"/>
    <tableColumn id="11" xr3:uid="{00000000-0010-0000-1600-00000B000000}" name="العرض" dataDxfId="1266" totalsRowDxfId="1265"/>
    <tableColumn id="10" xr3:uid="{00000000-0010-0000-1600-00000A000000}" name="الامتداد" dataDxfId="1264" totalsRowDxfId="1263"/>
    <tableColumn id="4" xr3:uid="{00000000-0010-0000-1600-000004000000}" name="سعر المتر" dataDxfId="1262" totalsRowDxfId="1261"/>
    <tableColumn id="6" xr3:uid="{00000000-0010-0000-1600-000006000000}" name="Column2" dataDxfId="1260" totalsRowDxfId="1259"/>
    <tableColumn id="7" xr3:uid="{00000000-0010-0000-1600-000007000000}" name="سعر البرجولا كاملة" dataDxfId="1258" totalsRowDxfId="1257">
      <calculatedColumnFormula>K58</calculatedColumnFormula>
    </tableColumn>
    <tableColumn id="8" xr3:uid="{00000000-0010-0000-1600-000008000000}" name="اجمالي" totalsRowFunction="sum" dataDxfId="1256" totalsRowDxfId="1255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254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253" totalsRowDxfId="1252"/>
    <tableColumn id="2" xr3:uid="{00000000-0010-0000-1700-000002000000}" name="عدد" dataDxfId="1251" totalsRowDxfId="1250">
      <calculatedColumnFormula>B66</calculatedColumnFormula>
    </tableColumn>
    <tableColumn id="3" xr3:uid="{00000000-0010-0000-1700-000003000000}" name="بيان" totalsRowLabel="Total" dataDxfId="1249" totalsRowDxfId="1248"/>
    <tableColumn id="5" xr3:uid="{00000000-0010-0000-1700-000005000000}" name="اليومية / الاجرة" dataDxfId="1247" totalsRowDxfId="1246"/>
    <tableColumn id="6" xr3:uid="{00000000-0010-0000-1700-000006000000}" name="بدل الوجبة" dataDxfId="1245" totalsRowDxfId="1244"/>
    <tableColumn id="11" xr3:uid="{00000000-0010-0000-1700-00000B000000}" name="موقع العمل" dataDxfId="1243" totalsRowDxfId="1242">
      <calculatedColumnFormula>تسعير!$T$24</calculatedColumnFormula>
    </tableColumn>
    <tableColumn id="10" xr3:uid="{00000000-0010-0000-1700-00000A000000}" name="شيفت العمل" dataDxfId="1241" totalsRowDxfId="1240"/>
    <tableColumn id="12" xr3:uid="{00000000-0010-0000-1700-00000C000000}" name="Column12" totalsRowFunction="sum" dataDxfId="1239" totalsRowDxfId="1238">
      <calculatedColumnFormula>SUMIF(Table1731[Column1],Table161229[[#This Row],[موقع العمل]],$T$2:$T$26)</calculatedColumnFormula>
    </tableColumn>
    <tableColumn id="4" xr3:uid="{00000000-0010-0000-1700-000004000000}" name="عدد الايام" dataDxfId="1237" totalsRowDxfId="1236"/>
    <tableColumn id="7" xr3:uid="{00000000-0010-0000-1700-000007000000}" name="اجمالي التكلفة للعامل" dataDxfId="1235" totalsRowDxfId="1234">
      <calculatedColumnFormula>Table161229[[#This Row],[Column12]]</calculatedColumnFormula>
    </tableColumn>
    <tableColumn id="8" xr3:uid="{00000000-0010-0000-1700-000008000000}" name="اجمالي" totalsRowFunction="sum" dataDxfId="1233" totalsRowDxfId="1232">
      <calculatedColumnFormula>B69*J69</calculatedColumnFormula>
    </tableColumn>
    <tableColumn id="9" xr3:uid="{00000000-0010-0000-1700-000009000000}" name="%" totalsRowFunction="custom" totalsRowDxfId="1231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 dataDxfId="1600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 dataDxfId="1599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598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230" totalsRowDxfId="1229"/>
    <tableColumn id="2" xr3:uid="{00000000-0010-0000-1800-000002000000}" name="عدد" dataDxfId="1228" totalsRowDxfId="1227">
      <calculatedColumnFormula>IF((تسعير!T25="جلفنة +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226" totalsRowDxfId="1225"/>
    <tableColumn id="11" xr3:uid="{00000000-0010-0000-1800-00000B000000}" name="Column2" dataDxfId="1224" totalsRowDxfId="1223"/>
    <tableColumn id="10" xr3:uid="{00000000-0010-0000-1800-00000A000000}" name="Column1" dataDxfId="1222" totalsRowDxfId="1221"/>
    <tableColumn id="12" xr3:uid="{00000000-0010-0000-1800-00000C000000}" name="Column12" totalsRowFunction="sum" dataDxfId="1220" totalsRowDxfId="1219"/>
    <tableColumn id="4" xr3:uid="{00000000-0010-0000-1800-000004000000}" name="الوحده" dataDxfId="1218" totalsRowDxfId="1217"/>
    <tableColumn id="5" xr3:uid="{00000000-0010-0000-1800-000005000000}" name="الوزن" dataDxfId="1216" totalsRowDxfId="1215"/>
    <tableColumn id="6" xr3:uid="{00000000-0010-0000-1800-000006000000}" name="سعر الكيلو" dataDxfId="1214" totalsRowDxfId="1213"/>
    <tableColumn id="7" xr3:uid="{00000000-0010-0000-1800-000007000000}" name="سعر الشبك " dataDxfId="1212" totalsRowDxfId="1211"/>
    <tableColumn id="8" xr3:uid="{00000000-0010-0000-1800-000008000000}" name="اجمالي" totalsRowFunction="sum" dataDxfId="1210" totalsRowDxfId="1209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207"/>
    <tableColumn id="2" xr3:uid="{00000000-0010-0000-1900-000002000000}" name="خارجي" dataDxfId="1206"/>
    <tableColumn id="3" xr3:uid="{00000000-0010-0000-1900-000003000000}" name="داخلي" dataDxfId="1205"/>
    <tableColumn id="4" xr3:uid="{00000000-0010-0000-1900-000004000000}" name="بدل الوجبة" dataDxfId="1204"/>
    <tableColumn id="5" xr3:uid="{00000000-0010-0000-1900-000005000000}" name="دبابة" dataDxfId="1203"/>
    <tableColumn id="6" xr3:uid="{00000000-0010-0000-1900-000006000000}" name="جامبو" dataDxfId="1202"/>
    <tableColumn id="7" xr3:uid="{00000000-0010-0000-1900-000007000000}" name="الاقامة" dataDxfId="1201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200"/>
    <tableColumn id="4" xr3:uid="{00000000-0010-0000-1A00-000004000000}" name="Column22" dataDxfId="1199"/>
    <tableColumn id="5" xr3:uid="{00000000-0010-0000-1A00-000005000000}" name="Column23" dataDxfId="1198"/>
    <tableColumn id="3" xr3:uid="{00000000-0010-0000-1A00-000003000000}" name="Column3" dataDxfId="1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195" totalsRowDxfId="1194"/>
    <tableColumn id="6" xr3:uid="{00000000-0010-0000-1B00-000006000000}" name="الطول بالمتر" dataDxfId="1193" totalsRowDxfId="1192"/>
    <tableColumn id="5" xr3:uid="{00000000-0010-0000-1B00-000005000000}" name="وزن المتر " dataDxfId="1191" totalsRowDxfId="1190"/>
    <tableColumn id="4" xr3:uid="{00000000-0010-0000-1B00-000004000000}" name="سعر الكيلو" dataDxfId="1189" totalsRowDxfId="1188"/>
    <tableColumn id="3" xr3:uid="{00000000-0010-0000-1B00-000003000000}" name="اجمالي عدد " totalsRowFunction="custom" totalsRowDxfId="1187">
      <totalsRowFormula>Table8[[#Totals],[اجمالي التكلفة]]/B1</totalsRowFormula>
    </tableColumn>
    <tableColumn id="2" xr3:uid="{00000000-0010-0000-1B00-000002000000}" name="اجمالي التكلفة" totalsRowFunction="sum" dataDxfId="1186" totalsRowDxfId="1185">
      <calculatedColumnFormula>B3*D3</calculatedColumnFormula>
    </tableColumn>
    <tableColumn id="9" xr3:uid="{00000000-0010-0000-1B00-000009000000}" name="Column1" dataDxfId="1184" totalsRowDxfId="1183"/>
    <tableColumn id="10" xr3:uid="{00000000-0010-0000-1B00-00000A000000}" name="Column2" dataDxfId="1182" totalsRowDxfId="1181"/>
    <tableColumn id="11" xr3:uid="{00000000-0010-0000-1B00-00000B000000}" name="Column3" dataDxfId="1180" totalsRowDxfId="1179"/>
    <tableColumn id="12" xr3:uid="{00000000-0010-0000-1B00-00000C000000}" name="Column4" dataDxfId="1178" totalsRowDxfId="117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176" totalsRowDxfId="1175"/>
    <tableColumn id="2" xr3:uid="{00000000-0010-0000-1C00-000002000000}" name="عدد" dataDxfId="1174" totalsRowDxfId="1173"/>
    <tableColumn id="3" xr3:uid="{00000000-0010-0000-1C00-000003000000}" name="بيان" totalsRowLabel="Total" dataDxfId="1172" totalsRowDxfId="1171"/>
    <tableColumn id="11" xr3:uid="{00000000-0010-0000-1C00-00000B000000}" name="Column2" dataDxfId="1170" totalsRowDxfId="1169"/>
    <tableColumn id="10" xr3:uid="{00000000-0010-0000-1C00-00000A000000}" name="Column1" dataDxfId="1168" totalsRowDxfId="1167"/>
    <tableColumn id="12" xr3:uid="{00000000-0010-0000-1C00-00000C000000}" name="Column12" dataDxfId="1166" totalsRowDxfId="1165"/>
    <tableColumn id="4" xr3:uid="{00000000-0010-0000-1C00-000004000000}" name="الوحده" totalsRowLabel="total" dataDxfId="1164" totalsRowDxfId="1163"/>
    <tableColumn id="5" xr3:uid="{00000000-0010-0000-1C00-000005000000}" name="الوزن" dataDxfId="1162" totalsRowDxfId="1161"/>
    <tableColumn id="6" xr3:uid="{00000000-0010-0000-1C00-000006000000}" name="سعر الكيلو" dataDxfId="1160" totalsRowDxfId="1159"/>
    <tableColumn id="7" xr3:uid="{00000000-0010-0000-1C00-000007000000}" name="سعر الشبك " dataDxfId="1158" totalsRowDxfId="1157">
      <calculatedColumnFormula>Sheet2!B2</calculatedColumnFormula>
    </tableColumn>
    <tableColumn id="8" xr3:uid="{00000000-0010-0000-1C00-000008000000}" name="اجمالي" totalsRowFunction="sum" dataDxfId="1156" totalsRowDxfId="1155">
      <calculatedColumnFormula>M26*U26</calculatedColumnFormula>
    </tableColumn>
    <tableColumn id="9" xr3:uid="{00000000-0010-0000-1C00-000009000000}" name="%" totalsRowFunction="custom" totalsRowDxfId="11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153" totalsRowDxfId="1152"/>
    <tableColumn id="2" xr3:uid="{00000000-0010-0000-1D00-000002000000}" name="عدد" dataDxfId="1151" totalsRowDxfId="1150"/>
    <tableColumn id="3" xr3:uid="{00000000-0010-0000-1D00-000003000000}" name="بيان" totalsRowLabel="Total" dataDxfId="1149" totalsRowDxfId="1148"/>
    <tableColumn id="11" xr3:uid="{00000000-0010-0000-1D00-00000B000000}" name="Column2" dataDxfId="1147" totalsRowDxfId="1146"/>
    <tableColumn id="10" xr3:uid="{00000000-0010-0000-1D00-00000A000000}" name="Column1" dataDxfId="1145" totalsRowDxfId="1144"/>
    <tableColumn id="12" xr3:uid="{00000000-0010-0000-1D00-00000C000000}" name="Column12" dataDxfId="1143" totalsRowDxfId="1142"/>
    <tableColumn id="4" xr3:uid="{00000000-0010-0000-1D00-000004000000}" name="الوحده" dataDxfId="1141" totalsRowDxfId="1140"/>
    <tableColumn id="5" xr3:uid="{00000000-0010-0000-1D00-000005000000}" name="الوزن" dataDxfId="1139" totalsRowDxfId="1138"/>
    <tableColumn id="6" xr3:uid="{00000000-0010-0000-1D00-000006000000}" name="سعر الكيلو" dataDxfId="1137" totalsRowDxfId="1136"/>
    <tableColumn id="7" xr3:uid="{00000000-0010-0000-1D00-000007000000}" name="سعر الشبك " dataDxfId="1135" totalsRowDxfId="1134">
      <calculatedColumnFormula>Sheet2!B24</calculatedColumnFormula>
    </tableColumn>
    <tableColumn id="8" xr3:uid="{00000000-0010-0000-1D00-000008000000}" name="اجمالي" totalsRowFunction="sum" dataDxfId="1133" totalsRowDxfId="1132">
      <calculatedColumnFormula>M11*U11</calculatedColumnFormula>
    </tableColumn>
    <tableColumn id="9" xr3:uid="{00000000-0010-0000-1D00-000009000000}" name="%" totalsRowFunction="custom" totalsRowDxfId="113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130"/>
    <tableColumn id="2" xr3:uid="{00000000-0010-0000-1E00-000002000000}" name="عدد" totalsRowFunction="count" dataDxfId="1129">
      <calculatedColumnFormula>M20*4</calculatedColumnFormula>
    </tableColumn>
    <tableColumn id="3" xr3:uid="{00000000-0010-0000-1E00-000003000000}" name="بيان" totalsRowLabel="Total" dataDxfId="1128"/>
    <tableColumn id="11" xr3:uid="{00000000-0010-0000-1E00-00000B000000}" name="Column2" dataDxfId="1127"/>
    <tableColumn id="10" xr3:uid="{00000000-0010-0000-1E00-00000A000000}" name="Column1" dataDxfId="1126"/>
    <tableColumn id="12" xr3:uid="{00000000-0010-0000-1E00-00000C000000}" name="Column12" totalsRowFunction="sum" dataDxfId="112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12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123"/>
    <tableColumn id="7" xr3:uid="{00000000-0010-0000-1E00-000007000000}" name="سعر الشبك " dataDxfId="1122">
      <calculatedColumnFormula>S21*$S$2/1000</calculatedColumnFormula>
    </tableColumn>
    <tableColumn id="8" xr3:uid="{00000000-0010-0000-1E00-000008000000}" name="اجمالي" totalsRowFunction="sum" dataDxfId="112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120"/>
    <tableColumn id="2" xr3:uid="{00000000-0010-0000-1F00-000002000000}" name="المعدل" dataDxfId="1119"/>
    <tableColumn id="3" xr3:uid="{00000000-0010-0000-1F00-000003000000}" name="الوحدة" dataDxfId="1118"/>
    <tableColumn id="4" xr3:uid="{00000000-0010-0000-1F00-000004000000}" name="Column4" dataDxfId="1117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116"/>
    <tableColumn id="2" xr3:uid="{00000000-0010-0000-2000-000002000000}" name="Column2" dataDxfId="1115"/>
    <tableColumn id="3" xr3:uid="{00000000-0010-0000-2000-000003000000}" name="Column3" dataDxfId="1114"/>
    <tableColumn id="4" xr3:uid="{00000000-0010-0000-2000-000004000000}" name="Column4" dataDxfId="1113"/>
    <tableColumn id="5" xr3:uid="{00000000-0010-0000-2000-000005000000}" name="Column5" dataDxfId="111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111" totalsRowDxfId="1110"/>
    <tableColumn id="2" xr3:uid="{00000000-0010-0000-2100-000002000000}" name="عدد" dataDxfId="1109" totalsRowDxfId="1108">
      <calculatedColumnFormula>IF((تسعير!$AT$12="بالتات"),0,M52-2)</calculatedColumnFormula>
    </tableColumn>
    <tableColumn id="3" xr3:uid="{00000000-0010-0000-2100-000003000000}" name="بيان" totalsRowLabel="Total" dataDxfId="1107" totalsRowDxfId="1106"/>
    <tableColumn id="5" xr3:uid="{00000000-0010-0000-2100-000005000000}" name="اليومية / الاجرة" dataDxfId="1105" totalsRowDxfId="1104"/>
    <tableColumn id="6" xr3:uid="{00000000-0010-0000-2100-000006000000}" name="بدل الوجبة" dataDxfId="1103" totalsRowDxfId="1102"/>
    <tableColumn id="11" xr3:uid="{00000000-0010-0000-2100-00000B000000}" name="موقع العمل" dataDxfId="1101" totalsRowDxfId="1100">
      <calculatedColumnFormula>تسعير!$AT$4</calculatedColumnFormula>
    </tableColumn>
    <tableColumn id="10" xr3:uid="{00000000-0010-0000-2100-00000A000000}" name="شيفت العمل" dataDxfId="1099" totalsRowDxfId="1098"/>
    <tableColumn id="12" xr3:uid="{00000000-0010-0000-2100-00000C000000}" name="Column12" totalsRowFunction="sum" dataDxfId="1097" totalsRowDxfId="1096">
      <calculatedColumnFormula>SUMIF(Table1769[Column1],Table161267[[#This Row],[موقع العمل]],$AE$2:$AE$8)</calculatedColumnFormula>
    </tableColumn>
    <tableColumn id="4" xr3:uid="{00000000-0010-0000-2100-000004000000}" name="عدد الايام" dataDxfId="1095" totalsRowDxfId="1094"/>
    <tableColumn id="7" xr3:uid="{00000000-0010-0000-2100-000007000000}" name="اجمالي التكلفة للعامل" dataDxfId="1093" totalsRowDxfId="1092">
      <calculatedColumnFormula>Table161267[[#This Row],[Column12]]</calculatedColumnFormula>
    </tableColumn>
    <tableColumn id="8" xr3:uid="{00000000-0010-0000-2100-000008000000}" name="اجمالي" totalsRowFunction="sum" dataDxfId="1091" totalsRowDxfId="1090">
      <calculatedColumnFormula>M55*U55</calculatedColumnFormula>
    </tableColumn>
    <tableColumn id="9" xr3:uid="{00000000-0010-0000-2100-000009000000}" name="%" totalsRowFunction="custom" totalsRowDxfId="108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 dataDxfId="1597" totalsRowDxfId="1596"/>
    <tableColumn id="2" xr3:uid="{00000000-0010-0000-0300-000002000000}" name="السعر" totalsRowFunction="sum" dataDxfId="1595" totalsRowDxfId="1594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088"/>
    <tableColumn id="2" xr3:uid="{00000000-0010-0000-2200-000002000000}" name="عدد" dataDxfId="1087">
      <calculatedColumnFormula>IF((Q65="الاسكندرية"),0.25,0.1)</calculatedColumnFormula>
    </tableColumn>
    <tableColumn id="3" xr3:uid="{00000000-0010-0000-2200-000003000000}" name="بيان" totalsRowLabel="Total" dataDxfId="1086"/>
    <tableColumn id="11" xr3:uid="{00000000-0010-0000-2200-00000B000000}" name="Column2" dataDxfId="1085"/>
    <tableColumn id="10" xr3:uid="{00000000-0010-0000-2200-00000A000000}" name="Column1" dataDxfId="1084"/>
    <tableColumn id="12" xr3:uid="{00000000-0010-0000-2200-00000C000000}" name="Column12" totalsRowFunction="sum" dataDxfId="1083"/>
    <tableColumn id="4" xr3:uid="{00000000-0010-0000-2200-000004000000}" name="الوحده" dataDxfId="1082"/>
    <tableColumn id="5" xr3:uid="{00000000-0010-0000-2200-000005000000}" name="الوزن" dataDxfId="1081"/>
    <tableColumn id="6" xr3:uid="{00000000-0010-0000-2200-000006000000}" name="سعر الكيلو" dataDxfId="1080"/>
    <tableColumn id="7" xr3:uid="{00000000-0010-0000-2200-000007000000}" name="سعر الشبك " dataDxfId="1079">
      <calculatedColumnFormula>V48</calculatedColumnFormula>
    </tableColumn>
    <tableColumn id="8" xr3:uid="{00000000-0010-0000-2200-000008000000}" name="اجمالي" totalsRowFunction="sum" dataDxfId="1078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077"/>
    <tableColumn id="2" xr3:uid="{00000000-0010-0000-2300-000002000000}" name="خارجي" dataDxfId="1076"/>
    <tableColumn id="3" xr3:uid="{00000000-0010-0000-2300-000003000000}" name="داخلي" dataDxfId="1075"/>
    <tableColumn id="4" xr3:uid="{00000000-0010-0000-2300-000004000000}" name="بدل الوجبة" dataDxfId="1074"/>
    <tableColumn id="5" xr3:uid="{00000000-0010-0000-2300-000005000000}" name="دبابة" dataDxfId="1073"/>
    <tableColumn id="6" xr3:uid="{00000000-0010-0000-2300-000006000000}" name="جامبو" dataDxfId="1072"/>
    <tableColumn id="7" xr3:uid="{00000000-0010-0000-2300-000007000000}" name="الاقامة" dataDxfId="107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070"/>
    <tableColumn id="4" xr3:uid="{00000000-0010-0000-2400-000004000000}" name="Column22" dataDxfId="1069"/>
    <tableColumn id="5" xr3:uid="{00000000-0010-0000-2400-000005000000}" name="Column23" dataDxfId="1068"/>
    <tableColumn id="3" xr3:uid="{00000000-0010-0000-2400-000003000000}" name="Column3" dataDxfId="106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06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065"/>
    <tableColumn id="2" xr3:uid="{00000000-0010-0000-2500-000002000000}" name="عدد" dataDxfId="1064">
      <calculatedColumnFormula>IF((N2="A1"),2,IF((N2="A2"),3,IF((N2="B1"),2.5,IF((N2="B2"),3,0))))</calculatedColumnFormula>
    </tableColumn>
    <tableColumn id="3" xr3:uid="{00000000-0010-0000-2500-000003000000}" name="بيان" totalsRowLabel="Total" dataDxfId="1063"/>
    <tableColumn id="11" xr3:uid="{00000000-0010-0000-2500-00000B000000}" name="Column2" dataDxfId="1062"/>
    <tableColumn id="10" xr3:uid="{00000000-0010-0000-2500-00000A000000}" name="Column1" dataDxfId="1061"/>
    <tableColumn id="12" xr3:uid="{00000000-0010-0000-2500-00000C000000}" name="المسطح" totalsRowFunction="sum" dataDxfId="1060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059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058">
      <calculatedColumnFormula>Table158[[#This Row],[المسطح]]*Table158[[#This Row],[عدد]]</calculatedColumnFormula>
    </tableColumn>
    <tableColumn id="7" xr3:uid="{00000000-0010-0000-2500-000007000000}" name="سعر الشبك " dataDxfId="1057">
      <calculatedColumnFormula>S6*$S$2/1000</calculatedColumnFormula>
    </tableColumn>
    <tableColumn id="8" xr3:uid="{00000000-0010-0000-2500-000008000000}" name="اجمالي" totalsRowFunction="sum" dataDxfId="105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055" totalsRowDxfId="1054"/>
    <tableColumn id="6" xr3:uid="{00000000-0010-0000-2600-000006000000}" name="الطول بالمتر" dataDxfId="1053" totalsRowDxfId="1052"/>
    <tableColumn id="5" xr3:uid="{00000000-0010-0000-2600-000005000000}" name="وزن المتر " dataDxfId="1051" totalsRowDxfId="1050"/>
    <tableColumn id="4" xr3:uid="{00000000-0010-0000-2600-000004000000}" name="سعر الكيلو" dataDxfId="1049" totalsRowDxfId="1048"/>
    <tableColumn id="3" xr3:uid="{00000000-0010-0000-2600-000003000000}" name="اجمالي عدد " totalsRowFunction="custom" totalsRowDxfId="104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1044" totalsRowDxfId="1043"/>
    <tableColumn id="10" xr3:uid="{00000000-0010-0000-2600-00000A000000}" name="Column2" dataDxfId="1042" totalsRowDxfId="1041"/>
    <tableColumn id="11" xr3:uid="{00000000-0010-0000-2600-00000B000000}" name="Column3" dataDxfId="1040" totalsRowDxfId="1039"/>
    <tableColumn id="12" xr3:uid="{00000000-0010-0000-2600-00000C000000}" name="Column4" dataDxfId="103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036" totalsRowDxfId="1035"/>
    <tableColumn id="2" xr3:uid="{00000000-0010-0000-2700-000002000000}" name="عدد" dataDxfId="1034" totalsRowDxfId="1033"/>
    <tableColumn id="3" xr3:uid="{00000000-0010-0000-2700-000003000000}" name="بيان" totalsRowLabel="Total" dataDxfId="1032" totalsRowDxfId="1031"/>
    <tableColumn id="11" xr3:uid="{00000000-0010-0000-2700-00000B000000}" name="Column2" dataDxfId="1030" totalsRowDxfId="1029"/>
    <tableColumn id="10" xr3:uid="{00000000-0010-0000-2700-00000A000000}" name="Column1" dataDxfId="1028" totalsRowDxfId="1027"/>
    <tableColumn id="12" xr3:uid="{00000000-0010-0000-2700-00000C000000}" name="Column12" dataDxfId="1026" totalsRowDxfId="1025"/>
    <tableColumn id="4" xr3:uid="{00000000-0010-0000-2700-000004000000}" name="الوحده" totalsRowLabel="total" dataDxfId="1024" totalsRowDxfId="1023"/>
    <tableColumn id="5" xr3:uid="{00000000-0010-0000-2700-000005000000}" name="الوزن" dataDxfId="1022" totalsRowDxfId="1021"/>
    <tableColumn id="6" xr3:uid="{00000000-0010-0000-2700-000006000000}" name="سعر الكيلو" dataDxfId="1020" totalsRowDxfId="1019"/>
    <tableColumn id="7" xr3:uid="{00000000-0010-0000-2700-000007000000}" name="سعر الشبك " dataDxfId="1018" totalsRowDxfId="1017">
      <calculatedColumnFormula>Sheet2!B2</calculatedColumnFormula>
    </tableColumn>
    <tableColumn id="8" xr3:uid="{00000000-0010-0000-2700-000008000000}" name="اجمالي" totalsRowFunction="sum" dataDxfId="1016" totalsRowDxfId="1015">
      <calculatedColumnFormula>M26*U26</calculatedColumnFormula>
    </tableColumn>
    <tableColumn id="9" xr3:uid="{00000000-0010-0000-2700-000009000000}" name="%" totalsRowFunction="custom" totalsRowDxfId="10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013" totalsRowDxfId="1012"/>
    <tableColumn id="2" xr3:uid="{00000000-0010-0000-2800-000002000000}" name="عدد" dataDxfId="1011" totalsRowDxfId="1010"/>
    <tableColumn id="3" xr3:uid="{00000000-0010-0000-2800-000003000000}" name="بيان" totalsRowLabel="Total" dataDxfId="1009" totalsRowDxfId="1008"/>
    <tableColumn id="11" xr3:uid="{00000000-0010-0000-2800-00000B000000}" name="Column2" dataDxfId="1007" totalsRowDxfId="1006"/>
    <tableColumn id="10" xr3:uid="{00000000-0010-0000-2800-00000A000000}" name="Column1" dataDxfId="1005" totalsRowDxfId="1004"/>
    <tableColumn id="12" xr3:uid="{00000000-0010-0000-2800-00000C000000}" name="Column12" dataDxfId="1003" totalsRowDxfId="1002"/>
    <tableColumn id="4" xr3:uid="{00000000-0010-0000-2800-000004000000}" name="الوحده" dataDxfId="1001" totalsRowDxfId="1000"/>
    <tableColumn id="5" xr3:uid="{00000000-0010-0000-2800-000005000000}" name="الوزن" dataDxfId="999" totalsRowDxfId="998"/>
    <tableColumn id="6" xr3:uid="{00000000-0010-0000-2800-000006000000}" name="سعر الكيلو" dataDxfId="997" totalsRowDxfId="996"/>
    <tableColumn id="7" xr3:uid="{00000000-0010-0000-2800-000007000000}" name="سعر الشبك " dataDxfId="995" totalsRowDxfId="994">
      <calculatedColumnFormula>Sheet2!B24</calculatedColumnFormula>
    </tableColumn>
    <tableColumn id="8" xr3:uid="{00000000-0010-0000-2800-000008000000}" name="اجمالي" totalsRowFunction="sum" dataDxfId="993" totalsRowDxfId="992">
      <calculatedColumnFormula>M11*U11</calculatedColumnFormula>
    </tableColumn>
    <tableColumn id="9" xr3:uid="{00000000-0010-0000-2800-000009000000}" name="%" totalsRowFunction="custom" totalsRowDxfId="9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990"/>
    <tableColumn id="2" xr3:uid="{00000000-0010-0000-2900-000002000000}" name="عدد" totalsRowFunction="count" dataDxfId="989">
      <calculatedColumnFormula>M20*4</calculatedColumnFormula>
    </tableColumn>
    <tableColumn id="3" xr3:uid="{00000000-0010-0000-2900-000003000000}" name="بيان" totalsRowLabel="Total" dataDxfId="988"/>
    <tableColumn id="11" xr3:uid="{00000000-0010-0000-2900-00000B000000}" name="Column2" dataDxfId="987"/>
    <tableColumn id="10" xr3:uid="{00000000-0010-0000-2900-00000A000000}" name="Column1" dataDxfId="986"/>
    <tableColumn id="12" xr3:uid="{00000000-0010-0000-2900-00000C000000}" name="Column12" totalsRowFunction="sum" dataDxfId="9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98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983"/>
    <tableColumn id="7" xr3:uid="{00000000-0010-0000-2900-000007000000}" name="سعر الشبك " dataDxfId="982">
      <calculatedColumnFormula>S21*$S$2/1000</calculatedColumnFormula>
    </tableColumn>
    <tableColumn id="8" xr3:uid="{00000000-0010-0000-2900-000008000000}" name="اجمالي" totalsRowFunction="sum" dataDxfId="98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980"/>
    <tableColumn id="2" xr3:uid="{00000000-0010-0000-2A00-000002000000}" name="المعدل" dataDxfId="979"/>
    <tableColumn id="3" xr3:uid="{00000000-0010-0000-2A00-000003000000}" name="الوحدة" dataDxfId="978"/>
    <tableColumn id="4" xr3:uid="{00000000-0010-0000-2A00-000004000000}" name="Column4" dataDxfId="977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976" totalsRowDxfId="975"/>
    <tableColumn id="2" xr3:uid="{00000000-0010-0000-2B00-000002000000}" name="عدد" dataDxfId="974" totalsRowDxfId="973">
      <calculatedColumnFormula>IF((تسعير!$BF$14="بالتات"),0,M52-2)</calculatedColumnFormula>
    </tableColumn>
    <tableColumn id="3" xr3:uid="{00000000-0010-0000-2B00-000003000000}" name="بيان" totalsRowLabel="Total" dataDxfId="972" totalsRowDxfId="971"/>
    <tableColumn id="5" xr3:uid="{00000000-0010-0000-2B00-000005000000}" name="اليومية / الاجرة" dataDxfId="970" totalsRowDxfId="969"/>
    <tableColumn id="6" xr3:uid="{00000000-0010-0000-2B00-000006000000}" name="بدل الوجبة" dataDxfId="968" totalsRowDxfId="967"/>
    <tableColumn id="11" xr3:uid="{00000000-0010-0000-2B00-00000B000000}" name="موقع العمل" dataDxfId="966" totalsRowDxfId="965">
      <calculatedColumnFormula>تسعير!$BE$4</calculatedColumnFormula>
    </tableColumn>
    <tableColumn id="10" xr3:uid="{00000000-0010-0000-2B00-00000A000000}" name="شيفت العمل" dataDxfId="964" totalsRowDxfId="963"/>
    <tableColumn id="12" xr3:uid="{00000000-0010-0000-2B00-00000C000000}" name="Column12" totalsRowFunction="sum" dataDxfId="962" totalsRowDxfId="961"/>
    <tableColumn id="4" xr3:uid="{00000000-0010-0000-2B00-000004000000}" name="عدد الايام" dataDxfId="960" totalsRowDxfId="959"/>
    <tableColumn id="7" xr3:uid="{00000000-0010-0000-2B00-000007000000}" name="اجمالي التكلفة للعامل" dataDxfId="958" totalsRowDxfId="957">
      <calculatedColumnFormula>Table16126744[[#This Row],[Column12]]</calculatedColumnFormula>
    </tableColumn>
    <tableColumn id="8" xr3:uid="{00000000-0010-0000-2B00-000008000000}" name="اجمالي" totalsRowFunction="sum" dataDxfId="956" totalsRowDxfId="955">
      <calculatedColumnFormula>M55*U55</calculatedColumnFormula>
    </tableColumn>
    <tableColumn id="9" xr3:uid="{00000000-0010-0000-2B00-000009000000}" name="%" totalsRowFunction="custom" totalsRowDxfId="9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14" dataDxfId="1613">
  <autoFilter ref="AH59:AL60" xr:uid="{F536301D-E310-4931-B653-AD9E1B7B09D3}"/>
  <tableColumns count="5">
    <tableColumn id="1" xr3:uid="{B66822DD-66EA-47D6-AC82-0B29ADD627D6}" name="المنتج" dataDxfId="1612"/>
    <tableColumn id="2" xr3:uid="{AE833311-1057-4EA5-AA4E-EE00ACCD3B4E}" name="العرض" dataDxfId="1611"/>
    <tableColumn id="3" xr3:uid="{31367D99-4075-4A3C-BDF9-E043012B0CE2}" name="الامتداد" dataDxfId="1610"/>
    <tableColumn id="4" xr3:uid="{9BAFA9A6-E27F-4459-96B4-2DA640D3F881}" name="لون الشاسية" dataDxfId="1609"/>
    <tableColumn id="5" xr3:uid="{6FCA19AB-1A7F-4808-8A43-2747203A7904}" name="لون  السيستم / اللوفرز" dataDxfId="1608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953"/>
    <tableColumn id="2" xr3:uid="{00000000-0010-0000-2C00-000002000000}" name="عدد" dataDxfId="952">
      <calculatedColumnFormula>IF((Q65="الاسكندرية"),0.25,0.1)</calculatedColumnFormula>
    </tableColumn>
    <tableColumn id="3" xr3:uid="{00000000-0010-0000-2C00-000003000000}" name="بيان" totalsRowLabel="Total" dataDxfId="951"/>
    <tableColumn id="11" xr3:uid="{00000000-0010-0000-2C00-00000B000000}" name="Column2" dataDxfId="950"/>
    <tableColumn id="10" xr3:uid="{00000000-0010-0000-2C00-00000A000000}" name="Column1" dataDxfId="949"/>
    <tableColumn id="12" xr3:uid="{00000000-0010-0000-2C00-00000C000000}" name="Column12" totalsRowFunction="sum" dataDxfId="948"/>
    <tableColumn id="4" xr3:uid="{00000000-0010-0000-2C00-000004000000}" name="الوحده" dataDxfId="947"/>
    <tableColumn id="5" xr3:uid="{00000000-0010-0000-2C00-000005000000}" name="الوزن" dataDxfId="946"/>
    <tableColumn id="6" xr3:uid="{00000000-0010-0000-2C00-000006000000}" name="سعر الكيلو" dataDxfId="945"/>
    <tableColumn id="7" xr3:uid="{00000000-0010-0000-2C00-000007000000}" name="سعر الشبك " dataDxfId="944">
      <calculatedColumnFormula>V48</calculatedColumnFormula>
    </tableColumn>
    <tableColumn id="8" xr3:uid="{00000000-0010-0000-2C00-000008000000}" name="اجمالي" totalsRowFunction="sum" dataDxfId="9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42">
  <autoFilter ref="Y1:AE20" xr:uid="{00000000-0009-0000-0100-00002D000000}"/>
  <tableColumns count="7">
    <tableColumn id="1" xr3:uid="{00000000-0010-0000-2D00-000001000000}" name="Column1" dataDxfId="941"/>
    <tableColumn id="2" xr3:uid="{00000000-0010-0000-2D00-000002000000}" name="خارجي" dataDxfId="940"/>
    <tableColumn id="3" xr3:uid="{00000000-0010-0000-2D00-000003000000}" name="داخلي" dataDxfId="939"/>
    <tableColumn id="4" xr3:uid="{00000000-0010-0000-2D00-000004000000}" name="بدل الوجبة" dataDxfId="938"/>
    <tableColumn id="5" xr3:uid="{00000000-0010-0000-2D00-000005000000}" name="دبابة" dataDxfId="937"/>
    <tableColumn id="6" xr3:uid="{00000000-0010-0000-2D00-000006000000}" name="جامبو" dataDxfId="936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934"/>
    <tableColumn id="4" xr3:uid="{00000000-0010-0000-2E00-000004000000}" name="Column22" dataDxfId="933"/>
    <tableColumn id="5" xr3:uid="{00000000-0010-0000-2E00-000005000000}" name="Column23" dataDxfId="932"/>
    <tableColumn id="3" xr3:uid="{00000000-0010-0000-2E00-000003000000}" name="Column3" dataDxfId="93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93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929"/>
    <tableColumn id="2" xr3:uid="{00000000-0010-0000-2F00-000002000000}" name="عدد" dataDxfId="928">
      <calculatedColumnFormula>IF((N2="c1"),3,IF((N2="c2"),4,IF((N2="d1"),4,IF((N2="d2"),5,0))))</calculatedColumnFormula>
    </tableColumn>
    <tableColumn id="3" xr3:uid="{00000000-0010-0000-2F00-000003000000}" name="بيان" totalsRowLabel="Total" dataDxfId="927"/>
    <tableColumn id="11" xr3:uid="{00000000-0010-0000-2F00-00000B000000}" name="Column2" dataDxfId="926"/>
    <tableColumn id="10" xr3:uid="{00000000-0010-0000-2F00-00000A000000}" name="Column1" dataDxfId="925"/>
    <tableColumn id="12" xr3:uid="{00000000-0010-0000-2F00-00000C000000}" name="المسطح" totalsRowFunction="sum" dataDxfId="924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92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922"/>
    <tableColumn id="7" xr3:uid="{00000000-0010-0000-2F00-000007000000}" name="سعر الشبك " dataDxfId="921">
      <calculatedColumnFormula>S6*$S$2/1000</calculatedColumnFormula>
    </tableColumn>
    <tableColumn id="8" xr3:uid="{00000000-0010-0000-2F00-000008000000}" name="اجمالي" totalsRowFunction="sum" dataDxfId="92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918"/>
    <tableColumn id="4" xr3:uid="{00000000-0010-0000-3000-000004000000}" name="ميزان" dataDxfId="917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16"/>
    <tableColumn id="2" xr3:uid="{00000000-0010-0000-3100-000002000000}" name="Column2" dataDxfId="915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914" totalsRowDxfId="913"/>
    <tableColumn id="2" xr3:uid="{00000000-0010-0000-3200-000002000000}" name="عدد/الشمسية" dataDxfId="912" totalsRowDxfId="911"/>
    <tableColumn id="3" xr3:uid="{00000000-0010-0000-3200-000003000000}" name="سعر الوحدة" dataDxfId="910" totalsRowDxfId="909"/>
    <tableColumn id="4" xr3:uid="{00000000-0010-0000-3200-000004000000}" name="قيمة" totalsRowFunction="sum" dataDxfId="90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906"/>
    <tableColumn id="2" xr3:uid="{00000000-0010-0000-3300-000002000000}" name="امتار عادية" dataDxfId="905"/>
    <tableColumn id="4" xr3:uid="{00000000-0010-0000-3300-000004000000}" name="امتار single" dataDxfId="904"/>
    <tableColumn id="6" xr3:uid="{00000000-0010-0000-3300-000006000000}" name="امتار douple" dataDxfId="903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902"/>
    <tableColumn id="2" xr3:uid="{00000000-0010-0000-3400-000002000000}" name="Column2" dataDxfId="901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 dataDxfId="900"/>
    <tableColumn id="2" xr3:uid="{00000000-0010-0000-3500-000002000000}" name="Column2" dataDxfId="899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 tableBorderDxfId="1593">
  <autoFilter ref="O3:W21" xr:uid="{BC60BA97-1AA4-4A04-A314-EDA3FFC35F18}"/>
  <tableColumns count="9">
    <tableColumn id="1" xr3:uid="{07109B11-8AA1-414B-9EF2-0E53B92B6740}" name="م" totalsRowLabel="Total" dataDxfId="1592" totalsRowDxfId="1591"/>
    <tableColumn id="2" xr3:uid="{BFD71D91-82BE-4E36-ABA2-D621CC74A72F}" name="الصنف" dataDxfId="1590" totalsRowDxfId="1589"/>
    <tableColumn id="3" xr3:uid="{FA2200A0-4790-4626-B4EF-26AF375E7D08}" name="الوحده" dataDxfId="1588" totalsRowDxfId="1587"/>
    <tableColumn id="13" xr3:uid="{1B9DE2C2-E66F-49FF-BF0C-4005C087BC2A}" name="متطلبات انتاج الشمسيه 2.5" dataDxfId="1586" totalsRowDxfId="1585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1577">
      <calculatedColumnFormula>U4*S4</calculatedColumnFormula>
    </tableColumn>
    <tableColumn id="12" xr3:uid="{D07D845E-2930-453E-8278-6592A65F5FE9}" name="2.5" totalsRowFunction="sum" dataDxfId="1576" totalsRowDxfId="1575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8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92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91" totalsRowDxfId="890"/>
    <tableColumn id="2" xr3:uid="{00000000-0010-0000-3900-000002000000}" name="عدد/الشمسية" dataDxfId="889" totalsRowDxfId="888"/>
    <tableColumn id="3" xr3:uid="{00000000-0010-0000-3900-000003000000}" name="سعر الوحدة" dataDxfId="887" totalsRowDxfId="886"/>
    <tableColumn id="4" xr3:uid="{00000000-0010-0000-3900-000004000000}" name="قيمة" totalsRowFunction="sum" dataDxfId="885" totalsRowDxfId="884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83"/>
    <tableColumn id="2" xr3:uid="{00000000-0010-0000-3A00-000002000000}" name="امتار عادية" dataDxfId="882"/>
    <tableColumn id="4" xr3:uid="{00000000-0010-0000-3A00-000004000000}" name="امتار single" dataDxfId="881"/>
    <tableColumn id="6" xr3:uid="{00000000-0010-0000-3A00-000006000000}" name="امتار douple" dataDxfId="88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9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7"/>
    <tableColumn id="2" xr3:uid="{00000000-0010-0000-3C00-000002000000}" name="Column2" dataDxfId="876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5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72" totalsRowDxfId="871">
      <calculatedColumnFormula>ROUND((F4+F5)*0.4/3,0)</calculatedColumnFormula>
    </tableColumn>
    <tableColumn id="2" xr3:uid="{00000000-0010-0000-3E00-000002000000}" name="ميزان" dataDxfId="870" totalsRowDxfId="869"/>
    <tableColumn id="3" xr3:uid="{00000000-0010-0000-3E00-000003000000}" name="بيان" dataDxfId="868" totalsRowDxfId="867"/>
    <tableColumn id="4" xr3:uid="{00000000-0010-0000-3E00-000004000000}" name="سعر" dataDxfId="866" totalsRowDxfId="865"/>
    <tableColumn id="5" xr3:uid="{00000000-0010-0000-3E00-000005000000}" name="Column5" totalsRowFunction="sum" dataDxfId="864" totalsRowDxfId="86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8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 dataDxfId="861" totalsRowDxfId="860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859" totalsRowDxfId="858">
      <calculatedColumnFormula>I28</calculatedColumnFormula>
    </tableColumn>
    <tableColumn id="3" xr3:uid="{00000000-0010-0000-3F00-000003000000}" name="بيان" totalsRowLabel="Total" dataDxfId="857" totalsRowDxfId="856"/>
    <tableColumn id="5" xr3:uid="{00000000-0010-0000-3F00-000005000000}" name="اليومية / الاجرة" dataDxfId="855" totalsRowDxfId="854"/>
    <tableColumn id="6" xr3:uid="{00000000-0010-0000-3F00-000006000000}" name="بدل الوجبة" dataDxfId="853" totalsRowDxfId="852"/>
    <tableColumn id="11" xr3:uid="{00000000-0010-0000-3F00-00000B000000}" name="موقع العمل" dataDxfId="851" totalsRowDxfId="850">
      <calculatedColumnFormula>تسعير!$T$45</calculatedColumnFormula>
    </tableColumn>
    <tableColumn id="10" xr3:uid="{00000000-0010-0000-3F00-00000A000000}" name="شيفت العمل" dataDxfId="849" totalsRowDxfId="848"/>
    <tableColumn id="12" xr3:uid="{00000000-0010-0000-3F00-00000C000000}" name="Column12" totalsRowFunction="sum" dataDxfId="847" totalsRowDxfId="84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845" totalsRowDxfId="844"/>
    <tableColumn id="7" xr3:uid="{00000000-0010-0000-3F00-000007000000}" name="اجمالي التكلفة للعامل" dataDxfId="843" totalsRowDxfId="842">
      <calculatedColumnFormula>Table161243[[#This Row],[Column12]]</calculatedColumnFormula>
    </tableColumn>
    <tableColumn id="8" xr3:uid="{00000000-0010-0000-3F00-000008000000}" name="اجمالي" totalsRowFunction="sum" dataDxfId="841" totalsRowDxfId="840">
      <calculatedColumnFormula>I31*Q31</calculatedColumnFormula>
    </tableColumn>
    <tableColumn id="9" xr3:uid="{00000000-0010-0000-3F00-000009000000}" name="%" totalsRowFunction="custom" totalsRowDxfId="83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 dataDxfId="1573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dataDxfId="1572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838"/>
    <tableColumn id="4" xr3:uid="{00000000-0010-0000-4000-000004000000}" name="Column22" dataDxfId="837"/>
    <tableColumn id="5" xr3:uid="{00000000-0010-0000-4000-000005000000}" name="Column23" dataDxfId="836"/>
    <tableColumn id="3" xr3:uid="{00000000-0010-0000-4000-000003000000}" name="Column3" dataDxfId="835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83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 dataDxfId="831" totalsRowDxfId="830"/>
    <tableColumn id="3" xr3:uid="{00000000-0010-0000-4100-000003000000}" name="بيان" dataDxfId="829" totalsRowDxfId="828"/>
    <tableColumn id="4" xr3:uid="{00000000-0010-0000-4100-000004000000}" name="سعر" dataDxfId="827" totalsRowDxfId="826"/>
    <tableColumn id="5" xr3:uid="{00000000-0010-0000-4100-000005000000}" name="Column5" totalsRowFunction="sum" dataDxfId="825" totalsRowDxfId="824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82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 dataDxfId="822" totalsRowDxfId="821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820" totalsRowDxfId="819">
      <calculatedColumnFormula>I61</calculatedColumnFormula>
    </tableColumn>
    <tableColumn id="3" xr3:uid="{00000000-0010-0000-4200-000003000000}" name="بيان" totalsRowLabel="Total" dataDxfId="818" totalsRowDxfId="817"/>
    <tableColumn id="5" xr3:uid="{00000000-0010-0000-4200-000005000000}" name="اليومية / الاجرة" dataDxfId="816" totalsRowDxfId="815"/>
    <tableColumn id="6" xr3:uid="{00000000-0010-0000-4200-000006000000}" name="بدل الوجبة" dataDxfId="814" totalsRowDxfId="813"/>
    <tableColumn id="11" xr3:uid="{00000000-0010-0000-4200-00000B000000}" name="موقع العمل" dataDxfId="812" totalsRowDxfId="811">
      <calculatedColumnFormula>تسعير!$T$63</calculatedColumnFormula>
    </tableColumn>
    <tableColumn id="10" xr3:uid="{00000000-0010-0000-4200-00000A000000}" name="شيفت العمل" dataDxfId="810" totalsRowDxfId="809"/>
    <tableColumn id="12" xr3:uid="{00000000-0010-0000-4200-00000C000000}" name="Column12" totalsRowFunction="sum" dataDxfId="808" totalsRowDxfId="80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806" totalsRowDxfId="805"/>
    <tableColumn id="7" xr3:uid="{00000000-0010-0000-4200-000007000000}" name="اجمالي التكلفة للعامل" dataDxfId="804" totalsRowDxfId="803">
      <calculatedColumnFormula>Table16124360[[#This Row],[Column12]]</calculatedColumnFormula>
    </tableColumn>
    <tableColumn id="8" xr3:uid="{00000000-0010-0000-4200-000008000000}" name="اجمالي" totalsRowFunction="sum" dataDxfId="802" totalsRowDxfId="801">
      <calculatedColumnFormula>I64*Q64</calculatedColumnFormula>
    </tableColumn>
    <tableColumn id="9" xr3:uid="{00000000-0010-0000-4200-000009000000}" name="%" totalsRowFunction="custom" totalsRowDxfId="80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799"/>
    <tableColumn id="4" xr3:uid="{00000000-0010-0000-4300-000004000000}" name="Column22" dataDxfId="798"/>
    <tableColumn id="5" xr3:uid="{00000000-0010-0000-4300-000005000000}" name="Column23" dataDxfId="797"/>
    <tableColumn id="3" xr3:uid="{00000000-0010-0000-4300-000003000000}" name="Column3" dataDxfId="796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795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794" totalsRowDxfId="793"/>
    <tableColumn id="2" xr3:uid="{00000000-0010-0000-4400-000002000000}" name="عدد" dataDxfId="792" totalsRowDxfId="791"/>
    <tableColumn id="3" xr3:uid="{00000000-0010-0000-4400-000003000000}" name="بيان" totalsRowLabel="Total" dataDxfId="790" totalsRowDxfId="789"/>
    <tableColumn id="11" xr3:uid="{00000000-0010-0000-4400-00000B000000}" name="Column2" dataDxfId="788" totalsRowDxfId="787"/>
    <tableColumn id="10" xr3:uid="{00000000-0010-0000-4400-00000A000000}" name="Column1" dataDxfId="786" totalsRowDxfId="785"/>
    <tableColumn id="12" xr3:uid="{00000000-0010-0000-4400-00000C000000}" name="Column12" dataDxfId="784" totalsRowDxfId="783"/>
    <tableColumn id="4" xr3:uid="{00000000-0010-0000-4400-000004000000}" name="الوحده" totalsRowLabel="total" dataDxfId="782" totalsRowDxfId="781"/>
    <tableColumn id="5" xr3:uid="{00000000-0010-0000-4400-000005000000}" name="الوزن" dataDxfId="780" totalsRowDxfId="779"/>
    <tableColumn id="6" xr3:uid="{00000000-0010-0000-4400-000006000000}" name="سعر الكيلو" dataDxfId="778" totalsRowDxfId="777"/>
    <tableColumn id="7" xr3:uid="{00000000-0010-0000-4400-000007000000}" name="سعر الشبك " dataDxfId="776" totalsRowDxfId="775">
      <calculatedColumnFormula>Sheet2!B6</calculatedColumnFormula>
    </tableColumn>
    <tableColumn id="8" xr3:uid="{00000000-0010-0000-4400-000008000000}" name="اجمالي" totalsRowFunction="sum" dataDxfId="774" totalsRowDxfId="773">
      <calculatedColumnFormula>M28*U28</calculatedColumnFormula>
    </tableColumn>
    <tableColumn id="9" xr3:uid="{00000000-0010-0000-4400-000009000000}" name="%" totalsRowFunction="custom" totalsRowDxfId="77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771" totalsRowDxfId="770"/>
    <tableColumn id="2" xr3:uid="{00000000-0010-0000-4500-000002000000}" name="عدد" dataDxfId="769" totalsRowDxfId="768"/>
    <tableColumn id="3" xr3:uid="{00000000-0010-0000-4500-000003000000}" name="بيان" totalsRowLabel="Total" dataDxfId="767" totalsRowDxfId="766"/>
    <tableColumn id="11" xr3:uid="{00000000-0010-0000-4500-00000B000000}" name="Column2" dataDxfId="765" totalsRowDxfId="764"/>
    <tableColumn id="10" xr3:uid="{00000000-0010-0000-4500-00000A000000}" name="Column1" dataDxfId="763" totalsRowDxfId="762"/>
    <tableColumn id="12" xr3:uid="{00000000-0010-0000-4500-00000C000000}" name="Column12" dataDxfId="761" totalsRowDxfId="760"/>
    <tableColumn id="4" xr3:uid="{00000000-0010-0000-4500-000004000000}" name="الوحده" dataDxfId="759" totalsRowDxfId="758"/>
    <tableColumn id="5" xr3:uid="{00000000-0010-0000-4500-000005000000}" name="الوزن" dataDxfId="757" totalsRowDxfId="756"/>
    <tableColumn id="6" xr3:uid="{00000000-0010-0000-4500-000006000000}" name="سعر الكيلو" dataDxfId="755" totalsRowDxfId="754"/>
    <tableColumn id="7" xr3:uid="{00000000-0010-0000-4500-000007000000}" name="سعر الشبك " dataDxfId="753" totalsRowDxfId="752">
      <calculatedColumnFormula>Sheet2!B26</calculatedColumnFormula>
    </tableColumn>
    <tableColumn id="8" xr3:uid="{00000000-0010-0000-4500-000008000000}" name="اجمالي" totalsRowFunction="sum" dataDxfId="751" totalsRowDxfId="750">
      <calculatedColumnFormula>M14*U14</calculatedColumnFormula>
    </tableColumn>
    <tableColumn id="9" xr3:uid="{00000000-0010-0000-4500-000009000000}" name="%" totalsRowFunction="custom" totalsRowDxfId="74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748"/>
    <tableColumn id="2" xr3:uid="{00000000-0010-0000-4600-000002000000}" name="عدد" totalsRowFunction="count" dataDxfId="747">
      <calculatedColumnFormula>M20*4</calculatedColumnFormula>
    </tableColumn>
    <tableColumn id="3" xr3:uid="{00000000-0010-0000-4600-000003000000}" name="بيان" totalsRowLabel="Total" dataDxfId="746"/>
    <tableColumn id="11" xr3:uid="{00000000-0010-0000-4600-00000B000000}" name="Column2" dataDxfId="745"/>
    <tableColumn id="10" xr3:uid="{00000000-0010-0000-4600-00000A000000}" name="Column1" dataDxfId="744"/>
    <tableColumn id="12" xr3:uid="{00000000-0010-0000-4600-00000C000000}" name="Column12" totalsRowFunction="sum" dataDxfId="74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742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741"/>
    <tableColumn id="7" xr3:uid="{00000000-0010-0000-4600-000007000000}" name="سعر الشبك " dataDxfId="740">
      <calculatedColumnFormula>S22*$S$2/1000</calculatedColumnFormula>
    </tableColumn>
    <tableColumn id="8" xr3:uid="{00000000-0010-0000-4600-000008000000}" name="اجمالي" totalsRowFunction="sum" dataDxfId="739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738"/>
    <tableColumn id="2" xr3:uid="{00000000-0010-0000-4700-000002000000}" name="المعدل" dataDxfId="737"/>
    <tableColumn id="3" xr3:uid="{00000000-0010-0000-4700-000003000000}" name="الوحدة" dataDxfId="736"/>
    <tableColumn id="4" xr3:uid="{00000000-0010-0000-4700-000004000000}" name="Column4" dataDxfId="735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734"/>
    <tableColumn id="2" xr3:uid="{00000000-0010-0000-4800-000002000000}" name="Column2" dataDxfId="733"/>
    <tableColumn id="3" xr3:uid="{00000000-0010-0000-4800-000003000000}" name="Column3" dataDxfId="732"/>
    <tableColumn id="4" xr3:uid="{00000000-0010-0000-4800-000004000000}" name="Column4" dataDxfId="731"/>
    <tableColumn id="5" xr3:uid="{00000000-0010-0000-4800-000005000000}" name="Column5" dataDxfId="730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729" totalsRowDxfId="728"/>
    <tableColumn id="2" xr3:uid="{00000000-0010-0000-4900-000002000000}" name="عدد" dataDxfId="727" totalsRowDxfId="726">
      <calculatedColumnFormula>IF((تسعير!$AT$12="بالتات"),0,M49-2)</calculatedColumnFormula>
    </tableColumn>
    <tableColumn id="3" xr3:uid="{00000000-0010-0000-4900-000003000000}" name="بيان" totalsRowLabel="Total" dataDxfId="725" totalsRowDxfId="724"/>
    <tableColumn id="5" xr3:uid="{00000000-0010-0000-4900-000005000000}" name="اليومية / الاجرة" dataDxfId="723" totalsRowDxfId="722"/>
    <tableColumn id="6" xr3:uid="{00000000-0010-0000-4900-000006000000}" name="بدل الوجبة" dataDxfId="721" totalsRowDxfId="720"/>
    <tableColumn id="11" xr3:uid="{00000000-0010-0000-4900-00000B000000}" name="موقع العمل" dataDxfId="719" totalsRowDxfId="718">
      <calculatedColumnFormula>تسعير!$AT$24</calculatedColumnFormula>
    </tableColumn>
    <tableColumn id="10" xr3:uid="{00000000-0010-0000-4900-00000A000000}" name="شيفت العمل" dataDxfId="717" totalsRowDxfId="716"/>
    <tableColumn id="12" xr3:uid="{00000000-0010-0000-4900-00000C000000}" name="Column12" totalsRowFunction="sum" dataDxfId="715" totalsRowDxfId="71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713" totalsRowDxfId="712"/>
    <tableColumn id="7" xr3:uid="{00000000-0010-0000-4900-000007000000}" name="اجمالي التكلفة للعامل" dataDxfId="711" totalsRowDxfId="710">
      <calculatedColumnFormula>Table16126776[[#This Row],[Column12]]</calculatedColumnFormula>
    </tableColumn>
    <tableColumn id="8" xr3:uid="{00000000-0010-0000-4900-000008000000}" name="اجمالي" totalsRowFunction="sum" dataDxfId="709" totalsRowDxfId="708">
      <calculatedColumnFormula>M52*U52</calculatedColumnFormula>
    </tableColumn>
    <tableColumn id="9" xr3:uid="{00000000-0010-0000-4900-000009000000}" name="%" totalsRowFunction="custom" totalsRowDxfId="70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dataDxfId="1570" totalsRowDxfId="156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706" totalsRowDxfId="705"/>
    <tableColumn id="2" xr3:uid="{00000000-0010-0000-4A00-000002000000}" name="عدد" dataDxfId="704" totalsRowDxfId="703">
      <calculatedColumnFormula>IF((Q63="الاسكندرية"),0.25,0.1)</calculatedColumnFormula>
    </tableColumn>
    <tableColumn id="3" xr3:uid="{00000000-0010-0000-4A00-000003000000}" name="بيان" totalsRowLabel="Total" dataDxfId="702" totalsRowDxfId="701"/>
    <tableColumn id="11" xr3:uid="{00000000-0010-0000-4A00-00000B000000}" name="Column2" dataDxfId="700" totalsRowDxfId="699"/>
    <tableColumn id="10" xr3:uid="{00000000-0010-0000-4A00-00000A000000}" name="Column1" dataDxfId="698" totalsRowDxfId="697"/>
    <tableColumn id="12" xr3:uid="{00000000-0010-0000-4A00-00000C000000}" name="Column12" totalsRowFunction="sum" dataDxfId="696" totalsRowDxfId="695"/>
    <tableColumn id="4" xr3:uid="{00000000-0010-0000-4A00-000004000000}" name="الوحده" dataDxfId="694" totalsRowDxfId="693"/>
    <tableColumn id="5" xr3:uid="{00000000-0010-0000-4A00-000005000000}" name="الوزن" dataDxfId="692" totalsRowDxfId="691"/>
    <tableColumn id="6" xr3:uid="{00000000-0010-0000-4A00-000006000000}" name="سعر الكيلو" dataDxfId="690" totalsRowDxfId="689"/>
    <tableColumn id="7" xr3:uid="{00000000-0010-0000-4A00-000007000000}" name="سعر الشبك " dataDxfId="688" totalsRowDxfId="687">
      <calculatedColumnFormula>Table80102114[[#Totals],[price]]</calculatedColumnFormula>
    </tableColumn>
    <tableColumn id="8" xr3:uid="{00000000-0010-0000-4A00-000008000000}" name="اجمالي" totalsRowFunction="sum" dataDxfId="686" totalsRowDxfId="685">
      <calculatedColumnFormula>M47*Table16136877[[#This Row],[سعر الشبك ]]</calculatedColumnFormula>
    </tableColumn>
    <tableColumn id="9" xr3:uid="{00000000-0010-0000-4A00-000009000000}" name="%" totalsRowFunction="custom" totalsRowDxfId="68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683"/>
    <tableColumn id="2" xr3:uid="{00000000-0010-0000-4B00-000002000000}" name="خارجي" dataDxfId="682"/>
    <tableColumn id="3" xr3:uid="{00000000-0010-0000-4B00-000003000000}" name="داخلي" dataDxfId="681"/>
    <tableColumn id="4" xr3:uid="{00000000-0010-0000-4B00-000004000000}" name="بدل الوجبة" dataDxfId="680"/>
    <tableColumn id="5" xr3:uid="{00000000-0010-0000-4B00-000005000000}" name="دبابة" dataDxfId="679"/>
    <tableColumn id="6" xr3:uid="{00000000-0010-0000-4B00-000006000000}" name="جامبو" dataDxfId="678"/>
    <tableColumn id="7" xr3:uid="{00000000-0010-0000-4B00-000007000000}" name="الاقامة" dataDxfId="677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676"/>
    <tableColumn id="4" xr3:uid="{00000000-0010-0000-4C00-000004000000}" name="Column22" dataDxfId="675"/>
    <tableColumn id="5" xr3:uid="{00000000-0010-0000-4C00-000005000000}" name="Column23" dataDxfId="674"/>
    <tableColumn id="3" xr3:uid="{00000000-0010-0000-4C00-000003000000}" name="Column3" dataDxfId="67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67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671" totalsRowDxfId="670"/>
    <tableColumn id="2" xr3:uid="{00000000-0010-0000-4D00-000002000000}" name="عدد" dataDxfId="669" totalsRowDxfId="668"/>
    <tableColumn id="3" xr3:uid="{00000000-0010-0000-4D00-000003000000}" name="بيان" totalsRowLabel="Total" dataDxfId="667" totalsRowDxfId="666"/>
    <tableColumn id="11" xr3:uid="{00000000-0010-0000-4D00-00000B000000}" name="Column2" dataDxfId="665" totalsRowDxfId="664"/>
    <tableColumn id="10" xr3:uid="{00000000-0010-0000-4D00-00000A000000}" name="Column1" dataDxfId="663" totalsRowDxfId="662"/>
    <tableColumn id="12" xr3:uid="{00000000-0010-0000-4D00-00000C000000}" name="المسطح" totalsRowFunction="sum" dataDxfId="661" totalsRowDxfId="660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659" totalsRowDxfId="658"/>
    <tableColumn id="5" xr3:uid="{00000000-0010-0000-4D00-000005000000}" name="الوزن" totalsRowFunction="custom" totalsRowDxfId="657">
      <totalsRowFormula>(S6*M6)+(S7*M7)+(M8*S8)+(S9*M9)</totalsRowFormula>
    </tableColumn>
    <tableColumn id="6" xr3:uid="{00000000-0010-0000-4D00-000006000000}" name="اجمالي المسطح" totalsRowFunction="sum" dataDxfId="656" totalsRowDxfId="655">
      <calculatedColumnFormula>Table15880[[#This Row],[المسطح]]*Table15880[[#This Row],[عدد]]</calculatedColumnFormula>
    </tableColumn>
    <tableColumn id="7" xr3:uid="{00000000-0010-0000-4D00-000007000000}" name="سعر الشبك " dataDxfId="654" totalsRowDxfId="653">
      <calculatedColumnFormula>S6*$S$2/1000</calculatedColumnFormula>
    </tableColumn>
    <tableColumn id="8" xr3:uid="{00000000-0010-0000-4D00-000008000000}" name="اجمالي" totalsRowFunction="sum" dataDxfId="652" totalsRowDxfId="651">
      <calculatedColumnFormula>M6*U6</calculatedColumnFormula>
    </tableColumn>
    <tableColumn id="9" xr3:uid="{00000000-0010-0000-4D00-000009000000}" name="%" totalsRowFunction="custom" totalsRowDxfId="650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649" totalsRowDxfId="648"/>
    <tableColumn id="2" xr3:uid="{00000000-0010-0000-4E00-000002000000}" name="عدد" dataDxfId="647" totalsRowDxfId="6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645" totalsRowDxfId="644"/>
    <tableColumn id="11" xr3:uid="{00000000-0010-0000-4E00-00000B000000}" name="Column2" dataDxfId="643" totalsRowDxfId="642"/>
    <tableColumn id="10" xr3:uid="{00000000-0010-0000-4E00-00000A000000}" name="Column1" dataDxfId="641" totalsRowDxfId="640"/>
    <tableColumn id="12" xr3:uid="{00000000-0010-0000-4E00-00000C000000}" name="Column12" dataDxfId="639" totalsRowDxfId="638"/>
    <tableColumn id="4" xr3:uid="{00000000-0010-0000-4E00-000004000000}" name="الوحده" totalsRowLabel="total" dataDxfId="637" totalsRowDxfId="636"/>
    <tableColumn id="5" xr3:uid="{00000000-0010-0000-4E00-000005000000}" name="الوزن" dataDxfId="635" totalsRowDxfId="634"/>
    <tableColumn id="6" xr3:uid="{00000000-0010-0000-4E00-000006000000}" name="سعر الكيلو" dataDxfId="633" totalsRowDxfId="632"/>
    <tableColumn id="7" xr3:uid="{00000000-0010-0000-4E00-000007000000}" name="سعر الشبك " dataDxfId="631" totalsRowDxfId="630">
      <calculatedColumnFormula>Sheet2!B6</calculatedColumnFormula>
    </tableColumn>
    <tableColumn id="8" xr3:uid="{00000000-0010-0000-4E00-000008000000}" name="اجمالي" totalsRowFunction="sum" dataDxfId="629" totalsRowDxfId="628">
      <calculatedColumnFormula>M99*U100</calculatedColumnFormula>
    </tableColumn>
    <tableColumn id="9" xr3:uid="{00000000-0010-0000-4E00-000009000000}" name="%" totalsRowFunction="custom" totalsRowDxfId="6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626" totalsRowDxfId="625"/>
    <tableColumn id="2" xr3:uid="{00000000-0010-0000-4F00-000002000000}" name="عدد" dataDxfId="624" totalsRowDxfId="623">
      <calculatedColumnFormula>IF((I70="بالتات"),0,4)</calculatedColumnFormula>
    </tableColumn>
    <tableColumn id="3" xr3:uid="{00000000-0010-0000-4F00-000003000000}" name="بيان" totalsRowLabel="Total" dataDxfId="622" totalsRowDxfId="621"/>
    <tableColumn id="11" xr3:uid="{00000000-0010-0000-4F00-00000B000000}" name="Column2" dataDxfId="620" totalsRowDxfId="619"/>
    <tableColumn id="10" xr3:uid="{00000000-0010-0000-4F00-00000A000000}" name="Column1" dataDxfId="618" totalsRowDxfId="617"/>
    <tableColumn id="12" xr3:uid="{00000000-0010-0000-4F00-00000C000000}" name="Column12" dataDxfId="616" totalsRowDxfId="615"/>
    <tableColumn id="4" xr3:uid="{00000000-0010-0000-4F00-000004000000}" name="الوحده" dataDxfId="614" totalsRowDxfId="613"/>
    <tableColumn id="5" xr3:uid="{00000000-0010-0000-4F00-000005000000}" name="الوزن" dataDxfId="612" totalsRowDxfId="611"/>
    <tableColumn id="6" xr3:uid="{00000000-0010-0000-4F00-000006000000}" name="سعر الكيلو" dataDxfId="610" totalsRowDxfId="609"/>
    <tableColumn id="7" xr3:uid="{00000000-0010-0000-4F00-000007000000}" name="سعر الشبك " dataDxfId="608" totalsRowDxfId="607">
      <calculatedColumnFormula>Sheet2!B26</calculatedColumnFormula>
    </tableColumn>
    <tableColumn id="8" xr3:uid="{00000000-0010-0000-4F00-000008000000}" name="اجمالي" totalsRowFunction="sum" dataDxfId="606" totalsRowDxfId="605">
      <calculatedColumnFormula>M85*U85</calculatedColumnFormula>
    </tableColumn>
    <tableColumn id="9" xr3:uid="{00000000-0010-0000-4F00-000009000000}" name="%" totalsRowFunction="custom" totalsRowDxfId="6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603"/>
    <tableColumn id="2" xr3:uid="{00000000-0010-0000-5000-000002000000}" name="عدد" totalsRowFunction="sum" dataDxfId="602">
      <calculatedColumnFormula>M91*4</calculatedColumnFormula>
    </tableColumn>
    <tableColumn id="3" xr3:uid="{00000000-0010-0000-5000-000003000000}" name="بيان" totalsRowLabel="Total" dataDxfId="601"/>
    <tableColumn id="11" xr3:uid="{00000000-0010-0000-5000-00000B000000}" name="Column2" dataDxfId="600"/>
    <tableColumn id="10" xr3:uid="{00000000-0010-0000-5000-00000A000000}" name="Column1" dataDxfId="599"/>
    <tableColumn id="12" xr3:uid="{00000000-0010-0000-5000-00000C000000}" name="Column12" totalsRowFunction="sum" dataDxfId="598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5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596"/>
    <tableColumn id="7" xr3:uid="{00000000-0010-0000-5000-000007000000}" name="سعر الشبك " dataDxfId="595">
      <calculatedColumnFormula>S93*$S$2/1000</calculatedColumnFormula>
    </tableColumn>
    <tableColumn id="8" xr3:uid="{00000000-0010-0000-5000-000008000000}" name="اجمالي" totalsRowFunction="sum" dataDxfId="59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593"/>
    <tableColumn id="2" xr3:uid="{00000000-0010-0000-5100-000002000000}" name="المعدل" dataDxfId="592"/>
    <tableColumn id="3" xr3:uid="{00000000-0010-0000-5100-000003000000}" name="الوحدة" dataDxfId="591"/>
    <tableColumn id="4" xr3:uid="{00000000-0010-0000-5100-000004000000}" name="Column4" dataDxfId="590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589"/>
    <tableColumn id="2" xr3:uid="{00000000-0010-0000-5200-000002000000}" name="Column2" dataDxfId="588"/>
    <tableColumn id="3" xr3:uid="{00000000-0010-0000-5200-000003000000}" name="Column3" dataDxfId="587"/>
    <tableColumn id="4" xr3:uid="{00000000-0010-0000-5200-000004000000}" name="Column4" dataDxfId="586"/>
    <tableColumn id="5" xr3:uid="{00000000-0010-0000-5200-000005000000}" name="Column5" dataDxfId="58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584" totalsRowDxfId="583"/>
    <tableColumn id="2" xr3:uid="{00000000-0010-0000-5300-000002000000}" name="عدد" dataDxfId="582" totalsRowDxfId="581">
      <calculatedColumnFormula>IF((تسعير!$AT$12="بالتات"),0,M120-2)</calculatedColumnFormula>
    </tableColumn>
    <tableColumn id="3" xr3:uid="{00000000-0010-0000-5300-000003000000}" name="بيان" totalsRowLabel="Total" dataDxfId="580" totalsRowDxfId="579"/>
    <tableColumn id="5" xr3:uid="{00000000-0010-0000-5300-000005000000}" name="اليومية / الاجرة" dataDxfId="578" totalsRowDxfId="577"/>
    <tableColumn id="6" xr3:uid="{00000000-0010-0000-5300-000006000000}" name="بدل الوجبة" dataDxfId="576" totalsRowDxfId="575"/>
    <tableColumn id="11" xr3:uid="{00000000-0010-0000-5300-00000B000000}" name="موقع العمل" dataDxfId="574" totalsRowDxfId="573">
      <calculatedColumnFormula>تسعير!$AT$44</calculatedColumnFormula>
    </tableColumn>
    <tableColumn id="10" xr3:uid="{00000000-0010-0000-5300-00000A000000}" name="شيفت العمل" dataDxfId="572" totalsRowDxfId="571"/>
    <tableColumn id="12" xr3:uid="{00000000-0010-0000-5300-00000C000000}" name="Column12" totalsRowFunction="sum" dataDxfId="570" totalsRowDxfId="569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568" totalsRowDxfId="567"/>
    <tableColumn id="7" xr3:uid="{00000000-0010-0000-5300-000007000000}" name="اجمالي التكلفة للعامل" dataDxfId="566" totalsRowDxfId="565">
      <calculatedColumnFormula>Table1612677697[[#This Row],[Column12]]</calculatedColumnFormula>
    </tableColumn>
    <tableColumn id="8" xr3:uid="{00000000-0010-0000-5300-000008000000}" name="اجمالي" totalsRowFunction="sum" dataDxfId="564" totalsRowDxfId="563">
      <calculatedColumnFormula>M123*U123</calculatedColumnFormula>
    </tableColumn>
    <tableColumn id="9" xr3:uid="{00000000-0010-0000-5300-000009000000}" name="%" totalsRowFunction="custom" totalsRowDxfId="56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dataDxfId="1568" totalsRowDxfId="1567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561" totalsRowDxfId="560"/>
    <tableColumn id="2" xr3:uid="{00000000-0010-0000-5400-000002000000}" name="عدد" dataDxfId="559" totalsRowDxfId="558">
      <calculatedColumnFormula>IF((Q134="الاسكندرية"),0.25,0.1)</calculatedColumnFormula>
    </tableColumn>
    <tableColumn id="3" xr3:uid="{00000000-0010-0000-5400-000003000000}" name="بيان" totalsRowLabel="Total" dataDxfId="557" totalsRowDxfId="556"/>
    <tableColumn id="11" xr3:uid="{00000000-0010-0000-5400-00000B000000}" name="Column2" dataDxfId="555" totalsRowDxfId="554"/>
    <tableColumn id="10" xr3:uid="{00000000-0010-0000-5400-00000A000000}" name="Column1" dataDxfId="553" totalsRowDxfId="552"/>
    <tableColumn id="12" xr3:uid="{00000000-0010-0000-5400-00000C000000}" name="Column12" totalsRowFunction="sum" dataDxfId="551" totalsRowDxfId="550"/>
    <tableColumn id="4" xr3:uid="{00000000-0010-0000-5400-000004000000}" name="الوحده" dataDxfId="549" totalsRowDxfId="548"/>
    <tableColumn id="5" xr3:uid="{00000000-0010-0000-5400-000005000000}" name="الوزن" dataDxfId="547" totalsRowDxfId="546"/>
    <tableColumn id="6" xr3:uid="{00000000-0010-0000-5400-000006000000}" name="سعر الكيلو" dataDxfId="545" totalsRowDxfId="544"/>
    <tableColumn id="7" xr3:uid="{00000000-0010-0000-5400-000007000000}" name="سعر الشبك " dataDxfId="543" totalsRowDxfId="542">
      <calculatedColumnFormula>F96</calculatedColumnFormula>
    </tableColumn>
    <tableColumn id="8" xr3:uid="{00000000-0010-0000-5400-000008000000}" name="اجمالي" totalsRowFunction="sum" dataDxfId="541" totalsRowDxfId="540">
      <calculatedColumnFormula>M118*Table1613687798[[#This Row],[سعر الشبك ]]</calculatedColumnFormula>
    </tableColumn>
    <tableColumn id="9" xr3:uid="{00000000-0010-0000-5400-000009000000}" name="%" totalsRowFunction="custom" totalsRowDxfId="53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538"/>
    <tableColumn id="2" xr3:uid="{00000000-0010-0000-5500-000002000000}" name="خارجي" dataDxfId="537"/>
    <tableColumn id="3" xr3:uid="{00000000-0010-0000-5500-000003000000}" name="داخلي" dataDxfId="536"/>
    <tableColumn id="4" xr3:uid="{00000000-0010-0000-5500-000004000000}" name="بدل الوجبة" dataDxfId="535"/>
    <tableColumn id="5" xr3:uid="{00000000-0010-0000-5500-000005000000}" name="دبابة" dataDxfId="534"/>
    <tableColumn id="6" xr3:uid="{00000000-0010-0000-5500-000006000000}" name="جامبو" dataDxfId="533"/>
    <tableColumn id="7" xr3:uid="{00000000-0010-0000-5500-000007000000}" name="الاقامة" dataDxfId="532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531"/>
    <tableColumn id="4" xr3:uid="{00000000-0010-0000-5600-000004000000}" name="Column22" dataDxfId="530"/>
    <tableColumn id="5" xr3:uid="{00000000-0010-0000-5600-000005000000}" name="Column23" dataDxfId="529"/>
    <tableColumn id="3" xr3:uid="{00000000-0010-0000-5600-000003000000}" name="Column3" dataDxfId="528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52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526" totalsRowDxfId="525"/>
    <tableColumn id="2" xr3:uid="{00000000-0010-0000-5700-000002000000}" name="عدد" dataDxfId="524" totalsRowDxfId="52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522" totalsRowDxfId="521"/>
    <tableColumn id="11" xr3:uid="{00000000-0010-0000-5700-00000B000000}" name="Column2" dataDxfId="520" totalsRowDxfId="519"/>
    <tableColumn id="10" xr3:uid="{00000000-0010-0000-5700-00000A000000}" name="Column1" dataDxfId="518" totalsRowDxfId="517"/>
    <tableColumn id="12" xr3:uid="{00000000-0010-0000-5700-00000C000000}" name="المسطح" totalsRowFunction="sum" dataDxfId="516" totalsRowDxfId="51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514" totalsRowDxfId="513"/>
    <tableColumn id="5" xr3:uid="{00000000-0010-0000-5700-000005000000}" name="الوزن" totalsRowFunction="custom" totalsRowDxfId="512">
      <totalsRowFormula>(S77*M77)+(S78*M78)+(M79*S79)+(S80*M80)</totalsRowFormula>
    </tableColumn>
    <tableColumn id="6" xr3:uid="{00000000-0010-0000-5700-000006000000}" name="اجمالي المسطح" totalsRowFunction="sum" dataDxfId="511" totalsRowDxfId="510">
      <calculatedColumnFormula>Table15880101[[#This Row],[المسطح]]*Table15880101[[#This Row],[عدد]]</calculatedColumnFormula>
    </tableColumn>
    <tableColumn id="7" xr3:uid="{00000000-0010-0000-5700-000007000000}" name="سعر الشبك " dataDxfId="509" totalsRowDxfId="508">
      <calculatedColumnFormula>S77*$S$2/1000</calculatedColumnFormula>
    </tableColumn>
    <tableColumn id="8" xr3:uid="{00000000-0010-0000-5700-000008000000}" name="اجمالي" totalsRowFunction="sum" dataDxfId="507" totalsRowDxfId="506">
      <calculatedColumnFormula>M77*U77</calculatedColumnFormula>
    </tableColumn>
    <tableColumn id="9" xr3:uid="{00000000-0010-0000-5700-000009000000}" name="%" totalsRowFunction="custom" totalsRowDxfId="505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504" totalsRowDxfId="503"/>
    <tableColumn id="2" xr3:uid="{00000000-0010-0000-5800-000002000000}" name="عدد" dataDxfId="502" totalsRowDxfId="501"/>
    <tableColumn id="3" xr3:uid="{00000000-0010-0000-5800-000003000000}" name="بيان" totalsRowLabel="Total" dataDxfId="500" totalsRowDxfId="499"/>
    <tableColumn id="11" xr3:uid="{00000000-0010-0000-5800-00000B000000}" name="Column2" dataDxfId="498" totalsRowDxfId="497"/>
    <tableColumn id="10" xr3:uid="{00000000-0010-0000-5800-00000A000000}" name="Column1" dataDxfId="496" totalsRowDxfId="495"/>
    <tableColumn id="12" xr3:uid="{00000000-0010-0000-5800-00000C000000}" name="Column12" dataDxfId="494" totalsRowDxfId="493"/>
    <tableColumn id="4" xr3:uid="{00000000-0010-0000-5800-000004000000}" name="الوحده" totalsRowLabel="total" dataDxfId="492" totalsRowDxfId="491"/>
    <tableColumn id="5" xr3:uid="{00000000-0010-0000-5800-000005000000}" name="الوزن" dataDxfId="490" totalsRowDxfId="489"/>
    <tableColumn id="6" xr3:uid="{00000000-0010-0000-5800-000006000000}" name="سعر الكيلو" dataDxfId="488" totalsRowDxfId="487"/>
    <tableColumn id="7" xr3:uid="{00000000-0010-0000-5800-000007000000}" name="سعر الشبك " dataDxfId="486" totalsRowDxfId="485">
      <calculatedColumnFormula>Sheet2!AW6</calculatedColumnFormula>
    </tableColumn>
    <tableColumn id="8" xr3:uid="{00000000-0010-0000-5800-000008000000}" name="اجمالي" totalsRowFunction="sum" dataDxfId="484" totalsRowDxfId="483">
      <calculatedColumnFormula>BH28*BP28</calculatedColumnFormula>
    </tableColumn>
    <tableColumn id="9" xr3:uid="{00000000-0010-0000-5800-000009000000}" name="%" totalsRowFunction="custom" totalsRowDxfId="48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481" totalsRowDxfId="480"/>
    <tableColumn id="2" xr3:uid="{00000000-0010-0000-5900-000002000000}" name="عدد" dataDxfId="479" totalsRowDxfId="478"/>
    <tableColumn id="3" xr3:uid="{00000000-0010-0000-5900-000003000000}" name="بيان" totalsRowLabel="Total" dataDxfId="477" totalsRowDxfId="476"/>
    <tableColumn id="11" xr3:uid="{00000000-0010-0000-5900-00000B000000}" name="Column2" dataDxfId="475" totalsRowDxfId="474"/>
    <tableColumn id="10" xr3:uid="{00000000-0010-0000-5900-00000A000000}" name="Column1" dataDxfId="473" totalsRowDxfId="472"/>
    <tableColumn id="12" xr3:uid="{00000000-0010-0000-5900-00000C000000}" name="Column12" dataDxfId="471" totalsRowDxfId="470"/>
    <tableColumn id="4" xr3:uid="{00000000-0010-0000-5900-000004000000}" name="الوحده" dataDxfId="469" totalsRowDxfId="468"/>
    <tableColumn id="5" xr3:uid="{00000000-0010-0000-5900-000005000000}" name="الوزن" dataDxfId="467" totalsRowDxfId="466"/>
    <tableColumn id="6" xr3:uid="{00000000-0010-0000-5900-000006000000}" name="سعر الكيلو" dataDxfId="465" totalsRowDxfId="464"/>
    <tableColumn id="7" xr3:uid="{00000000-0010-0000-5900-000007000000}" name="سعر الشبك " dataDxfId="463" totalsRowDxfId="462">
      <calculatedColumnFormula>Sheet2!AW26</calculatedColumnFormula>
    </tableColumn>
    <tableColumn id="8" xr3:uid="{00000000-0010-0000-5900-000008000000}" name="اجمالي" totalsRowFunction="sum" dataDxfId="461" totalsRowDxfId="460">
      <calculatedColumnFormula>BH14*BP14</calculatedColumnFormula>
    </tableColumn>
    <tableColumn id="9" xr3:uid="{00000000-0010-0000-5900-000009000000}" name="%" totalsRowFunction="custom" totalsRowDxfId="45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458"/>
    <tableColumn id="2" xr3:uid="{00000000-0010-0000-5A00-000002000000}" name="عدد" totalsRowFunction="count" dataDxfId="457">
      <calculatedColumnFormula>BH20*4</calculatedColumnFormula>
    </tableColumn>
    <tableColumn id="3" xr3:uid="{00000000-0010-0000-5A00-000003000000}" name="بيان" totalsRowLabel="Total" dataDxfId="456"/>
    <tableColumn id="11" xr3:uid="{00000000-0010-0000-5A00-00000B000000}" name="Column2" dataDxfId="455"/>
    <tableColumn id="10" xr3:uid="{00000000-0010-0000-5A00-00000A000000}" name="Column1" dataDxfId="454"/>
    <tableColumn id="12" xr3:uid="{00000000-0010-0000-5A00-00000C000000}" name="Column12" totalsRowFunction="sum" dataDxfId="4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452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451"/>
    <tableColumn id="7" xr3:uid="{00000000-0010-0000-5A00-000007000000}" name="سعر الشبك " dataDxfId="450">
      <calculatedColumnFormula>BN22*$S$2/1000</calculatedColumnFormula>
    </tableColumn>
    <tableColumn id="8" xr3:uid="{00000000-0010-0000-5A00-000008000000}" name="اجمالي" totalsRowFunction="sum" dataDxfId="449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448"/>
    <tableColumn id="2" xr3:uid="{00000000-0010-0000-5B00-000002000000}" name="المعدل" dataDxfId="447"/>
    <tableColumn id="3" xr3:uid="{00000000-0010-0000-5B00-000003000000}" name="الوحدة" dataDxfId="446"/>
    <tableColumn id="4" xr3:uid="{00000000-0010-0000-5B00-000004000000}" name="Column4" dataDxfId="445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444"/>
    <tableColumn id="2" xr3:uid="{00000000-0010-0000-5C00-000002000000}" name="Column2" dataDxfId="443"/>
    <tableColumn id="3" xr3:uid="{00000000-0010-0000-5C00-000003000000}" name="Column3" dataDxfId="442"/>
    <tableColumn id="4" xr3:uid="{00000000-0010-0000-5C00-000004000000}" name="Column4" dataDxfId="441"/>
    <tableColumn id="5" xr3:uid="{00000000-0010-0000-5C00-000005000000}" name="Column5" dataDxfId="440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439" totalsRowDxfId="438"/>
    <tableColumn id="2" xr3:uid="{00000000-0010-0000-5D00-000002000000}" name="عدد" dataDxfId="437" totalsRowDxfId="436">
      <calculatedColumnFormula>IF((تسعير!$AT$12="بالتات"),0,BH48-2)</calculatedColumnFormula>
    </tableColumn>
    <tableColumn id="3" xr3:uid="{00000000-0010-0000-5D00-000003000000}" name="بيان" totalsRowLabel="Total" dataDxfId="435" totalsRowDxfId="434"/>
    <tableColumn id="5" xr3:uid="{00000000-0010-0000-5D00-000005000000}" name="اليومية / الاجرة" dataDxfId="433" totalsRowDxfId="432"/>
    <tableColumn id="6" xr3:uid="{00000000-0010-0000-5D00-000006000000}" name="بدل الوجبة" dataDxfId="431" totalsRowDxfId="430"/>
    <tableColumn id="11" xr3:uid="{00000000-0010-0000-5D00-00000B000000}" name="موقع العمل" dataDxfId="429" totalsRowDxfId="428">
      <calculatedColumnFormula>تسعير!$AT$44</calculatedColumnFormula>
    </tableColumn>
    <tableColumn id="10" xr3:uid="{00000000-0010-0000-5D00-00000A000000}" name="شيفت العمل" dataDxfId="427" totalsRowDxfId="426"/>
    <tableColumn id="12" xr3:uid="{00000000-0010-0000-5D00-00000C000000}" name="Column12" totalsRowFunction="sum" dataDxfId="425" totalsRowDxfId="42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423" totalsRowDxfId="422"/>
    <tableColumn id="7" xr3:uid="{00000000-0010-0000-5D00-000007000000}" name="اجمالي التكلفة للعامل" dataDxfId="421" totalsRowDxfId="420">
      <calculatedColumnFormula>Table1612677686[[#This Row],[Column12]]</calculatedColumnFormula>
    </tableColumn>
    <tableColumn id="8" xr3:uid="{00000000-0010-0000-5D00-000008000000}" name="اجمالي" totalsRowFunction="sum" dataDxfId="419" totalsRowDxfId="418">
      <calculatedColumnFormula>BH51*BP51</calculatedColumnFormula>
    </tableColumn>
    <tableColumn id="9" xr3:uid="{00000000-0010-0000-5D00-000009000000}" name="%" totalsRowFunction="custom" totalsRowDxfId="41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45" zoomScaleNormal="145" zoomScaleSheetLayoutView="70" workbookViewId="0">
      <selection activeCell="B2" sqref="B2"/>
    </sheetView>
  </sheetViews>
  <sheetFormatPr defaultColWidth="9.140625" defaultRowHeight="15"/>
  <cols>
    <col min="1" max="1" width="36.28515625" style="233" customWidth="1"/>
    <col min="2" max="2" width="19" style="233" customWidth="1"/>
    <col min="3" max="3" width="11" style="233" customWidth="1"/>
    <col min="4" max="4" width="18.140625" style="233" customWidth="1"/>
    <col min="5" max="6" width="9.140625" style="233"/>
    <col min="7" max="9" width="11" style="233" customWidth="1"/>
    <col min="10" max="16384" width="9.140625" style="233"/>
  </cols>
  <sheetData>
    <row r="1" spans="1:10" s="361" customFormat="1" ht="24.75" customHeight="1">
      <c r="A1" s="361" t="s">
        <v>0</v>
      </c>
      <c r="B1" s="361" t="s">
        <v>1</v>
      </c>
      <c r="C1" s="361" t="s">
        <v>2</v>
      </c>
      <c r="D1" s="361" t="s">
        <v>3</v>
      </c>
      <c r="E1" s="492"/>
      <c r="F1" s="493"/>
      <c r="G1" s="874" t="s">
        <v>4</v>
      </c>
      <c r="H1" s="874"/>
      <c r="I1" s="874"/>
      <c r="J1" s="504"/>
    </row>
    <row r="2" spans="1:10" ht="21">
      <c r="A2" s="581" t="s">
        <v>593</v>
      </c>
      <c r="B2" s="565" t="s">
        <v>787</v>
      </c>
      <c r="C2" s="494" t="s">
        <v>6</v>
      </c>
      <c r="D2" s="495" t="s">
        <v>7</v>
      </c>
      <c r="E2" s="492"/>
      <c r="F2" s="496"/>
      <c r="G2" s="233" t="s">
        <v>8</v>
      </c>
      <c r="H2" s="233" t="s">
        <v>9</v>
      </c>
      <c r="I2" s="233" t="s">
        <v>3</v>
      </c>
      <c r="J2" s="505"/>
    </row>
    <row r="3" spans="1:10" ht="21">
      <c r="A3" s="582" t="s">
        <v>594</v>
      </c>
      <c r="B3" s="566" t="s">
        <v>788</v>
      </c>
      <c r="C3" s="497" t="s">
        <v>11</v>
      </c>
      <c r="D3" s="498" t="s">
        <v>12</v>
      </c>
      <c r="E3" s="492"/>
      <c r="F3" s="496"/>
      <c r="G3" s="233" t="str">
        <f>IF(AND((تسعير!T12=D2),(تسعير!X8&lt;801)),"A",IF(AND((تسعير!T12=D3),(تسعير!X8&lt;801)),"B",IF(AND(,(تسعير!T12=D2),(تسعير!X8&gt;800)),"C",IF(AND((تسعير!T12=D3),(تسعير!X8&gt;800)),"D","no"))))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5"/>
    </row>
    <row r="4" spans="1:10" ht="21">
      <c r="A4" s="499"/>
      <c r="B4" s="500"/>
      <c r="C4" s="500"/>
      <c r="D4" s="501"/>
      <c r="E4" s="492"/>
      <c r="F4" s="496"/>
      <c r="G4" s="875" t="s">
        <v>13</v>
      </c>
      <c r="H4" s="875"/>
      <c r="I4" s="875"/>
      <c r="J4" s="505"/>
    </row>
    <row r="5" spans="1:10" ht="21">
      <c r="A5" s="581" t="s">
        <v>593</v>
      </c>
      <c r="B5" s="565" t="s">
        <v>787</v>
      </c>
      <c r="C5" s="494" t="s">
        <v>6</v>
      </c>
      <c r="D5" s="495" t="s">
        <v>7</v>
      </c>
      <c r="E5" s="492"/>
      <c r="F5" s="496"/>
      <c r="G5" s="233" t="s">
        <v>8</v>
      </c>
      <c r="H5" s="233" t="s">
        <v>9</v>
      </c>
      <c r="I5" s="233" t="s">
        <v>3</v>
      </c>
      <c r="J5" s="505"/>
    </row>
    <row r="6" spans="1:10" ht="21" customHeight="1">
      <c r="A6" s="582" t="s">
        <v>594</v>
      </c>
      <c r="B6" s="566" t="s">
        <v>788</v>
      </c>
      <c r="C6" s="497" t="s">
        <v>11</v>
      </c>
      <c r="D6" s="498" t="s">
        <v>12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5"/>
    </row>
    <row r="7" spans="1:10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spans="1:10" ht="21">
      <c r="A10" s="876" t="s">
        <v>15</v>
      </c>
      <c r="B10" s="876"/>
    </row>
    <row r="11" spans="1:10">
      <c r="A11" s="233" t="s">
        <v>16</v>
      </c>
      <c r="B11" s="233" t="s">
        <v>17</v>
      </c>
    </row>
    <row r="12" spans="1:10">
      <c r="A12" s="233" t="s">
        <v>18</v>
      </c>
      <c r="B12" s="233">
        <v>45000</v>
      </c>
    </row>
    <row r="13" spans="1:10">
      <c r="A13" s="233" t="s">
        <v>19</v>
      </c>
      <c r="B13" s="233">
        <v>50000</v>
      </c>
    </row>
    <row r="14" spans="1:10">
      <c r="A14" s="233" t="s">
        <v>20</v>
      </c>
      <c r="B14" s="233">
        <v>252000</v>
      </c>
    </row>
    <row r="15" spans="1:10">
      <c r="A15" s="233" t="s">
        <v>21</v>
      </c>
      <c r="B15" s="233">
        <v>70000</v>
      </c>
    </row>
    <row r="16" spans="1:10">
      <c r="A16" s="233" t="s">
        <v>595</v>
      </c>
      <c r="B16" s="233">
        <v>950</v>
      </c>
    </row>
    <row r="17" spans="1:2">
      <c r="A17" s="233" t="s">
        <v>23</v>
      </c>
      <c r="B17" s="233">
        <v>175</v>
      </c>
    </row>
    <row r="18" spans="1:2">
      <c r="A18" s="233" t="s">
        <v>24</v>
      </c>
      <c r="B18" s="233">
        <v>360</v>
      </c>
    </row>
    <row r="19" spans="1:2">
      <c r="A19" s="233" t="s">
        <v>25</v>
      </c>
      <c r="B19" s="233">
        <v>250</v>
      </c>
    </row>
    <row r="20" spans="1:2">
      <c r="A20" s="233" t="s">
        <v>26</v>
      </c>
      <c r="B20" s="233">
        <v>435</v>
      </c>
    </row>
    <row r="21" spans="1:2">
      <c r="A21" s="233" t="s">
        <v>27</v>
      </c>
      <c r="B21" s="233">
        <v>470</v>
      </c>
    </row>
    <row r="22" spans="1:2">
      <c r="A22" s="233" t="s">
        <v>28</v>
      </c>
      <c r="B22" s="233">
        <v>190</v>
      </c>
    </row>
    <row r="23" spans="1:2">
      <c r="A23" s="233" t="s">
        <v>29</v>
      </c>
      <c r="B23" s="233">
        <v>190</v>
      </c>
    </row>
    <row r="24" spans="1:2">
      <c r="A24" s="233" t="s">
        <v>30</v>
      </c>
      <c r="B24" s="233">
        <v>400</v>
      </c>
    </row>
    <row r="25" spans="1:2">
      <c r="A25" s="233" t="s">
        <v>31</v>
      </c>
      <c r="B25" s="233">
        <v>95</v>
      </c>
    </row>
    <row r="26" spans="1:2">
      <c r="A26" s="233" t="s">
        <v>32</v>
      </c>
      <c r="B26" s="233">
        <v>220</v>
      </c>
    </row>
    <row r="27" spans="1:2">
      <c r="A27" s="233" t="s">
        <v>33</v>
      </c>
      <c r="B27" s="233">
        <v>510</v>
      </c>
    </row>
    <row r="28" spans="1:2">
      <c r="A28" s="233" t="s">
        <v>34</v>
      </c>
      <c r="B28" s="233">
        <v>400</v>
      </c>
    </row>
    <row r="29" spans="1:2">
      <c r="A29" s="233" t="s">
        <v>35</v>
      </c>
      <c r="B29" s="233">
        <v>700</v>
      </c>
    </row>
    <row r="30" spans="1:2">
      <c r="A30" s="233" t="s">
        <v>36</v>
      </c>
      <c r="B30" s="233">
        <v>1200</v>
      </c>
    </row>
    <row r="31" spans="1:2">
      <c r="A31" s="233" t="s">
        <v>37</v>
      </c>
      <c r="B31" s="233">
        <v>450</v>
      </c>
    </row>
    <row r="32" spans="1:2">
      <c r="A32" s="233" t="s">
        <v>38</v>
      </c>
      <c r="B32" s="233">
        <v>8000</v>
      </c>
    </row>
    <row r="33" spans="1:2">
      <c r="A33" s="545" t="s">
        <v>581</v>
      </c>
      <c r="B33" s="233">
        <v>8000</v>
      </c>
    </row>
    <row r="34" spans="1:2">
      <c r="A34" s="233" t="s">
        <v>39</v>
      </c>
      <c r="B34" s="233">
        <v>2000</v>
      </c>
    </row>
    <row r="35" spans="1:2">
      <c r="A35" s="233" t="s">
        <v>40</v>
      </c>
      <c r="B35" s="233">
        <v>750</v>
      </c>
    </row>
    <row r="36" spans="1:2">
      <c r="A36" s="233" t="s">
        <v>41</v>
      </c>
      <c r="B36" s="233">
        <v>750</v>
      </c>
    </row>
    <row r="37" spans="1:2">
      <c r="A37" s="233" t="s">
        <v>42</v>
      </c>
      <c r="B37" s="233">
        <v>5000</v>
      </c>
    </row>
    <row r="38" spans="1:2">
      <c r="A38" s="233" t="s">
        <v>43</v>
      </c>
      <c r="B38" s="233">
        <v>800</v>
      </c>
    </row>
    <row r="39" spans="1:2">
      <c r="A39" s="233" t="s">
        <v>44</v>
      </c>
      <c r="B39" s="233">
        <v>150</v>
      </c>
    </row>
    <row r="40" spans="1:2">
      <c r="A40" s="233" t="s">
        <v>45</v>
      </c>
      <c r="B40" s="233">
        <v>90</v>
      </c>
    </row>
    <row r="41" spans="1:2">
      <c r="A41" s="233" t="s">
        <v>46</v>
      </c>
      <c r="B41" s="233">
        <v>30</v>
      </c>
    </row>
    <row r="42" spans="1:2" ht="18.75">
      <c r="A42" s="546" t="s">
        <v>569</v>
      </c>
      <c r="B42" s="233">
        <v>750</v>
      </c>
    </row>
    <row r="43" spans="1:2" ht="18.75">
      <c r="A43" s="546" t="s">
        <v>570</v>
      </c>
      <c r="B43" s="233">
        <v>130</v>
      </c>
    </row>
    <row r="44" spans="1:2" ht="18.75">
      <c r="A44" s="546" t="s">
        <v>704</v>
      </c>
      <c r="B44" s="233">
        <v>400</v>
      </c>
    </row>
    <row r="45" spans="1:2">
      <c r="A45" s="233" t="s">
        <v>571</v>
      </c>
      <c r="B45" s="233">
        <v>2000</v>
      </c>
    </row>
    <row r="46" spans="1:2">
      <c r="A46" s="233" t="s">
        <v>572</v>
      </c>
      <c r="B46" s="233">
        <v>1500</v>
      </c>
    </row>
    <row r="47" spans="1:2">
      <c r="A47" s="233" t="s">
        <v>573</v>
      </c>
      <c r="B47" s="233">
        <v>125</v>
      </c>
    </row>
    <row r="48" spans="1:2">
      <c r="A48" s="233" t="s">
        <v>574</v>
      </c>
      <c r="B48" s="233">
        <v>25</v>
      </c>
    </row>
    <row r="49" spans="1:2">
      <c r="A49" s="233" t="s">
        <v>575</v>
      </c>
      <c r="B49" s="233">
        <v>1200</v>
      </c>
    </row>
    <row r="50" spans="1:2">
      <c r="A50" s="233" t="s">
        <v>330</v>
      </c>
      <c r="B50" s="233">
        <v>120</v>
      </c>
    </row>
    <row r="51" spans="1:2">
      <c r="A51" s="233" t="s">
        <v>576</v>
      </c>
      <c r="B51" s="233">
        <v>120</v>
      </c>
    </row>
    <row r="52" spans="1:2">
      <c r="A52" s="233" t="s">
        <v>577</v>
      </c>
      <c r="B52" s="233">
        <v>150</v>
      </c>
    </row>
    <row r="53" spans="1:2">
      <c r="A53" s="233" t="s">
        <v>578</v>
      </c>
      <c r="B53" s="233">
        <v>70</v>
      </c>
    </row>
    <row r="54" spans="1:2">
      <c r="A54" s="233" t="s">
        <v>579</v>
      </c>
      <c r="B54" s="233">
        <v>1200</v>
      </c>
    </row>
    <row r="55" spans="1:2">
      <c r="A55" s="545" t="s">
        <v>580</v>
      </c>
      <c r="B55" s="233">
        <v>18000</v>
      </c>
    </row>
    <row r="56" spans="1:2">
      <c r="A56" s="545" t="s">
        <v>582</v>
      </c>
      <c r="B56" s="233">
        <v>6000</v>
      </c>
    </row>
    <row r="57" spans="1:2">
      <c r="A57" s="545" t="s">
        <v>585</v>
      </c>
      <c r="B57" s="233">
        <v>9000</v>
      </c>
    </row>
    <row r="58" spans="1:2">
      <c r="A58" s="233" t="s">
        <v>22</v>
      </c>
      <c r="B58" s="233">
        <v>200</v>
      </c>
    </row>
    <row r="59" spans="1:2">
      <c r="A59" s="631" t="s">
        <v>703</v>
      </c>
      <c r="B59" s="233">
        <v>200</v>
      </c>
    </row>
    <row r="60" spans="1:2">
      <c r="A60" s="361" t="s">
        <v>720</v>
      </c>
      <c r="B60" s="233">
        <v>600</v>
      </c>
    </row>
    <row r="61" spans="1:2">
      <c r="A61" s="361" t="s">
        <v>735</v>
      </c>
      <c r="B61" s="233">
        <v>900</v>
      </c>
    </row>
    <row r="62" spans="1:2">
      <c r="A62" s="795" t="s">
        <v>783</v>
      </c>
      <c r="B62" s="233">
        <v>500</v>
      </c>
    </row>
  </sheetData>
  <sheetProtection selectLockedCells="1" autoFilter="0" selectUnlockedCells="1"/>
  <mergeCells count="3">
    <mergeCell ref="G1:I1"/>
    <mergeCell ref="G4:I4"/>
    <mergeCell ref="A10:B10"/>
  </mergeCells>
  <hyperlinks>
    <hyperlink ref="I8" r:id="rId1" display="http://www.steel-network.com/index.php?go=SteelPricesCountry" xr:uid="{00000000-0004-0000-0000-000000000000}"/>
    <hyperlink ref="G1:I1" location="Royal!A1" display="مثبتة علي الحائط" xr:uid="{00000000-0004-0000-0000-000001000000}"/>
    <hyperlink ref="G4:I4" location="Royal2!A1" display="مثبتة غير علي الحائط" xr:uid="{00000000-0004-0000-0000-000002000000}"/>
  </hyperlinks>
  <printOptions horizontalCentered="1" verticalCentered="1"/>
  <pageMargins left="0" right="0" top="0" bottom="0" header="0" footer="0"/>
  <pageSetup paperSize="9" scale="65" orientation="landscape"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4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style="11" customWidth="1"/>
    <col min="2" max="3" width="9.140625" style="1"/>
    <col min="4" max="4" width="10" style="1" customWidth="1"/>
    <col min="5" max="7" width="9.140625" style="1"/>
    <col min="8" max="8" width="15.140625" style="1" customWidth="1"/>
    <col min="9" max="16384" width="9.140625" style="1"/>
  </cols>
  <sheetData>
    <row r="1" spans="1:19" ht="18" customHeight="1">
      <c r="J1" s="915" t="s">
        <v>382</v>
      </c>
      <c r="K1" s="915"/>
      <c r="L1" s="915"/>
      <c r="M1" s="915"/>
      <c r="N1" s="915"/>
      <c r="O1" s="915"/>
      <c r="P1" s="915"/>
      <c r="Q1" s="915"/>
      <c r="R1" s="915"/>
      <c r="S1" s="915"/>
    </row>
    <row r="2" spans="1:19" ht="18" customHeight="1">
      <c r="A2" s="11" t="s">
        <v>383</v>
      </c>
      <c r="B2" s="908">
        <f>Royal!C3</f>
        <v>0</v>
      </c>
      <c r="C2" s="909"/>
      <c r="D2" s="909"/>
      <c r="E2" s="909"/>
      <c r="F2" s="910"/>
      <c r="G2" s="1">
        <v>1</v>
      </c>
      <c r="J2" s="915"/>
      <c r="K2" s="915"/>
      <c r="L2" s="915"/>
      <c r="M2" s="915"/>
      <c r="N2" s="915"/>
      <c r="O2" s="915"/>
      <c r="P2" s="915"/>
      <c r="Q2" s="915"/>
      <c r="R2" s="915"/>
      <c r="S2" s="915"/>
    </row>
    <row r="3" spans="1:19" ht="18" customHeight="1">
      <c r="A3" s="11" t="s">
        <v>384</v>
      </c>
      <c r="F3" s="907" t="s">
        <v>385</v>
      </c>
      <c r="G3" s="907"/>
    </row>
    <row r="4" spans="1:19" ht="18" customHeight="1">
      <c r="A4" s="11" t="s">
        <v>386</v>
      </c>
      <c r="F4" s="911" t="s">
        <v>387</v>
      </c>
      <c r="G4" s="912"/>
      <c r="H4" s="912"/>
      <c r="I4" s="913"/>
      <c r="J4" s="10"/>
    </row>
    <row r="5" spans="1:19" ht="18" customHeight="1">
      <c r="A5" s="11" t="s">
        <v>388</v>
      </c>
      <c r="F5" s="914" t="s">
        <v>389</v>
      </c>
      <c r="G5" s="905"/>
      <c r="H5" s="905"/>
      <c r="I5" s="906"/>
      <c r="J5" s="10"/>
    </row>
    <row r="6" spans="1:19" ht="18" customHeight="1">
      <c r="A6" s="11" t="s">
        <v>390</v>
      </c>
      <c r="Q6" s="899"/>
      <c r="R6" s="899"/>
      <c r="S6" s="899"/>
    </row>
    <row r="7" spans="1:19" ht="18" customHeight="1">
      <c r="B7" s="180" t="s">
        <v>198</v>
      </c>
      <c r="C7" s="181">
        <f>تسعير!AA10</f>
        <v>400</v>
      </c>
      <c r="D7" s="182" t="s">
        <v>230</v>
      </c>
      <c r="E7" s="183">
        <f>تسعير!X8</f>
        <v>400</v>
      </c>
    </row>
    <row r="8" spans="1:19" ht="18" customHeight="1">
      <c r="F8" s="1">
        <v>5</v>
      </c>
    </row>
    <row r="9" spans="1:19" ht="18" customHeight="1">
      <c r="A9" s="11" t="s">
        <v>391</v>
      </c>
    </row>
    <row r="10" spans="1:19" ht="18" customHeight="1">
      <c r="A10" s="11" t="s">
        <v>392</v>
      </c>
    </row>
    <row r="11" spans="1:19" ht="18" customHeight="1">
      <c r="A11" s="11" t="s">
        <v>393</v>
      </c>
      <c r="B11" s="894" t="s">
        <v>394</v>
      </c>
      <c r="C11" s="895"/>
      <c r="D11" s="905" t="s">
        <v>395</v>
      </c>
      <c r="E11" s="906"/>
    </row>
    <row r="12" spans="1:19" ht="18" customHeight="1">
      <c r="A12" s="11" t="s">
        <v>396</v>
      </c>
    </row>
    <row r="13" spans="1:19" ht="18" customHeight="1">
      <c r="A13" s="11" t="s">
        <v>397</v>
      </c>
    </row>
    <row r="14" spans="1:19" ht="18" customHeight="1"/>
    <row r="15" spans="1:19" ht="24.6" customHeight="1">
      <c r="A15" s="11" t="s">
        <v>398</v>
      </c>
      <c r="Q15" s="899"/>
      <c r="R15" s="899"/>
      <c r="S15" s="899"/>
    </row>
    <row r="16" spans="1:19" ht="18" customHeight="1">
      <c r="C16" s="907" t="s">
        <v>399</v>
      </c>
      <c r="D16" s="907"/>
      <c r="E16" s="907"/>
      <c r="F16" s="1" t="s">
        <v>400</v>
      </c>
    </row>
    <row r="17" spans="1:19" ht="18" customHeight="1">
      <c r="A17" s="907" t="s">
        <v>401</v>
      </c>
      <c r="B17" s="907"/>
      <c r="C17" s="907"/>
    </row>
    <row r="18" spans="1:19" ht="18" customHeight="1">
      <c r="A18" s="896" t="s">
        <v>402</v>
      </c>
      <c r="B18" s="897"/>
      <c r="C18" s="14">
        <f>'Format Φωτισμου'!B9</f>
        <v>3</v>
      </c>
    </row>
    <row r="19" spans="1:19" ht="18" customHeight="1">
      <c r="A19" s="896" t="s">
        <v>403</v>
      </c>
      <c r="B19" s="897"/>
      <c r="C19" s="14">
        <f>'Format Φωτισμου'!B12</f>
        <v>9</v>
      </c>
    </row>
    <row r="20" spans="1:19" ht="18" customHeight="1">
      <c r="A20" s="896" t="s">
        <v>404</v>
      </c>
      <c r="B20" s="897"/>
      <c r="C20" s="14">
        <f>C19/C18</f>
        <v>3</v>
      </c>
    </row>
    <row r="21" spans="1:19" ht="18" customHeight="1">
      <c r="A21" s="901" t="s">
        <v>405</v>
      </c>
      <c r="B21" s="902"/>
      <c r="C21" s="903">
        <v>20</v>
      </c>
      <c r="D21" s="904"/>
      <c r="E21" s="894" t="s">
        <v>406</v>
      </c>
      <c r="F21" s="895"/>
      <c r="G21" s="895"/>
      <c r="H21" s="14">
        <f>C21/C18</f>
        <v>6.666666666666667</v>
      </c>
      <c r="J21" s="900"/>
      <c r="K21" s="900"/>
      <c r="L21" s="900"/>
      <c r="M21" s="900"/>
      <c r="N21" s="900"/>
      <c r="O21" s="900"/>
      <c r="P21" s="900"/>
      <c r="Q21" s="900"/>
      <c r="R21" s="900"/>
      <c r="S21" s="900"/>
    </row>
    <row r="22" spans="1:19" ht="18" customHeight="1">
      <c r="A22" s="896" t="s">
        <v>407</v>
      </c>
      <c r="B22" s="897"/>
      <c r="C22" s="179">
        <v>50</v>
      </c>
      <c r="D22" s="184" t="s">
        <v>408</v>
      </c>
      <c r="J22" s="900"/>
      <c r="K22" s="900"/>
      <c r="L22" s="900"/>
      <c r="M22" s="900"/>
      <c r="N22" s="900"/>
      <c r="O22" s="900"/>
      <c r="P22" s="900"/>
      <c r="Q22" s="900"/>
      <c r="R22" s="900"/>
      <c r="S22" s="900"/>
    </row>
    <row r="23" spans="1:19" ht="18" customHeight="1">
      <c r="J23" s="900"/>
      <c r="K23" s="900"/>
      <c r="L23" s="900"/>
      <c r="M23" s="900"/>
      <c r="N23" s="900"/>
      <c r="O23" s="900"/>
      <c r="P23" s="900"/>
      <c r="Q23" s="900"/>
      <c r="R23" s="900"/>
      <c r="S23" s="900"/>
    </row>
    <row r="24" spans="1:19" ht="18" customHeight="1"/>
    <row r="25" spans="1:19" ht="18" customHeight="1">
      <c r="A25" s="11" t="s">
        <v>409</v>
      </c>
      <c r="J25" s="898"/>
      <c r="K25" s="898"/>
      <c r="L25" s="898"/>
      <c r="M25" s="898"/>
      <c r="N25" s="898"/>
      <c r="O25" s="898"/>
      <c r="P25" s="898"/>
      <c r="Q25" s="898"/>
      <c r="R25" s="15"/>
      <c r="S25" s="10"/>
    </row>
    <row r="26" spans="1:19" ht="18" customHeight="1">
      <c r="G26" s="1" t="s">
        <v>410</v>
      </c>
      <c r="H26" s="1" t="s">
        <v>411</v>
      </c>
    </row>
    <row r="27" spans="1:19" ht="18" customHeight="1">
      <c r="A27" s="11" t="s">
        <v>412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9"/>
      <c r="K27" s="899"/>
      <c r="L27" s="899"/>
      <c r="M27" s="899"/>
      <c r="N27" s="899"/>
      <c r="O27" s="899"/>
      <c r="P27" s="899"/>
      <c r="Q27" s="899"/>
      <c r="R27" s="899"/>
      <c r="S27" s="899"/>
    </row>
    <row r="28" spans="1:19" ht="18" customHeight="1">
      <c r="A28" s="11" t="s">
        <v>413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spans="1:1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spans="1:19" ht="18" customHeight="1">
      <c r="A30" s="11" t="s">
        <v>393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spans="1:19" ht="18" customHeight="1"/>
    <row r="32" spans="1:19" ht="18" customHeight="1"/>
    <row r="33" ht="18" customHeight="1"/>
    <row r="34" ht="18" customHeight="1"/>
  </sheetData>
  <sheetProtection password="C6E5" sheet="1" objects="1" scenarios="1" selectLockedCells="1" selectUnlockedCells="1"/>
  <mergeCells count="21"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D98"/>
  <sheetViews>
    <sheetView rightToLeft="1" zoomScaleNormal="100" workbookViewId="0">
      <selection sqref="A1:N1"/>
    </sheetView>
  </sheetViews>
  <sheetFormatPr defaultColWidth="9.140625" defaultRowHeight="18.75"/>
  <cols>
    <col min="1" max="1" width="2.7109375" style="10" customWidth="1"/>
    <col min="2" max="5" width="8.7109375" style="10" customWidth="1"/>
    <col min="6" max="6" width="4.85546875" style="10" customWidth="1"/>
    <col min="7" max="7" width="8.28515625" style="10" customWidth="1"/>
    <col min="8" max="8" width="2.7109375" style="10" customWidth="1"/>
    <col min="9" max="12" width="8.7109375" style="10" customWidth="1"/>
    <col min="13" max="13" width="4.85546875" style="10" customWidth="1"/>
    <col min="14" max="14" width="9.140625" style="59"/>
    <col min="15" max="15" width="19.7109375" style="59" customWidth="1"/>
    <col min="16" max="16" width="5" style="60" customWidth="1"/>
    <col min="17" max="17" width="8.28515625" style="60" customWidth="1"/>
    <col min="18" max="18" width="4.7109375" style="60" customWidth="1"/>
    <col min="19" max="19" width="10.5703125" style="60" customWidth="1"/>
    <col min="20" max="20" width="16.5703125" style="61" customWidth="1"/>
    <col min="21" max="21" width="10" style="60" customWidth="1"/>
    <col min="22" max="22" width="13.5703125" style="60" customWidth="1"/>
    <col min="23" max="23" width="14" style="60" customWidth="1"/>
    <col min="24" max="24" width="15.85546875" style="60" customWidth="1"/>
    <col min="25" max="25" width="8.5703125" style="60" customWidth="1"/>
    <col min="26" max="26" width="10.7109375" style="60" customWidth="1"/>
    <col min="27" max="28" width="9.42578125" style="62" customWidth="1"/>
    <col min="29" max="30" width="9.140625" style="58" customWidth="1"/>
    <col min="31" max="52" width="9.140625" style="10" customWidth="1"/>
    <col min="53" max="16384" width="9.140625" style="10"/>
  </cols>
  <sheetData>
    <row r="1" spans="1:28" ht="40.5" customHeight="1">
      <c r="A1" s="994" t="s">
        <v>414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6"/>
      <c r="O1" s="87"/>
      <c r="P1" s="88"/>
      <c r="Q1" s="88"/>
      <c r="R1" s="88"/>
      <c r="W1" s="136">
        <f>IF(تسعير!T6="سادة",Royal!J2+20000,IF(تسعير!T6="خشبي",Royal!J2+40000,0))</f>
        <v>292000</v>
      </c>
      <c r="X1" s="60" t="s">
        <v>415</v>
      </c>
      <c r="Y1" s="136" t="e">
        <f>Royal!#REF!</f>
        <v>#REF!</v>
      </c>
      <c r="Z1" s="151" t="s">
        <v>416</v>
      </c>
      <c r="AA1" s="60"/>
      <c r="AB1" s="60"/>
    </row>
    <row r="2" spans="1:28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spans="1:28" ht="12.75" customHeight="1">
      <c r="A3" s="1009" t="s">
        <v>383</v>
      </c>
      <c r="B3" s="1009"/>
      <c r="C3" s="1009"/>
      <c r="D3" s="1011">
        <f>تسجيل1!B2</f>
        <v>0</v>
      </c>
      <c r="E3" s="1011"/>
      <c r="F3" s="1011"/>
      <c r="G3" s="1011"/>
      <c r="H3" s="1011"/>
      <c r="I3" s="1011"/>
      <c r="J3" s="1011"/>
      <c r="K3" s="1011"/>
      <c r="L3" s="1011"/>
      <c r="M3" s="997" t="s">
        <v>417</v>
      </c>
      <c r="N3" s="997"/>
      <c r="O3" s="89"/>
      <c r="P3" s="90"/>
      <c r="Q3" s="90"/>
      <c r="R3" s="90"/>
      <c r="Z3" s="151"/>
      <c r="AA3" s="60"/>
      <c r="AB3" s="60"/>
    </row>
    <row r="4" spans="1:28" ht="13.5" customHeight="1">
      <c r="A4" s="1010"/>
      <c r="B4" s="1010"/>
      <c r="C4" s="1010"/>
      <c r="D4" s="1012"/>
      <c r="E4" s="1012"/>
      <c r="F4" s="1012"/>
      <c r="G4" s="1011"/>
      <c r="H4" s="1011"/>
      <c r="I4" s="1012"/>
      <c r="J4" s="1012"/>
      <c r="K4" s="1012"/>
      <c r="L4" s="1012"/>
      <c r="M4" s="998"/>
      <c r="N4" s="998"/>
      <c r="O4" s="91"/>
      <c r="P4" s="92"/>
      <c r="Q4" s="92"/>
      <c r="R4" s="92"/>
      <c r="Z4" s="151"/>
      <c r="AA4" s="60"/>
      <c r="AB4" s="60"/>
    </row>
    <row r="5" spans="1:28" ht="13.5" customHeight="1">
      <c r="A5" s="999" t="e">
        <f>Y1</f>
        <v>#REF!</v>
      </c>
      <c r="B5" s="1000"/>
      <c r="C5" s="1001"/>
      <c r="D5" s="1002" t="s">
        <v>416</v>
      </c>
      <c r="E5" s="1003"/>
      <c r="F5" s="1004"/>
      <c r="G5" s="63"/>
      <c r="H5" s="63"/>
      <c r="I5" s="999">
        <f>W1</f>
        <v>292000</v>
      </c>
      <c r="J5" s="1000"/>
      <c r="K5" s="1001"/>
      <c r="L5" s="1002" t="s">
        <v>418</v>
      </c>
      <c r="M5" s="1003"/>
      <c r="N5" s="1004"/>
      <c r="O5" s="93"/>
      <c r="P5" s="92"/>
      <c r="Q5" s="92"/>
      <c r="R5" s="92"/>
      <c r="Z5" s="151"/>
      <c r="AA5" s="60"/>
      <c r="AB5" s="60"/>
    </row>
    <row r="6" spans="1:28" ht="16.5" customHeight="1">
      <c r="A6" s="941" t="s">
        <v>419</v>
      </c>
      <c r="B6" s="942"/>
      <c r="C6" s="943"/>
      <c r="D6" s="935" t="s">
        <v>420</v>
      </c>
      <c r="E6" s="1005" t="s">
        <v>390</v>
      </c>
      <c r="F6" s="1006"/>
      <c r="G6" s="978"/>
      <c r="H6" s="978"/>
      <c r="I6" s="1006"/>
      <c r="J6" s="1007"/>
      <c r="K6" s="1008">
        <f>تسجيل1!C7</f>
        <v>400</v>
      </c>
      <c r="L6" s="1008"/>
      <c r="M6" s="94" t="s">
        <v>421</v>
      </c>
      <c r="N6" s="186">
        <f>تسجيل1!E7</f>
        <v>400</v>
      </c>
      <c r="O6" s="96" t="s">
        <v>51</v>
      </c>
      <c r="P6" s="97"/>
      <c r="Q6" s="97"/>
      <c r="R6" s="97"/>
      <c r="Z6" s="151"/>
      <c r="AA6" s="60"/>
      <c r="AB6" s="60"/>
    </row>
    <row r="7" spans="1:28" ht="21.75">
      <c r="A7" s="941"/>
      <c r="B7" s="942"/>
      <c r="C7" s="943"/>
      <c r="D7" s="935"/>
      <c r="E7" s="977" t="s">
        <v>422</v>
      </c>
      <c r="F7" s="978"/>
      <c r="G7" s="978"/>
      <c r="H7" s="978"/>
      <c r="I7" s="978"/>
      <c r="J7" s="979"/>
      <c r="K7" s="980">
        <f>K6*N6/10000</f>
        <v>16</v>
      </c>
      <c r="L7" s="980"/>
      <c r="M7" s="980"/>
      <c r="N7" s="98" t="s">
        <v>423</v>
      </c>
      <c r="O7" s="99">
        <f>AA41/K7</f>
        <v>2913.1315802590207</v>
      </c>
      <c r="S7" s="60" t="s">
        <v>51</v>
      </c>
      <c r="T7" s="61" t="s">
        <v>424</v>
      </c>
      <c r="Z7" s="151"/>
      <c r="AA7" s="60"/>
      <c r="AB7" s="60"/>
    </row>
    <row r="8" spans="1:28">
      <c r="A8" s="944"/>
      <c r="B8" s="945"/>
      <c r="C8" s="946"/>
      <c r="D8" s="936"/>
      <c r="E8" s="981" t="s">
        <v>425</v>
      </c>
      <c r="F8" s="982"/>
      <c r="G8" s="982"/>
      <c r="H8" s="982"/>
      <c r="I8" s="982"/>
      <c r="J8" s="983"/>
      <c r="K8" s="984">
        <f>K6-1</f>
        <v>399</v>
      </c>
      <c r="L8" s="984"/>
      <c r="M8" s="100" t="s">
        <v>426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46610.105284144331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17.811360000000001</v>
      </c>
      <c r="U8" s="138">
        <f>T8*S8</f>
        <v>3562.2719999999999</v>
      </c>
      <c r="Z8" s="151"/>
      <c r="AA8" s="60"/>
      <c r="AB8" s="60"/>
    </row>
    <row r="9" spans="1:28">
      <c r="V9" s="90"/>
      <c r="Z9" s="151"/>
      <c r="AA9" s="60"/>
      <c r="AB9" s="60"/>
    </row>
    <row r="10" spans="1:28" ht="30" customHeight="1">
      <c r="A10" s="985" t="s">
        <v>427</v>
      </c>
      <c r="B10" s="985"/>
      <c r="C10" s="985"/>
      <c r="D10" s="985"/>
      <c r="E10" s="985"/>
      <c r="F10" s="985"/>
      <c r="G10" s="986" t="s">
        <v>371</v>
      </c>
      <c r="H10" s="986"/>
      <c r="I10" s="986" t="s">
        <v>428</v>
      </c>
      <c r="J10" s="986"/>
      <c r="K10" s="104"/>
      <c r="L10" s="987" t="s">
        <v>412</v>
      </c>
      <c r="M10" s="987"/>
      <c r="N10" s="987"/>
      <c r="O10" s="105"/>
      <c r="P10" s="97"/>
      <c r="Q10" s="97"/>
      <c r="R10" s="97"/>
      <c r="S10" s="90" t="s">
        <v>429</v>
      </c>
      <c r="T10" s="90" t="s">
        <v>430</v>
      </c>
      <c r="U10" s="90" t="s">
        <v>431</v>
      </c>
      <c r="V10" s="90" t="s">
        <v>432</v>
      </c>
      <c r="W10" s="60" t="s">
        <v>433</v>
      </c>
      <c r="X10" s="60" t="s">
        <v>17</v>
      </c>
      <c r="Z10" s="151"/>
      <c r="AA10" s="60"/>
      <c r="AB10" s="60"/>
    </row>
    <row r="11" spans="1:28" ht="20.100000000000001" customHeight="1">
      <c r="A11" s="988" t="s">
        <v>434</v>
      </c>
      <c r="B11" s="989"/>
      <c r="C11" s="989"/>
      <c r="D11" s="989"/>
      <c r="E11" s="989"/>
      <c r="F11" s="990"/>
      <c r="G11" s="991">
        <f>L11</f>
        <v>2</v>
      </c>
      <c r="H11" s="991"/>
      <c r="I11" s="992">
        <f>'Format διαστασης οδηγου'!F8</f>
        <v>365</v>
      </c>
      <c r="J11" s="992"/>
      <c r="K11" s="106"/>
      <c r="L11" s="993">
        <f>IF(تسعير!T10=Sheet2!A3,2,IF(Format!A7=1,تسجيل1!H27,IF(Format!A7=2,تسجيل1!H27,IF(Format!A7=3,تسجيل1!H27,IF(Format!A7=4,تسجيل1!H27,IF(Format!A7=5,تسجيل1!H27,"-------"))))))</f>
        <v>2</v>
      </c>
      <c r="M11" s="993"/>
      <c r="N11" s="993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6">
        <v>4.4562770562770604</v>
      </c>
      <c r="X11" s="587">
        <f>($W$1/1000)*W11*V11</f>
        <v>9759.2467532467635</v>
      </c>
      <c r="Z11" s="151"/>
      <c r="AA11" s="60"/>
      <c r="AB11" s="60"/>
    </row>
    <row r="12" spans="1:28" ht="20.100000000000001" customHeight="1">
      <c r="A12" s="965" t="s">
        <v>435</v>
      </c>
      <c r="B12" s="965"/>
      <c r="C12" s="965"/>
      <c r="D12" s="965"/>
      <c r="E12" s="965"/>
      <c r="F12" s="965"/>
      <c r="G12" s="966">
        <f>IF(L11&gt;2,4,IF(L11=2,2))</f>
        <v>2</v>
      </c>
      <c r="H12" s="966"/>
      <c r="I12" s="96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1.9950000000000001</v>
      </c>
      <c r="U12" s="60">
        <f t="shared" ref="U12:U21" si="0">CEILING(T12,0.25)</f>
        <v>2</v>
      </c>
      <c r="V12" s="60">
        <f t="shared" ref="V12:V20" si="1">G12*S12</f>
        <v>8</v>
      </c>
      <c r="W12" s="586">
        <v>1.8637873754152801</v>
      </c>
      <c r="X12" s="587">
        <f>($W$1/1000)*W12*V12</f>
        <v>4353.8073089700938</v>
      </c>
      <c r="Z12" s="151"/>
      <c r="AA12" s="60"/>
      <c r="AB12" s="60"/>
    </row>
    <row r="13" spans="1:28" ht="20.100000000000001" customHeight="1">
      <c r="A13" s="965" t="s">
        <v>436</v>
      </c>
      <c r="B13" s="965"/>
      <c r="C13" s="965"/>
      <c r="D13" s="965"/>
      <c r="E13" s="965"/>
      <c r="F13" s="965"/>
      <c r="G13" s="966" t="str">
        <f>IF(L11&lt;=3,"0",(L11-3)*2)</f>
        <v>0</v>
      </c>
      <c r="H13" s="966"/>
      <c r="I13" s="967">
        <f>IF(G13="-------","-------",L17-5)</f>
        <v>386</v>
      </c>
      <c r="J13" s="967"/>
      <c r="K13" s="106"/>
      <c r="L13" s="976" t="s">
        <v>437</v>
      </c>
      <c r="M13" s="976"/>
      <c r="N13" s="976"/>
      <c r="O13" s="108"/>
      <c r="P13" s="60">
        <f t="shared" ref="P13:P20" si="2">IF(I13&lt;=300,3,0)</f>
        <v>0</v>
      </c>
      <c r="Q13" s="60">
        <f t="shared" ref="Q13:Q20" si="3">IF(I13&gt;300,3.5,0)</f>
        <v>3.5</v>
      </c>
      <c r="R13" s="60">
        <f t="shared" ref="R13:R20" si="4">IF(I13&gt;350,4,0)</f>
        <v>4</v>
      </c>
      <c r="S13" s="148">
        <f>IF(تسعير!$T$10=Sheet2!$A$3,ROUND((I13/100),0),MAX(P13:R13))</f>
        <v>4</v>
      </c>
      <c r="T13" s="61">
        <f t="shared" ref="T13:T20" si="5">(G13*I13)/S13/100</f>
        <v>0</v>
      </c>
      <c r="U13" s="60">
        <f t="shared" si="0"/>
        <v>0</v>
      </c>
      <c r="V13" s="60">
        <f t="shared" si="1"/>
        <v>0</v>
      </c>
      <c r="W13" s="586">
        <v>1.8637873754152801</v>
      </c>
      <c r="X13" s="587">
        <f t="shared" ref="X13:X20" si="6">($W$1/1000)*W13*V13</f>
        <v>0</v>
      </c>
      <c r="Z13" s="151"/>
      <c r="AA13" s="60"/>
      <c r="AB13" s="60"/>
    </row>
    <row r="14" spans="1:28" ht="20.100000000000001" customHeight="1">
      <c r="A14" s="965" t="s">
        <v>438</v>
      </c>
      <c r="B14" s="965"/>
      <c r="C14" s="965"/>
      <c r="D14" s="965"/>
      <c r="E14" s="965"/>
      <c r="F14" s="965"/>
      <c r="G14" s="966">
        <f>IF(L11&gt;2,2*L14,IF(L11=2,L14))</f>
        <v>5</v>
      </c>
      <c r="H14" s="966"/>
      <c r="I14" s="967">
        <f>I12</f>
        <v>399</v>
      </c>
      <c r="J14" s="967"/>
      <c r="K14" s="106"/>
      <c r="L14" s="109">
        <f>تسجيل1!H28</f>
        <v>5</v>
      </c>
      <c r="M14" s="110" t="s">
        <v>439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4.9874999999999998</v>
      </c>
      <c r="U14" s="60">
        <f>CEILING(T14,0.5)</f>
        <v>5</v>
      </c>
      <c r="V14" s="60">
        <f t="shared" si="1"/>
        <v>20</v>
      </c>
      <c r="W14" s="586">
        <v>1.05172413793103</v>
      </c>
      <c r="X14" s="587">
        <f t="shared" si="6"/>
        <v>6142.0689655172155</v>
      </c>
      <c r="Z14" s="151"/>
      <c r="AA14" s="60"/>
      <c r="AB14" s="60"/>
    </row>
    <row r="15" spans="1:28" ht="20.100000000000001" customHeight="1">
      <c r="A15" s="965" t="s">
        <v>440</v>
      </c>
      <c r="B15" s="965"/>
      <c r="C15" s="965"/>
      <c r="D15" s="965"/>
      <c r="E15" s="965"/>
      <c r="F15" s="965"/>
      <c r="G15" s="966" t="str">
        <f>IF(L11&lt;=3,"0",(L11-3)*L14)</f>
        <v>0</v>
      </c>
      <c r="H15" s="966"/>
      <c r="I15" s="967">
        <f>IF(G15="-------","---------",I13)</f>
        <v>386</v>
      </c>
      <c r="J15" s="96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6">
        <v>1.05172413793103</v>
      </c>
      <c r="X15" s="587">
        <f t="shared" si="6"/>
        <v>0</v>
      </c>
      <c r="Z15" s="151"/>
      <c r="AA15" s="60"/>
      <c r="AB15" s="60"/>
    </row>
    <row r="16" spans="1:28" ht="20.100000000000001" customHeight="1">
      <c r="A16" s="965" t="s">
        <v>441</v>
      </c>
      <c r="B16" s="965"/>
      <c r="C16" s="965"/>
      <c r="D16" s="965"/>
      <c r="E16" s="965"/>
      <c r="F16" s="965"/>
      <c r="G16" s="966">
        <v>1</v>
      </c>
      <c r="H16" s="966"/>
      <c r="I16" s="96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7"/>
      <c r="K16" s="106"/>
      <c r="L16" s="960" t="s">
        <v>442</v>
      </c>
      <c r="M16" s="960"/>
      <c r="N16" s="960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0.99375000000000002</v>
      </c>
      <c r="U16" s="60">
        <f>CEILING(T16,0.5)</f>
        <v>1</v>
      </c>
      <c r="V16" s="60">
        <f t="shared" si="1"/>
        <v>4</v>
      </c>
      <c r="W16" s="586">
        <v>1.3948717948717999</v>
      </c>
      <c r="X16" s="587">
        <f t="shared" si="6"/>
        <v>1629.2102564102622</v>
      </c>
      <c r="Z16" s="151"/>
      <c r="AA16" s="60"/>
      <c r="AB16" s="60"/>
    </row>
    <row r="17" spans="1:28" ht="20.100000000000001" customHeight="1">
      <c r="A17" s="965" t="s">
        <v>443</v>
      </c>
      <c r="B17" s="965"/>
      <c r="C17" s="965"/>
      <c r="D17" s="965"/>
      <c r="E17" s="965"/>
      <c r="F17" s="965"/>
      <c r="G17" s="966" t="str">
        <f>IF(L11=2,"0",1)</f>
        <v>0</v>
      </c>
      <c r="H17" s="966"/>
      <c r="I17" s="967">
        <f>IF(G17="-------","-------",IF(Format!A7=1,(L17+3),IF(Format!A7=2,(L17+3.5),IF(Format!A7=3,(L17+3),IF(Format!A7=4,(L17+4.25),IF(Format!A7=5,(L17+5),"--------"))))))</f>
        <v>394.5</v>
      </c>
      <c r="J17" s="967"/>
      <c r="K17" s="106"/>
      <c r="L17" s="975">
        <f>IF(Format!A7=1,(K6-2-6)/(L11-1),IF(Format!A7=2,(K6-2-7)/(L11-1),IF(Format!A7=3,(K6-2-6)/(L11-1),IF(Format!A7=4,(K6-2-8.5)/(L11-1),IF(Format!A7=5,(K6-2-10)/(L11-1),"--------")))))</f>
        <v>391</v>
      </c>
      <c r="M17" s="975"/>
      <c r="N17" s="975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6">
        <v>1.3948717948717999</v>
      </c>
      <c r="X17" s="587">
        <f t="shared" si="6"/>
        <v>0</v>
      </c>
      <c r="Z17" s="151"/>
      <c r="AA17" s="60"/>
      <c r="AB17" s="60"/>
    </row>
    <row r="18" spans="1:28" ht="20.100000000000001" customHeight="1">
      <c r="A18" s="965" t="s">
        <v>444</v>
      </c>
      <c r="B18" s="965"/>
      <c r="C18" s="965"/>
      <c r="D18" s="965"/>
      <c r="E18" s="965"/>
      <c r="F18" s="965"/>
      <c r="G18" s="966" t="str">
        <f>IF(L11&lt;=3,"0",(L11-3))</f>
        <v>0</v>
      </c>
      <c r="H18" s="966"/>
      <c r="I18" s="967">
        <f>IF(G18="-------","-------",L17)</f>
        <v>391</v>
      </c>
      <c r="J18" s="96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6">
        <v>1.3948717948717999</v>
      </c>
      <c r="X18" s="587">
        <f t="shared" si="6"/>
        <v>0</v>
      </c>
      <c r="Z18" s="151"/>
      <c r="AA18" s="60"/>
      <c r="AB18" s="60"/>
    </row>
    <row r="19" spans="1:28" ht="20.100000000000001" customHeight="1">
      <c r="A19" s="965" t="str">
        <f>IF(Format!H4=1,"Balloon","-------")</f>
        <v>-------</v>
      </c>
      <c r="B19" s="965"/>
      <c r="C19" s="965"/>
      <c r="D19" s="965"/>
      <c r="E19" s="965"/>
      <c r="F19" s="965"/>
      <c r="G19" s="966" t="str">
        <f>IF([1]Format!H4=1,'[1]تقطيع البرجولة'!L14,"0")</f>
        <v>0</v>
      </c>
      <c r="H19" s="966"/>
      <c r="I19" s="967">
        <f>IF(G19="-------","-------",K6-2.5)</f>
        <v>397.5</v>
      </c>
      <c r="J19" s="967"/>
      <c r="K19" s="106"/>
      <c r="L19" s="968" t="s">
        <v>393</v>
      </c>
      <c r="M19" s="969"/>
      <c r="N19" s="970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7">
        <f t="shared" si="6"/>
        <v>0</v>
      </c>
      <c r="Z19" s="151"/>
      <c r="AA19" s="60"/>
      <c r="AB19" s="60"/>
    </row>
    <row r="20" spans="1:28" ht="20.100000000000001" customHeight="1">
      <c r="A20" s="971" t="s">
        <v>445</v>
      </c>
      <c r="B20" s="972"/>
      <c r="C20" s="972"/>
      <c r="D20" s="972"/>
      <c r="E20" s="972"/>
      <c r="F20" s="973"/>
      <c r="G20" s="971">
        <f>IF(تسعير!T10=Sheet2!A3,0,(G12+G13)/2)</f>
        <v>1</v>
      </c>
      <c r="H20" s="972"/>
      <c r="I20" s="967">
        <f>L17-7</f>
        <v>384</v>
      </c>
      <c r="J20" s="967"/>
      <c r="K20" s="106"/>
      <c r="L20" s="114" t="s">
        <v>371</v>
      </c>
      <c r="M20" s="974" t="s">
        <v>446</v>
      </c>
      <c r="N20" s="974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7">
        <f t="shared" si="6"/>
        <v>1927.1999999999998</v>
      </c>
      <c r="Z20" s="151"/>
      <c r="AA20" s="60"/>
      <c r="AB20" s="60"/>
    </row>
    <row r="21" spans="1:28" ht="20.100000000000001" customHeight="1">
      <c r="A21" s="957" t="s">
        <v>447</v>
      </c>
      <c r="B21" s="957"/>
      <c r="C21" s="957"/>
      <c r="D21" s="957"/>
      <c r="E21" s="957"/>
      <c r="F21" s="957"/>
      <c r="G21" s="958">
        <f>L11</f>
        <v>2</v>
      </c>
      <c r="H21" s="958"/>
      <c r="I21" s="959">
        <f>(I11*2)+45</f>
        <v>775</v>
      </c>
      <c r="J21" s="959"/>
      <c r="K21" s="106"/>
      <c r="L21" s="112">
        <f>IF(Format!E7=1,"-------",IF(Format!E7=5,"-------",تسجيل1!H30))</f>
        <v>2</v>
      </c>
      <c r="M21" s="960" t="str">
        <f>IF(L21="-------","-------",تسجيل1!D11)</f>
        <v>4Χ220- 1Χ250</v>
      </c>
      <c r="N21" s="960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spans="1:28" ht="20.10000000000000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spans="1:28" ht="20.100000000000001" customHeight="1">
      <c r="A23" s="961" t="s">
        <v>448</v>
      </c>
      <c r="B23" s="962"/>
      <c r="C23" s="962"/>
      <c r="D23" s="962"/>
      <c r="E23" s="963"/>
      <c r="F23" s="67" t="s">
        <v>449</v>
      </c>
      <c r="G23" s="68"/>
      <c r="H23" s="961" t="s">
        <v>450</v>
      </c>
      <c r="I23" s="962"/>
      <c r="J23" s="962"/>
      <c r="K23" s="962"/>
      <c r="L23" s="963"/>
      <c r="M23" s="67" t="s">
        <v>371</v>
      </c>
      <c r="N23" s="119"/>
      <c r="O23" s="119"/>
      <c r="P23" s="120"/>
      <c r="Q23" s="120"/>
      <c r="R23" s="120"/>
      <c r="S23" s="146"/>
      <c r="T23" s="147" t="s">
        <v>451</v>
      </c>
      <c r="U23" s="146" t="s">
        <v>452</v>
      </c>
      <c r="V23" s="146" t="s">
        <v>453</v>
      </c>
      <c r="W23" s="146" t="s">
        <v>454</v>
      </c>
      <c r="X23" s="146" t="s">
        <v>452</v>
      </c>
      <c r="Y23" s="146" t="s">
        <v>453</v>
      </c>
      <c r="Z23" s="160"/>
      <c r="AA23" s="146">
        <v>1</v>
      </c>
      <c r="AB23" s="146">
        <v>2</v>
      </c>
    </row>
    <row r="24" spans="1:28" ht="20.100000000000001" customHeight="1">
      <c r="A24" s="69">
        <v>1</v>
      </c>
      <c r="B24" s="964" t="s">
        <v>455</v>
      </c>
      <c r="C24" s="964"/>
      <c r="D24" s="964"/>
      <c r="E24" s="964"/>
      <c r="F24" s="70">
        <f>L11</f>
        <v>2</v>
      </c>
      <c r="G24" s="71"/>
      <c r="H24" s="69">
        <v>16</v>
      </c>
      <c r="I24" s="964" t="s">
        <v>398</v>
      </c>
      <c r="J24" s="964"/>
      <c r="K24" s="964"/>
      <c r="L24" s="964"/>
      <c r="M24" s="588">
        <f>IF(تسعير!T10=Sheet2!A3,1,IF(K7&lt;=65,1,2))</f>
        <v>1</v>
      </c>
      <c r="N24" s="119"/>
      <c r="O24" s="119"/>
      <c r="P24" s="121"/>
      <c r="Q24" s="121"/>
      <c r="R24" s="121"/>
      <c r="T24" s="61" t="str">
        <f t="shared" ref="T24:T38" si="7">B24</f>
        <v>بالتة تثبيت البروفيل في الحائط</v>
      </c>
      <c r="U24" s="148"/>
      <c r="V24" s="148">
        <v>130</v>
      </c>
      <c r="W24" s="60" t="str">
        <f t="shared" ref="W24:W38" si="8">I24</f>
        <v xml:space="preserve"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spans="1:28" ht="20.100000000000001" customHeight="1">
      <c r="A25" s="72">
        <v>2</v>
      </c>
      <c r="B25" s="950" t="s">
        <v>456</v>
      </c>
      <c r="C25" s="950"/>
      <c r="D25" s="950"/>
      <c r="E25" s="950"/>
      <c r="F25" s="73">
        <f>L11</f>
        <v>2</v>
      </c>
      <c r="G25" s="71"/>
      <c r="H25" s="72">
        <v>17</v>
      </c>
      <c r="I25" s="950" t="s">
        <v>39</v>
      </c>
      <c r="J25" s="950"/>
      <c r="K25" s="950"/>
      <c r="L25" s="950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 xml:space="preserve">ريموت كنترول </v>
      </c>
      <c r="X25" s="148"/>
      <c r="Y25" s="148">
        <f>Sheet2!B34</f>
        <v>2000</v>
      </c>
      <c r="Z25" s="151"/>
      <c r="AA25" s="60">
        <f t="shared" ref="AA25:AA38" si="9">V25*F25</f>
        <v>44</v>
      </c>
      <c r="AB25" s="60">
        <f t="shared" ref="AB25:AB38" si="10">Y25*M25</f>
        <v>2000</v>
      </c>
    </row>
    <row r="26" spans="1:28" ht="20.100000000000001" customHeight="1">
      <c r="A26" s="72">
        <v>3</v>
      </c>
      <c r="B26" s="950" t="s">
        <v>457</v>
      </c>
      <c r="C26" s="950"/>
      <c r="D26" s="950"/>
      <c r="E26" s="950"/>
      <c r="F26" s="73">
        <f>M24</f>
        <v>1</v>
      </c>
      <c r="G26" s="71"/>
      <c r="H26" s="72">
        <v>18</v>
      </c>
      <c r="I26" s="950" t="s">
        <v>458</v>
      </c>
      <c r="J26" s="950"/>
      <c r="K26" s="950"/>
      <c r="L26" s="950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spans="1:28" ht="20.100000000000001" customHeight="1">
      <c r="A27" s="72">
        <v>4</v>
      </c>
      <c r="B27" s="947" t="s">
        <v>459</v>
      </c>
      <c r="C27" s="948"/>
      <c r="D27" s="948"/>
      <c r="E27" s="949"/>
      <c r="F27" s="73">
        <v>4</v>
      </c>
      <c r="G27" s="71"/>
      <c r="H27" s="72">
        <v>19</v>
      </c>
      <c r="I27" s="950" t="s">
        <v>460</v>
      </c>
      <c r="J27" s="950"/>
      <c r="K27" s="950"/>
      <c r="L27" s="950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spans="1:28" ht="20.100000000000001" customHeight="1">
      <c r="A28" s="72">
        <v>5</v>
      </c>
      <c r="B28" s="947" t="s">
        <v>461</v>
      </c>
      <c r="C28" s="948"/>
      <c r="D28" s="948"/>
      <c r="E28" s="949"/>
      <c r="F28" s="73">
        <f>L14</f>
        <v>5</v>
      </c>
      <c r="G28" s="71"/>
      <c r="H28" s="72">
        <v>20</v>
      </c>
      <c r="I28" s="950" t="s">
        <v>462</v>
      </c>
      <c r="J28" s="950"/>
      <c r="K28" s="950"/>
      <c r="L28" s="950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spans="1:28" ht="20.100000000000001" customHeight="1">
      <c r="A29" s="72">
        <v>6</v>
      </c>
      <c r="B29" s="947" t="s">
        <v>463</v>
      </c>
      <c r="C29" s="948"/>
      <c r="D29" s="948"/>
      <c r="E29" s="949"/>
      <c r="F29" s="73">
        <f>L11*2</f>
        <v>4</v>
      </c>
      <c r="G29" s="71"/>
      <c r="H29" s="72">
        <v>21</v>
      </c>
      <c r="I29" s="950" t="s">
        <v>40</v>
      </c>
      <c r="J29" s="950"/>
      <c r="K29" s="950"/>
      <c r="L29" s="950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spans="1:28" ht="20.100000000000001" customHeight="1">
      <c r="A30" s="72">
        <v>7</v>
      </c>
      <c r="B30" s="947" t="s">
        <v>464</v>
      </c>
      <c r="C30" s="948"/>
      <c r="D30" s="948"/>
      <c r="E30" s="949"/>
      <c r="F30" s="73">
        <f>L14*L11</f>
        <v>10</v>
      </c>
      <c r="G30" s="71"/>
      <c r="H30" s="72">
        <v>22</v>
      </c>
      <c r="I30" s="950" t="s">
        <v>41</v>
      </c>
      <c r="J30" s="950"/>
      <c r="K30" s="950"/>
      <c r="L30" s="950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spans="1:28" ht="20.100000000000001" customHeight="1">
      <c r="A31" s="72">
        <v>8</v>
      </c>
      <c r="B31" s="947" t="s">
        <v>465</v>
      </c>
      <c r="C31" s="948"/>
      <c r="D31" s="948"/>
      <c r="E31" s="949"/>
      <c r="F31" s="73">
        <f>(L14+N14)*2</f>
        <v>14</v>
      </c>
      <c r="G31" s="71"/>
      <c r="H31" s="72">
        <v>23</v>
      </c>
      <c r="I31" s="950" t="s">
        <v>466</v>
      </c>
      <c r="J31" s="950"/>
      <c r="K31" s="950"/>
      <c r="L31" s="950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 xml:space="preserve"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spans="1:28" ht="20.100000000000001" customHeight="1">
      <c r="A32" s="72">
        <v>9</v>
      </c>
      <c r="B32" s="947" t="s">
        <v>467</v>
      </c>
      <c r="C32" s="948"/>
      <c r="D32" s="948"/>
      <c r="E32" s="949"/>
      <c r="F32" s="73">
        <f>(L14+N14)*2</f>
        <v>14</v>
      </c>
      <c r="G32" s="71"/>
      <c r="H32" s="72">
        <v>24</v>
      </c>
      <c r="I32" s="950" t="s">
        <v>468</v>
      </c>
      <c r="J32" s="950"/>
      <c r="K32" s="950"/>
      <c r="L32" s="950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 xml:space="preserve"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spans="1:28" s="58" customFormat="1" ht="20.100000000000001" customHeight="1">
      <c r="A33" s="72">
        <v>10</v>
      </c>
      <c r="B33" s="947" t="s">
        <v>469</v>
      </c>
      <c r="C33" s="948"/>
      <c r="D33" s="948"/>
      <c r="E33" s="949"/>
      <c r="F33" s="73">
        <f>L11*3</f>
        <v>6</v>
      </c>
      <c r="G33" s="71"/>
      <c r="H33" s="72">
        <v>25</v>
      </c>
      <c r="I33" s="950" t="s">
        <v>470</v>
      </c>
      <c r="J33" s="950"/>
      <c r="K33" s="950"/>
      <c r="L33" s="950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 xml:space="preserve"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spans="1:28" s="58" customFormat="1" ht="20.100000000000001" customHeight="1">
      <c r="A34" s="72">
        <v>11</v>
      </c>
      <c r="B34" s="947" t="s">
        <v>471</v>
      </c>
      <c r="C34" s="948"/>
      <c r="D34" s="948"/>
      <c r="E34" s="949"/>
      <c r="F34" s="73">
        <f>L11*3</f>
        <v>6</v>
      </c>
      <c r="G34" s="71"/>
      <c r="H34" s="72">
        <v>26</v>
      </c>
      <c r="I34" s="950" t="s">
        <v>42</v>
      </c>
      <c r="J34" s="950"/>
      <c r="K34" s="950"/>
      <c r="L34" s="950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spans="1:28" s="58" customFormat="1" ht="20.100000000000001" customHeight="1">
      <c r="A35" s="72">
        <v>12</v>
      </c>
      <c r="B35" s="947" t="s">
        <v>472</v>
      </c>
      <c r="C35" s="948"/>
      <c r="D35" s="948"/>
      <c r="E35" s="949"/>
      <c r="F35" s="73" t="str">
        <f>IF(L11&gt;2,(L11-2)*2,"0")</f>
        <v>0</v>
      </c>
      <c r="G35" s="74"/>
      <c r="H35" s="72">
        <v>27</v>
      </c>
      <c r="I35" s="950" t="s">
        <v>43</v>
      </c>
      <c r="J35" s="950"/>
      <c r="K35" s="950"/>
      <c r="L35" s="950"/>
      <c r="M35" s="73">
        <f>M34</f>
        <v>0</v>
      </c>
      <c r="N35" s="119"/>
      <c r="O35" s="119"/>
      <c r="P35" s="121"/>
      <c r="Q35" s="121"/>
      <c r="R35" s="121"/>
      <c r="S35" s="121">
        <v>0.38500000000000001</v>
      </c>
      <c r="T35" s="61" t="str">
        <f t="shared" si="7"/>
        <v xml:space="preserve"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spans="1:28" s="58" customFormat="1" ht="20.100000000000001" customHeight="1">
      <c r="A36" s="72">
        <v>13</v>
      </c>
      <c r="B36" s="947" t="s">
        <v>473</v>
      </c>
      <c r="C36" s="948"/>
      <c r="D36" s="948"/>
      <c r="E36" s="949"/>
      <c r="F36" s="73" t="str">
        <f>IF(L11&gt;2,(L11-2)*L14,"0")</f>
        <v>0</v>
      </c>
      <c r="G36" s="74"/>
      <c r="H36" s="72">
        <v>28</v>
      </c>
      <c r="I36" s="950" t="s">
        <v>474</v>
      </c>
      <c r="J36" s="950"/>
      <c r="K36" s="950"/>
      <c r="L36" s="950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 xml:space="preserve">وصلة مداد صغير </v>
      </c>
      <c r="U36" s="148"/>
      <c r="V36" s="148">
        <v>30</v>
      </c>
      <c r="W36" s="60" t="str">
        <f t="shared" si="8"/>
        <v xml:space="preserve"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spans="1:28" s="58" customFormat="1" ht="20.100000000000001" customHeight="1">
      <c r="A37" s="72">
        <v>14</v>
      </c>
      <c r="B37" s="947" t="s">
        <v>475</v>
      </c>
      <c r="C37" s="948"/>
      <c r="D37" s="948"/>
      <c r="E37" s="949"/>
      <c r="F37" s="73">
        <f>M24</f>
        <v>1</v>
      </c>
      <c r="G37" s="74"/>
      <c r="H37" s="72">
        <v>29</v>
      </c>
      <c r="I37" s="950" t="s">
        <v>476</v>
      </c>
      <c r="J37" s="950"/>
      <c r="K37" s="950"/>
      <c r="L37" s="950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spans="1:28" s="58" customFormat="1" ht="18.600000000000001" customHeight="1">
      <c r="A38" s="72">
        <v>15</v>
      </c>
      <c r="B38" s="950" t="s">
        <v>44</v>
      </c>
      <c r="C38" s="950"/>
      <c r="D38" s="950"/>
      <c r="E38" s="950"/>
      <c r="F38" s="73">
        <f>تسجيل1!C21</f>
        <v>20</v>
      </c>
      <c r="G38" s="74"/>
      <c r="H38" s="72">
        <v>30</v>
      </c>
      <c r="I38" s="950" t="s">
        <v>477</v>
      </c>
      <c r="J38" s="950"/>
      <c r="K38" s="950"/>
      <c r="L38" s="950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spans="1:28" s="58" customFormat="1" ht="15.6" customHeigh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7">
        <f>SUM(AA24:AB38)</f>
        <v>18451</v>
      </c>
      <c r="AB39" s="937"/>
    </row>
    <row r="40" spans="1:28" s="58" customFormat="1" ht="20.45" customHeight="1">
      <c r="A40" s="951" t="s">
        <v>478</v>
      </c>
      <c r="B40" s="952"/>
      <c r="C40" s="952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7"/>
      <c r="AB40" s="937"/>
    </row>
    <row r="41" spans="1:28" s="58" customFormat="1" ht="18.75" customHeight="1">
      <c r="A41" s="938" t="str">
        <f>IF(Format!I5=1,"-------",IF(Format!I5=2,Format!I3,Format!I4))</f>
        <v xml:space="preserve">صونفي </v>
      </c>
      <c r="B41" s="939"/>
      <c r="C41" s="940"/>
      <c r="D41" s="81"/>
      <c r="E41" s="81"/>
      <c r="F41" s="76"/>
      <c r="G41" s="68"/>
      <c r="H41" s="75"/>
      <c r="I41" s="81"/>
      <c r="J41" s="81"/>
      <c r="K41" s="81"/>
      <c r="L41" s="953" t="s">
        <v>386</v>
      </c>
      <c r="M41" s="954"/>
      <c r="N41" s="955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6">
        <f>AA39+X22+U8</f>
        <v>46610.105284144331</v>
      </c>
      <c r="AB41" s="956"/>
    </row>
    <row r="42" spans="1:28" s="58" customFormat="1" ht="13.9" customHeight="1">
      <c r="A42" s="938"/>
      <c r="B42" s="939"/>
      <c r="C42" s="940"/>
      <c r="D42" s="10"/>
      <c r="E42" s="10"/>
      <c r="F42" s="10"/>
      <c r="G42" s="10"/>
      <c r="H42" s="10"/>
      <c r="I42" s="10"/>
      <c r="J42" s="10"/>
      <c r="K42" s="10"/>
      <c r="L42" s="916" t="str">
        <f>IF(Format!B5=1,Format!B2,IF(Format!B5=2,Format!B3,تسجيل1!F4))</f>
        <v>بيج  Ral 1013</v>
      </c>
      <c r="M42" s="917"/>
      <c r="N42" s="918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spans="1:28" s="58" customFormat="1" ht="15" customHeight="1">
      <c r="A43" s="919" t="str">
        <f>IF(Format!P5=1,"Τηλεχειρισμος",IF(Format!P5=2,"-------","Διακοπτης"))</f>
        <v>Τηλεχειρισμος</v>
      </c>
      <c r="B43" s="920"/>
      <c r="C43" s="921"/>
      <c r="D43" s="10"/>
      <c r="E43" s="10"/>
      <c r="F43" s="10"/>
      <c r="G43" s="10"/>
      <c r="H43" s="10"/>
      <c r="I43" s="10"/>
      <c r="J43" s="10"/>
      <c r="K43" s="10"/>
      <c r="L43" s="922" t="s">
        <v>388</v>
      </c>
      <c r="M43" s="923"/>
      <c r="N43" s="924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spans="1:28" s="58" customFormat="1" ht="18.600000000000001" customHeigh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5" t="str">
        <f>IF(Format!C8=1,Format!C2,IF(Format!C8=2,Format!C3,IF(Format!C8=3,Format!C4,IF(Format!C8=4,Format!C5,IF(Format!C8=5,Format!C6,تسجيل1!F5)))))</f>
        <v>بيج  Ral 1013</v>
      </c>
      <c r="M44" s="926"/>
      <c r="N44" s="927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 spans="1:28">
      <c r="S45" s="151"/>
      <c r="T45" s="154"/>
      <c r="Z45" s="151"/>
      <c r="AA45" s="60"/>
      <c r="AB45" s="60"/>
    </row>
    <row r="46" spans="1:28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 spans="1:28">
      <c r="T47" s="158"/>
      <c r="U47" s="159"/>
      <c r="V47" s="159"/>
      <c r="W47" s="159"/>
      <c r="X47" s="159"/>
      <c r="Y47" s="159"/>
      <c r="Z47" s="159"/>
    </row>
    <row r="48" spans="1:2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pans="1:28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pans="1:28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pans="1:28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pans="1:28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pans="1:28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pans="1:28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pans="1:28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pans="1:28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pans="1:28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pans="1:2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pans="1:28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pans="1:28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pans="1:28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pans="1:28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pans="1:28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pans="1:28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pans="1:28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pans="1:28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pans="1:2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pans="1:28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pans="1:28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pans="1:28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pans="1:28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pans="1:28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pans="1:28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pans="1:28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pans="1:28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pans="1:28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pans="1:2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pans="1:28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pans="1:28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pans="1:28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pans="1:28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pans="1:28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pans="1:28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pans="1:28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pans="1:28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pans="1:2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pans="1:28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pans="1:28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pans="1:28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pans="1:28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pans="1:28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pans="1:28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pans="1:28" s="58" customFormat="1">
      <c r="A96" s="928" t="str">
        <f>A3</f>
        <v xml:space="preserve">اسم العميل </v>
      </c>
      <c r="B96" s="929"/>
      <c r="C96" s="929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pans="1:28" s="58" customFormat="1">
      <c r="A97" s="166"/>
      <c r="B97" s="167"/>
      <c r="C97" s="167"/>
      <c r="D97" s="167"/>
      <c r="E97" s="168" t="str">
        <f>E8</f>
        <v xml:space="preserve"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0">
        <f>N8</f>
        <v>372</v>
      </c>
      <c r="N97" s="931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pans="1:28" s="58" customFormat="1">
      <c r="A98" s="170"/>
      <c r="B98" s="171"/>
      <c r="C98" s="171"/>
      <c r="D98" s="171"/>
      <c r="E98" s="170" t="str">
        <f>L43</f>
        <v xml:space="preserve">لون البي في سي </v>
      </c>
      <c r="F98" s="171"/>
      <c r="G98" s="171"/>
      <c r="H98" s="171"/>
      <c r="I98" s="178"/>
      <c r="J98" s="932" t="str">
        <f>L44</f>
        <v>بيج  Ral 1013</v>
      </c>
      <c r="K98" s="933"/>
      <c r="L98" s="933"/>
      <c r="M98" s="933"/>
      <c r="N98" s="934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 count="105"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A38" workbookViewId="0">
      <selection activeCell="A38" sqref="A38:A245"/>
    </sheetView>
  </sheetViews>
  <sheetFormatPr defaultColWidth="8.85546875" defaultRowHeight="15"/>
  <cols>
    <col min="1" max="1" width="8.85546875" style="361"/>
    <col min="2" max="2" width="40.7109375" style="361" customWidth="1"/>
    <col min="3" max="4" width="10.28515625" style="361" customWidth="1"/>
    <col min="5" max="5" width="14" style="361" customWidth="1"/>
    <col min="6" max="6" width="16.140625" style="361" customWidth="1"/>
    <col min="7" max="8" width="10.140625" style="361" customWidth="1"/>
    <col min="9" max="9" width="8.85546875" style="361"/>
    <col min="10" max="10" width="12.28515625" style="361" customWidth="1"/>
    <col min="11" max="11" width="13.42578125" style="361" customWidth="1"/>
    <col min="12" max="12" width="36.5703125" style="361" customWidth="1"/>
    <col min="13" max="15" width="8.85546875" style="361"/>
    <col min="16" max="16" width="15.28515625" style="361" customWidth="1"/>
    <col min="17" max="17" width="8.85546875" style="361"/>
    <col min="18" max="18" width="3.28515625" style="361" customWidth="1"/>
    <col min="19" max="19" width="23.7109375" style="361" customWidth="1"/>
    <col min="20" max="20" width="9.42578125" style="361" customWidth="1"/>
    <col min="21" max="21" width="14.140625" style="361" customWidth="1"/>
    <col min="22" max="22" width="10.5703125" style="361" customWidth="1"/>
    <col min="23" max="23" width="16" style="361" customWidth="1"/>
    <col min="24" max="24" width="2.5703125" style="361" customWidth="1"/>
    <col min="25" max="26" width="8.85546875" style="361"/>
    <col min="27" max="27" width="26.7109375" style="361" customWidth="1"/>
    <col min="28" max="30" width="8.85546875" style="361"/>
    <col min="31" max="31" width="16.28515625" style="361" customWidth="1"/>
    <col min="32" max="16384" width="8.85546875" style="361"/>
  </cols>
  <sheetData>
    <row r="1" spans="1:35">
      <c r="AF1" s="361" t="s">
        <v>97</v>
      </c>
      <c r="AG1" s="361">
        <v>300</v>
      </c>
      <c r="AH1" s="361">
        <v>300</v>
      </c>
      <c r="AI1" s="361" t="s">
        <v>6</v>
      </c>
    </row>
    <row r="2" spans="1:35" ht="31.15" customHeight="1">
      <c r="B2" s="635" t="s">
        <v>705</v>
      </c>
      <c r="C2" s="635" t="s">
        <v>198</v>
      </c>
      <c r="D2" s="635" t="s">
        <v>199</v>
      </c>
      <c r="E2" s="635" t="s">
        <v>706</v>
      </c>
      <c r="F2" s="635" t="s">
        <v>707</v>
      </c>
      <c r="G2" s="1014" t="s">
        <v>708</v>
      </c>
      <c r="H2" s="1014"/>
      <c r="K2" s="635" t="s">
        <v>709</v>
      </c>
      <c r="AF2" s="361" t="s">
        <v>710</v>
      </c>
      <c r="AG2" s="361">
        <v>350</v>
      </c>
      <c r="AH2" s="361">
        <v>350</v>
      </c>
      <c r="AI2" s="361" t="s">
        <v>11</v>
      </c>
    </row>
    <row r="3" spans="1:35" ht="31.15" customHeight="1">
      <c r="B3" s="596" t="str">
        <f>تسعير!AH60</f>
        <v>PERSA</v>
      </c>
      <c r="C3" s="596">
        <f>تسعير!AI60</f>
        <v>350</v>
      </c>
      <c r="D3" s="596">
        <f>تسعير!AJ60</f>
        <v>350</v>
      </c>
      <c r="E3" s="596" t="str">
        <f>تسعير!AK60</f>
        <v>سادة</v>
      </c>
      <c r="F3" s="596" t="str">
        <f>تسعير!AL60</f>
        <v>سادة</v>
      </c>
      <c r="G3" s="1015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178988.21875</v>
      </c>
      <c r="H3" s="1015"/>
      <c r="K3" s="636">
        <f>Sheet2!B14</f>
        <v>252000</v>
      </c>
      <c r="AF3" s="361" t="s">
        <v>711</v>
      </c>
      <c r="AG3" s="361">
        <v>400</v>
      </c>
      <c r="AH3" s="361">
        <v>400</v>
      </c>
    </row>
    <row r="4" spans="1:35">
      <c r="AF4" s="361" t="s">
        <v>712</v>
      </c>
      <c r="AG4" s="361">
        <v>450</v>
      </c>
      <c r="AH4" s="361">
        <v>450</v>
      </c>
    </row>
    <row r="5" spans="1:35">
      <c r="A5" s="637"/>
      <c r="B5" s="637"/>
      <c r="C5" s="637"/>
      <c r="D5" s="637"/>
      <c r="E5" s="637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  <c r="Q5" s="638"/>
      <c r="R5" s="638"/>
      <c r="S5" s="638"/>
      <c r="T5" s="638"/>
      <c r="U5" s="638"/>
      <c r="V5" s="638"/>
      <c r="W5" s="638"/>
      <c r="X5" s="638"/>
      <c r="AF5" s="361" t="s">
        <v>713</v>
      </c>
      <c r="AG5" s="361">
        <v>500</v>
      </c>
      <c r="AH5" s="361">
        <v>500</v>
      </c>
    </row>
    <row r="6" spans="1:35" ht="14.45" customHeight="1">
      <c r="B6" s="361" t="s">
        <v>16</v>
      </c>
      <c r="C6" s="361" t="s">
        <v>671</v>
      </c>
      <c r="D6" s="361" t="s">
        <v>637</v>
      </c>
      <c r="E6" s="361" t="s">
        <v>714</v>
      </c>
      <c r="F6" s="361" t="s">
        <v>672</v>
      </c>
      <c r="H6" s="1016" t="s">
        <v>97</v>
      </c>
      <c r="I6" s="1016"/>
      <c r="J6" s="1016"/>
      <c r="K6" s="1016"/>
      <c r="L6" s="1016" t="s">
        <v>710</v>
      </c>
      <c r="M6" s="1016"/>
      <c r="R6" s="638"/>
      <c r="S6" s="361" t="s">
        <v>715</v>
      </c>
      <c r="T6" s="361">
        <f>IF(Table1134[العرض]&lt;=600,ROUND((Table1134[العرض]/100),0),"NO")</f>
        <v>4</v>
      </c>
      <c r="V6" s="1017" t="s">
        <v>712</v>
      </c>
      <c r="W6" s="1017"/>
      <c r="X6" s="638"/>
      <c r="AF6" s="361" t="s">
        <v>716</v>
      </c>
      <c r="AG6" s="361">
        <v>550</v>
      </c>
      <c r="AH6" s="361">
        <v>550</v>
      </c>
    </row>
    <row r="7" spans="1:35" ht="14.45" customHeight="1">
      <c r="B7" s="361" t="s">
        <v>717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6"/>
      <c r="I7" s="1016"/>
      <c r="J7" s="1016"/>
      <c r="K7" s="1016"/>
      <c r="L7" s="1016"/>
      <c r="M7" s="1016"/>
      <c r="R7" s="638"/>
      <c r="S7" s="361" t="s">
        <v>718</v>
      </c>
      <c r="T7" s="361">
        <f>IF(Table1134[الامتداد]&lt;=600,ROUND((Table1134[الامتداد]/100),0),"NO")</f>
        <v>4</v>
      </c>
      <c r="V7" s="1017"/>
      <c r="W7" s="1017"/>
      <c r="X7" s="638"/>
      <c r="AF7" s="361" t="s">
        <v>719</v>
      </c>
      <c r="AG7" s="361">
        <v>600</v>
      </c>
      <c r="AH7" s="361">
        <v>600</v>
      </c>
    </row>
    <row r="8" spans="1:35" ht="14.45" customHeight="1">
      <c r="B8" s="361" t="s">
        <v>720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6"/>
      <c r="I8" s="1016"/>
      <c r="J8" s="1016"/>
      <c r="K8" s="1016"/>
      <c r="L8" s="1016"/>
      <c r="M8" s="1016"/>
      <c r="P8" s="361">
        <f>P13*K24*I24*330</f>
        <v>46200</v>
      </c>
      <c r="R8" s="638"/>
      <c r="S8" s="361" t="s">
        <v>721</v>
      </c>
      <c r="T8" s="361">
        <f>IF(Table1134[العرض]&lt;=Table1134[الامتداد],T7*T6,"NO")</f>
        <v>16</v>
      </c>
      <c r="X8" s="638"/>
      <c r="AF8" s="361" t="s">
        <v>722</v>
      </c>
      <c r="AG8" s="361">
        <v>650</v>
      </c>
      <c r="AH8" s="361">
        <v>650</v>
      </c>
    </row>
    <row r="9" spans="1:35" ht="14.45" customHeight="1">
      <c r="B9" s="361" t="s">
        <v>723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6"/>
      <c r="I9" s="1016"/>
      <c r="J9" s="1016"/>
      <c r="K9" s="1016"/>
      <c r="L9" s="1016"/>
      <c r="M9" s="1016"/>
      <c r="R9" s="638"/>
      <c r="S9" s="361" t="s">
        <v>724</v>
      </c>
      <c r="T9" s="361">
        <f>(Table1134[العرض]-((T14*5)+20))/T6</f>
        <v>78.75</v>
      </c>
      <c r="U9" s="361" t="s">
        <v>421</v>
      </c>
      <c r="V9" s="361">
        <f>(Table1134[الامتداد]-((T15*5)+20))/T7</f>
        <v>78.75</v>
      </c>
      <c r="X9" s="638"/>
      <c r="AG9" s="361">
        <v>700</v>
      </c>
      <c r="AH9" s="361">
        <v>700</v>
      </c>
    </row>
    <row r="10" spans="1:35" ht="14.45" customHeight="1">
      <c r="B10" s="361" t="s">
        <v>725</v>
      </c>
      <c r="C10" s="361">
        <v>1</v>
      </c>
      <c r="F10" s="639">
        <f>Table80102[[#Totals],[price]]</f>
        <v>109818.05</v>
      </c>
      <c r="H10" s="1016"/>
      <c r="I10" s="1016"/>
      <c r="J10" s="1016"/>
      <c r="K10" s="1016"/>
      <c r="L10" s="1016"/>
      <c r="M10" s="1016"/>
      <c r="R10" s="638"/>
      <c r="S10" s="361" t="s">
        <v>726</v>
      </c>
      <c r="T10" s="361">
        <f>ROUND((V9+3)/13,0)</f>
        <v>6</v>
      </c>
      <c r="X10" s="638"/>
    </row>
    <row r="11" spans="1:35" ht="14.45" customHeight="1">
      <c r="B11" s="527" t="s">
        <v>727</v>
      </c>
      <c r="F11" s="361">
        <f>SUM(F7:F10)*0.1</f>
        <v>13017.325000000001</v>
      </c>
      <c r="H11" s="1016"/>
      <c r="I11" s="1016"/>
      <c r="J11" s="1016"/>
      <c r="K11" s="1016"/>
      <c r="L11" s="533" t="s">
        <v>230</v>
      </c>
      <c r="M11" s="534">
        <f>Table1134[الامتداد]</f>
        <v>350</v>
      </c>
      <c r="N11" s="533" t="s">
        <v>198</v>
      </c>
      <c r="O11" s="534">
        <f>Table1134[العرض]</f>
        <v>350</v>
      </c>
      <c r="P11" s="533" t="s">
        <v>59</v>
      </c>
      <c r="Q11" s="534" t="str">
        <f>Table1134[لون اللوفرز]</f>
        <v>سادة</v>
      </c>
      <c r="R11" s="638"/>
      <c r="S11" s="361" t="s">
        <v>16</v>
      </c>
      <c r="T11" s="361" t="s">
        <v>671</v>
      </c>
      <c r="U11" s="361" t="s">
        <v>637</v>
      </c>
      <c r="V11" s="361" t="s">
        <v>714</v>
      </c>
      <c r="W11" s="361" t="s">
        <v>672</v>
      </c>
      <c r="X11" s="638"/>
    </row>
    <row r="12" spans="1:35" ht="14.45" customHeight="1">
      <c r="B12" s="361" t="s">
        <v>146</v>
      </c>
      <c r="F12" s="640">
        <f>SUBTOTAL(109,Table2135[القيمة])</f>
        <v>143190.57500000001</v>
      </c>
      <c r="H12" s="1016"/>
      <c r="I12" s="1016"/>
      <c r="J12" s="1016"/>
      <c r="K12" s="1016"/>
      <c r="L12" s="193" t="s">
        <v>8</v>
      </c>
      <c r="M12" s="194" t="s">
        <v>124</v>
      </c>
      <c r="N12" s="194" t="s">
        <v>344</v>
      </c>
      <c r="O12" s="194" t="s">
        <v>9</v>
      </c>
      <c r="P12" s="194" t="s">
        <v>345</v>
      </c>
      <c r="Q12" s="194" t="s">
        <v>346</v>
      </c>
      <c r="R12" s="638"/>
      <c r="S12" s="361" t="s">
        <v>717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8"/>
    </row>
    <row r="13" spans="1:35" ht="18" customHeight="1">
      <c r="B13" s="533" t="s">
        <v>230</v>
      </c>
      <c r="C13" s="534">
        <f>Table1134[الامتداد]</f>
        <v>350</v>
      </c>
      <c r="D13" s="533" t="s">
        <v>198</v>
      </c>
      <c r="E13" s="534">
        <f>Table1134[العرض]</f>
        <v>350</v>
      </c>
      <c r="F13" s="533" t="s">
        <v>59</v>
      </c>
      <c r="G13" s="534" t="str">
        <f>Table1134[لون اللوفرز]</f>
        <v>سادة</v>
      </c>
      <c r="H13" s="535"/>
      <c r="I13" s="535"/>
      <c r="L13" s="193" t="s">
        <v>349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350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8"/>
      <c r="S13" s="361" t="s">
        <v>728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8"/>
    </row>
    <row r="14" spans="1:35" ht="18" customHeight="1">
      <c r="B14" s="193" t="s">
        <v>8</v>
      </c>
      <c r="C14" s="194" t="s">
        <v>124</v>
      </c>
      <c r="D14" s="194" t="s">
        <v>344</v>
      </c>
      <c r="E14" s="194" t="s">
        <v>9</v>
      </c>
      <c r="F14" s="194" t="s">
        <v>345</v>
      </c>
      <c r="G14" s="194" t="s">
        <v>346</v>
      </c>
      <c r="H14" s="527"/>
      <c r="I14" s="60" t="s">
        <v>347</v>
      </c>
      <c r="J14" s="60"/>
      <c r="K14" s="60" t="s">
        <v>348</v>
      </c>
      <c r="L14" s="193" t="s">
        <v>729</v>
      </c>
      <c r="M14" s="194"/>
      <c r="N14" s="196">
        <f>O11</f>
        <v>350</v>
      </c>
      <c r="O14" s="194" t="s">
        <v>350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8"/>
      <c r="S14" s="361" t="s">
        <v>730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8"/>
    </row>
    <row r="15" spans="1:35" ht="18" customHeight="1">
      <c r="B15" s="193" t="s">
        <v>349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350</v>
      </c>
      <c r="F15" s="194">
        <v>2.2999999999999998</v>
      </c>
      <c r="G15" s="194">
        <f>IF(($G$13="سادة"),(K15*I15*F15*($K$3+25000)/1000),(K15*I15*F15*($K$3+60000)/1000))</f>
        <v>49056.7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t="shared" ref="J15:J20" si="0">(I15*100)/D15</f>
        <v>2.098950524737631</v>
      </c>
      <c r="K15" s="541">
        <f t="shared" ref="K15:K20" si="1">C15/(ROUNDDOWN(J15,0))</f>
        <v>11</v>
      </c>
      <c r="L15" s="193" t="s">
        <v>731</v>
      </c>
      <c r="M15" s="194"/>
      <c r="N15" s="196">
        <f>M11</f>
        <v>350</v>
      </c>
      <c r="O15" s="194" t="s">
        <v>350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8"/>
      <c r="S15" s="361" t="s">
        <v>732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8"/>
    </row>
    <row r="16" spans="1:35" ht="18" customHeight="1">
      <c r="B16" s="193" t="s">
        <v>351</v>
      </c>
      <c r="C16" s="194">
        <v>2</v>
      </c>
      <c r="D16" s="196">
        <f>E13</f>
        <v>350</v>
      </c>
      <c r="E16" s="194" t="s">
        <v>350</v>
      </c>
      <c r="F16" s="194">
        <v>3.8</v>
      </c>
      <c r="G16" s="194">
        <f t="shared" ref="G16:G20" si="2">IF(($G$13="سادة"),(K16*I16*F16*($K$3+25000)/1000),(K16*I16*F16*($K$3+60000)/1000))</f>
        <v>7368.1999999999989</v>
      </c>
      <c r="H16" s="542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1">
        <f t="shared" si="1"/>
        <v>1</v>
      </c>
      <c r="L16" s="193" t="s">
        <v>357</v>
      </c>
      <c r="M16" s="194">
        <v>1</v>
      </c>
      <c r="N16" s="194">
        <f>(15.6*(M13-1)+4)</f>
        <v>300.39999999999998</v>
      </c>
      <c r="O16" s="194" t="s">
        <v>350</v>
      </c>
      <c r="P16" s="194">
        <v>600</v>
      </c>
      <c r="Q16" s="194">
        <f>P16*M16</f>
        <v>600</v>
      </c>
      <c r="R16" s="638"/>
      <c r="S16" s="361" t="s">
        <v>733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8"/>
    </row>
    <row r="17" spans="2:24" ht="18" customHeight="1">
      <c r="B17" s="193" t="s">
        <v>353</v>
      </c>
      <c r="C17" s="194">
        <v>2</v>
      </c>
      <c r="D17" s="196">
        <f>C13</f>
        <v>350</v>
      </c>
      <c r="E17" s="194" t="s">
        <v>350</v>
      </c>
      <c r="F17" s="194">
        <v>3.8</v>
      </c>
      <c r="G17" s="194">
        <f t="shared" si="2"/>
        <v>7368.1999999999989</v>
      </c>
      <c r="H17" s="542"/>
      <c r="I17" s="60">
        <f t="shared" ref="I17:I20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1">
        <f t="shared" si="1"/>
        <v>1</v>
      </c>
      <c r="L17" s="193" t="s">
        <v>361</v>
      </c>
      <c r="M17" s="194"/>
      <c r="N17" s="194">
        <f>M13*2</f>
        <v>40</v>
      </c>
      <c r="O17" s="194" t="s">
        <v>124</v>
      </c>
      <c r="P17" s="194">
        <v>20</v>
      </c>
      <c r="Q17" s="194">
        <f>P17*N17</f>
        <v>800</v>
      </c>
      <c r="R17" s="638"/>
      <c r="S17" s="361" t="s">
        <v>734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8"/>
    </row>
    <row r="18" spans="2:24" ht="18" customHeight="1">
      <c r="B18" s="193" t="s">
        <v>355</v>
      </c>
      <c r="C18" s="194">
        <v>2</v>
      </c>
      <c r="D18" s="196">
        <f>E13</f>
        <v>350</v>
      </c>
      <c r="E18" s="194" t="s">
        <v>350</v>
      </c>
      <c r="F18" s="194">
        <v>1.7</v>
      </c>
      <c r="G18" s="194">
        <f t="shared" si="2"/>
        <v>3296.3</v>
      </c>
      <c r="H18" s="542"/>
      <c r="I18" s="60">
        <f t="shared" si="3"/>
        <v>7</v>
      </c>
      <c r="J18" s="279">
        <f t="shared" si="0"/>
        <v>2</v>
      </c>
      <c r="K18" s="541">
        <f t="shared" si="1"/>
        <v>1</v>
      </c>
      <c r="L18" s="193" t="s">
        <v>364</v>
      </c>
      <c r="M18" s="194"/>
      <c r="N18" s="194">
        <f>M13*2</f>
        <v>40</v>
      </c>
      <c r="O18" s="194" t="s">
        <v>124</v>
      </c>
      <c r="P18" s="194">
        <v>18</v>
      </c>
      <c r="Q18" s="194">
        <f>P18*N18</f>
        <v>720</v>
      </c>
      <c r="R18" s="638"/>
      <c r="S18" s="361" t="s">
        <v>720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8"/>
    </row>
    <row r="19" spans="2:24" ht="18" customHeight="1">
      <c r="B19" s="193" t="s">
        <v>359</v>
      </c>
      <c r="C19" s="194">
        <v>2</v>
      </c>
      <c r="D19" s="196">
        <f>IF(AND(C13&lt;601,C13&gt;349,E13&lt;=C13),C13,"NO")</f>
        <v>350</v>
      </c>
      <c r="E19" s="194" t="s">
        <v>350</v>
      </c>
      <c r="F19" s="194">
        <v>1.7</v>
      </c>
      <c r="G19" s="194">
        <f t="shared" si="2"/>
        <v>3296.3</v>
      </c>
      <c r="H19" s="542"/>
      <c r="I19" s="60">
        <f t="shared" si="3"/>
        <v>7</v>
      </c>
      <c r="J19" s="279">
        <f t="shared" si="0"/>
        <v>2</v>
      </c>
      <c r="K19" s="541">
        <f t="shared" si="1"/>
        <v>1</v>
      </c>
      <c r="L19" s="193" t="s">
        <v>365</v>
      </c>
      <c r="M19" s="194">
        <v>1</v>
      </c>
      <c r="N19" s="196">
        <v>100</v>
      </c>
      <c r="O19" s="194" t="s">
        <v>350</v>
      </c>
      <c r="P19" s="194">
        <v>250</v>
      </c>
      <c r="Q19" s="194">
        <f>Table80102113140[[#This Row],[wt/m]]*Table80102113140[[#This Row],[عدد]]</f>
        <v>250</v>
      </c>
      <c r="R19" s="638"/>
      <c r="S19" s="361" t="s">
        <v>735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8"/>
    </row>
    <row r="20" spans="2:24" ht="18" customHeight="1">
      <c r="B20" s="193" t="s">
        <v>362</v>
      </c>
      <c r="C20" s="194">
        <v>2</v>
      </c>
      <c r="D20" s="194">
        <f>D15</f>
        <v>333.5</v>
      </c>
      <c r="E20" s="194" t="s">
        <v>350</v>
      </c>
      <c r="F20" s="194">
        <v>0.65</v>
      </c>
      <c r="G20" s="194">
        <f t="shared" si="2"/>
        <v>1260.3499999999999</v>
      </c>
      <c r="H20" s="542"/>
      <c r="I20" s="60">
        <f t="shared" si="3"/>
        <v>7</v>
      </c>
      <c r="J20" s="279">
        <f t="shared" si="0"/>
        <v>2.098950524737631</v>
      </c>
      <c r="K20" s="541">
        <f t="shared" si="1"/>
        <v>1</v>
      </c>
      <c r="L20" s="193" t="s">
        <v>370</v>
      </c>
      <c r="M20" s="194"/>
      <c r="N20" s="194">
        <v>100</v>
      </c>
      <c r="O20" s="194" t="s">
        <v>371</v>
      </c>
      <c r="P20" s="194">
        <v>1</v>
      </c>
      <c r="Q20" s="194">
        <f>N20*P20</f>
        <v>100</v>
      </c>
      <c r="R20" s="638"/>
      <c r="S20" s="361" t="s">
        <v>736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8"/>
    </row>
    <row r="21" spans="2:24" ht="18" customHeight="1">
      <c r="B21" s="193" t="s">
        <v>357</v>
      </c>
      <c r="C21" s="194">
        <v>2</v>
      </c>
      <c r="D21" s="194">
        <f>(15.6*(C15-1)+4)</f>
        <v>331.59999999999997</v>
      </c>
      <c r="E21" s="194" t="s">
        <v>350</v>
      </c>
      <c r="F21" s="194">
        <v>1000</v>
      </c>
      <c r="G21" s="194">
        <f>F21*C21</f>
        <v>2000</v>
      </c>
      <c r="H21" s="542"/>
      <c r="I21" s="62"/>
      <c r="J21" s="527"/>
      <c r="K21" s="527"/>
      <c r="L21" s="193" t="s">
        <v>368</v>
      </c>
      <c r="M21" s="194"/>
      <c r="N21" s="194">
        <f>M13*2</f>
        <v>40</v>
      </c>
      <c r="O21" s="194" t="s">
        <v>124</v>
      </c>
      <c r="P21" s="194">
        <v>120</v>
      </c>
      <c r="Q21" s="194">
        <f>N21*P21</f>
        <v>4800</v>
      </c>
      <c r="R21" s="638"/>
      <c r="S21" s="361" t="s">
        <v>737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8"/>
    </row>
    <row r="22" spans="2:24" ht="18" customHeight="1">
      <c r="B22" s="193" t="s">
        <v>361</v>
      </c>
      <c r="C22" s="194"/>
      <c r="D22" s="194">
        <f>C15*2</f>
        <v>44</v>
      </c>
      <c r="E22" s="194" t="s">
        <v>124</v>
      </c>
      <c r="F22" s="194">
        <v>20</v>
      </c>
      <c r="G22" s="194">
        <f>F22*D22</f>
        <v>880</v>
      </c>
      <c r="H22" s="542"/>
      <c r="I22" s="62"/>
      <c r="J22" s="527"/>
      <c r="K22" s="527"/>
      <c r="L22" s="193" t="s">
        <v>369</v>
      </c>
      <c r="M22" s="194"/>
      <c r="N22" s="194">
        <f>M13*2</f>
        <v>40</v>
      </c>
      <c r="O22" s="194" t="s">
        <v>124</v>
      </c>
      <c r="P22" s="194">
        <v>120</v>
      </c>
      <c r="Q22" s="194">
        <f>N22*P22</f>
        <v>4800</v>
      </c>
      <c r="R22" s="638"/>
      <c r="S22" s="361" t="s">
        <v>738</v>
      </c>
      <c r="T22" s="361">
        <v>4</v>
      </c>
      <c r="V22" s="641">
        <v>350</v>
      </c>
      <c r="W22" s="361">
        <f>Table212[[#This Row],[الوزن المتري]]*Table212[[#This Row],[العدد]]</f>
        <v>1400</v>
      </c>
      <c r="X22" s="638"/>
    </row>
    <row r="23" spans="2:24" ht="18" customHeight="1">
      <c r="B23" s="193" t="s">
        <v>364</v>
      </c>
      <c r="C23" s="194"/>
      <c r="D23" s="194">
        <f>C15*2</f>
        <v>44</v>
      </c>
      <c r="E23" s="194" t="s">
        <v>124</v>
      </c>
      <c r="F23" s="194">
        <v>18</v>
      </c>
      <c r="G23" s="194">
        <f>F23*D23</f>
        <v>792</v>
      </c>
      <c r="H23" s="542"/>
      <c r="I23" s="60" t="s">
        <v>347</v>
      </c>
      <c r="J23" s="60"/>
      <c r="K23" s="60" t="s">
        <v>348</v>
      </c>
      <c r="L23" s="193" t="s">
        <v>91</v>
      </c>
      <c r="M23" s="194" t="s">
        <v>124</v>
      </c>
      <c r="N23" s="194">
        <v>1</v>
      </c>
      <c r="O23" s="194" t="s">
        <v>124</v>
      </c>
      <c r="P23" s="194">
        <v>11000</v>
      </c>
      <c r="Q23" s="194">
        <f>P23*N23</f>
        <v>11000</v>
      </c>
      <c r="R23" s="638"/>
      <c r="S23" s="527" t="s">
        <v>739</v>
      </c>
      <c r="T23" s="527">
        <v>1</v>
      </c>
      <c r="U23" s="642" t="s">
        <v>740</v>
      </c>
      <c r="V23" s="527">
        <v>1425</v>
      </c>
      <c r="W23" s="361">
        <f>Table212[[#This Row],[الوزن المتري]]*Table212[[#This Row],[العدد]]</f>
        <v>1425</v>
      </c>
      <c r="X23" s="638"/>
    </row>
    <row r="24" spans="2:24" ht="18" customHeight="1">
      <c r="B24" s="193"/>
      <c r="C24" s="194"/>
      <c r="D24" s="196"/>
      <c r="E24" s="194"/>
      <c r="F24" s="194"/>
      <c r="G24" s="194"/>
      <c r="H24" s="542"/>
      <c r="I24" s="60">
        <f>IF(AND((N13&gt;=300),(N13&lt;334)),7,IF(AND((N13&gt;=335),(N13&lt;384)),4,"NO"))</f>
        <v>7</v>
      </c>
      <c r="J24" s="643">
        <f>(I24*100)/N13</f>
        <v>2.098950524737631</v>
      </c>
      <c r="K24" s="541">
        <f>M13/(ROUNDDOWN(J24,0))</f>
        <v>10</v>
      </c>
      <c r="L24" s="193" t="s">
        <v>146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8"/>
      <c r="S24" s="361" t="s">
        <v>741</v>
      </c>
      <c r="T24" s="361">
        <v>1</v>
      </c>
      <c r="V24" s="641">
        <v>500</v>
      </c>
      <c r="W24" s="361">
        <f>Table212[[#This Row],[الوزن المتري]]*Table212[[#This Row],[العدد]]</f>
        <v>500</v>
      </c>
      <c r="X24" s="638"/>
    </row>
    <row r="25" spans="2:24" ht="18" customHeight="1">
      <c r="B25" s="193" t="s">
        <v>370</v>
      </c>
      <c r="C25" s="194"/>
      <c r="D25" s="194">
        <v>4</v>
      </c>
      <c r="E25" s="194" t="s">
        <v>371</v>
      </c>
      <c r="F25" s="194">
        <v>250</v>
      </c>
      <c r="G25" s="194">
        <f>D25*F25</f>
        <v>1000</v>
      </c>
      <c r="H25" s="542"/>
      <c r="I25" s="60"/>
      <c r="J25" s="643"/>
      <c r="K25" s="541"/>
      <c r="L25" s="361" t="s">
        <v>16</v>
      </c>
      <c r="M25" s="361" t="s">
        <v>671</v>
      </c>
      <c r="N25" s="361" t="s">
        <v>637</v>
      </c>
      <c r="O25" s="361" t="s">
        <v>714</v>
      </c>
      <c r="P25" s="361" t="s">
        <v>672</v>
      </c>
      <c r="R25" s="638"/>
      <c r="S25" s="527" t="s">
        <v>727</v>
      </c>
      <c r="W25" s="361">
        <f>SUM(W12:W24)*0.15</f>
        <v>12992.810999999998</v>
      </c>
      <c r="X25" s="638"/>
    </row>
    <row r="26" spans="2:24" ht="18" customHeight="1">
      <c r="B26" s="193" t="s">
        <v>372</v>
      </c>
      <c r="C26" s="194"/>
      <c r="D26" s="194">
        <v>8</v>
      </c>
      <c r="E26" s="194" t="s">
        <v>124</v>
      </c>
      <c r="F26" s="194">
        <v>300</v>
      </c>
      <c r="G26" s="194">
        <f>D26*F26</f>
        <v>2400</v>
      </c>
      <c r="H26" s="542"/>
      <c r="I26" s="60"/>
      <c r="J26" s="643"/>
      <c r="K26" s="541"/>
      <c r="L26" s="361" t="s">
        <v>717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8"/>
      <c r="S26" s="361" t="s">
        <v>146</v>
      </c>
      <c r="W26" s="640">
        <f>SUBTOTAL(109,Table212[القيمة])</f>
        <v>99611.550999999992</v>
      </c>
      <c r="X26" s="638"/>
    </row>
    <row r="27" spans="2:24" ht="18" customHeight="1">
      <c r="B27" s="193" t="s">
        <v>368</v>
      </c>
      <c r="C27" s="194"/>
      <c r="D27" s="194">
        <f>C15*2</f>
        <v>44</v>
      </c>
      <c r="E27" s="194" t="s">
        <v>124</v>
      </c>
      <c r="F27" s="194">
        <v>120</v>
      </c>
      <c r="G27" s="194">
        <f>D27*F27</f>
        <v>5280</v>
      </c>
      <c r="H27" s="542"/>
      <c r="I27" s="527"/>
      <c r="J27" s="527"/>
      <c r="K27" s="527"/>
      <c r="L27" s="361" t="s">
        <v>728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8"/>
      <c r="S27" s="1013"/>
      <c r="T27" s="1013"/>
      <c r="U27" s="1013"/>
      <c r="V27" s="1013"/>
      <c r="W27" s="1013"/>
      <c r="X27" s="638"/>
    </row>
    <row r="28" spans="2:24" ht="18" customHeight="1">
      <c r="B28" s="193" t="s">
        <v>369</v>
      </c>
      <c r="C28" s="194"/>
      <c r="D28" s="194">
        <f>C15*2</f>
        <v>44</v>
      </c>
      <c r="E28" s="194" t="s">
        <v>124</v>
      </c>
      <c r="F28" s="194">
        <v>120</v>
      </c>
      <c r="G28" s="194">
        <f>D28*F28</f>
        <v>5280</v>
      </c>
      <c r="H28" s="542"/>
      <c r="I28" s="527"/>
      <c r="L28" s="361" t="s">
        <v>720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8"/>
      <c r="V28" s="1017" t="s">
        <v>713</v>
      </c>
      <c r="W28" s="1017"/>
      <c r="X28" s="638"/>
    </row>
    <row r="29" spans="2:24" ht="18" customHeight="1">
      <c r="B29" s="193" t="s">
        <v>373</v>
      </c>
      <c r="C29" s="194">
        <v>2</v>
      </c>
      <c r="D29" s="194"/>
      <c r="E29" s="194" t="s">
        <v>350</v>
      </c>
      <c r="F29" s="194">
        <v>1000</v>
      </c>
      <c r="G29" s="194">
        <f>C29*F29</f>
        <v>2000</v>
      </c>
      <c r="H29" s="542"/>
      <c r="I29" s="527"/>
      <c r="L29" s="361" t="s">
        <v>735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8"/>
      <c r="V29" s="1017"/>
      <c r="W29" s="1017"/>
      <c r="X29" s="638"/>
    </row>
    <row r="30" spans="2:24" ht="18" customHeight="1">
      <c r="B30" s="193" t="s">
        <v>374</v>
      </c>
      <c r="C30" s="194"/>
      <c r="D30" s="194">
        <f>ROUNDUP(((D15*C15)/100),0)</f>
        <v>74</v>
      </c>
      <c r="E30" s="194" t="s">
        <v>350</v>
      </c>
      <c r="F30" s="194">
        <v>10</v>
      </c>
      <c r="G30" s="194">
        <f>D30*F30</f>
        <v>740</v>
      </c>
      <c r="H30" s="542"/>
      <c r="I30" s="527"/>
      <c r="L30" s="361" t="s">
        <v>742</v>
      </c>
      <c r="M30" s="361">
        <v>1</v>
      </c>
      <c r="P30" s="639">
        <f>Table80102113140[[#Totals],[price]]</f>
        <v>61850</v>
      </c>
      <c r="R30" s="638"/>
      <c r="S30" s="361" t="s">
        <v>16</v>
      </c>
      <c r="T30" s="361" t="s">
        <v>671</v>
      </c>
      <c r="U30" s="361" t="s">
        <v>637</v>
      </c>
      <c r="V30" s="361" t="s">
        <v>714</v>
      </c>
      <c r="W30" s="361" t="s">
        <v>672</v>
      </c>
      <c r="X30" s="638"/>
    </row>
    <row r="31" spans="2:24" ht="15.6" customHeight="1">
      <c r="B31" s="193" t="s">
        <v>743</v>
      </c>
      <c r="C31" s="194"/>
      <c r="D31" s="194">
        <f>D30</f>
        <v>74</v>
      </c>
      <c r="E31" s="194" t="s">
        <v>350</v>
      </c>
      <c r="F31" s="194">
        <v>20</v>
      </c>
      <c r="G31" s="194">
        <f>D31*F31</f>
        <v>1480</v>
      </c>
      <c r="H31" s="527"/>
      <c r="I31" s="527"/>
      <c r="L31" s="361" t="s">
        <v>738</v>
      </c>
      <c r="M31" s="361">
        <v>4</v>
      </c>
      <c r="O31" s="641">
        <v>350</v>
      </c>
      <c r="P31" s="361">
        <f>Table211[[#This Row],[الوزن المتري]]*Table211[[#This Row],[العدد]]</f>
        <v>1400</v>
      </c>
      <c r="R31" s="638"/>
      <c r="S31" s="361" t="s">
        <v>717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8"/>
    </row>
    <row r="32" spans="2:24" ht="15.6" customHeight="1">
      <c r="B32" s="193" t="s">
        <v>375</v>
      </c>
      <c r="C32" s="194" t="s">
        <v>376</v>
      </c>
      <c r="D32" s="194">
        <f>ROUNDUP((C15/3),0)</f>
        <v>8</v>
      </c>
      <c r="E32" s="194" t="s">
        <v>124</v>
      </c>
      <c r="F32" s="194">
        <v>250</v>
      </c>
      <c r="G32" s="194">
        <f>D32*F32</f>
        <v>2000</v>
      </c>
      <c r="H32" s="527"/>
      <c r="I32" s="527"/>
      <c r="L32" s="527" t="s">
        <v>739</v>
      </c>
      <c r="M32" s="527">
        <v>1</v>
      </c>
      <c r="N32" s="642" t="s">
        <v>740</v>
      </c>
      <c r="O32" s="527">
        <v>1425</v>
      </c>
      <c r="P32" s="361">
        <f>Table211[[#This Row],[الوزن المتري]]*Table211[[#This Row],[العدد]]</f>
        <v>1425</v>
      </c>
      <c r="R32" s="638"/>
      <c r="S32" s="361" t="s">
        <v>744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8"/>
    </row>
    <row r="33" spans="1:25" ht="15.6" customHeight="1">
      <c r="B33" s="193" t="s">
        <v>377</v>
      </c>
      <c r="C33" s="194" t="s">
        <v>378</v>
      </c>
      <c r="D33" s="194">
        <f>D32</f>
        <v>8</v>
      </c>
      <c r="E33" s="194" t="s">
        <v>124</v>
      </c>
      <c r="F33" s="194">
        <v>40</v>
      </c>
      <c r="G33" s="194">
        <f>F33*D33</f>
        <v>320</v>
      </c>
      <c r="H33" s="527"/>
      <c r="I33" s="527"/>
      <c r="L33" s="361" t="s">
        <v>741</v>
      </c>
      <c r="M33" s="361">
        <v>1</v>
      </c>
      <c r="O33" s="641">
        <v>500</v>
      </c>
      <c r="P33" s="361">
        <f>Table211[[#This Row],[الوزن المتري]]*Table211[[#This Row],[العدد]]</f>
        <v>500</v>
      </c>
      <c r="R33" s="638"/>
      <c r="S33" s="361" t="s">
        <v>745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8"/>
    </row>
    <row r="34" spans="1:25" ht="15.6" customHeight="1">
      <c r="B34" s="193" t="s">
        <v>379</v>
      </c>
      <c r="C34" s="194" t="s">
        <v>124</v>
      </c>
      <c r="D34" s="194">
        <v>2</v>
      </c>
      <c r="E34" s="194" t="s">
        <v>124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727</v>
      </c>
      <c r="M34" s="527"/>
      <c r="N34" s="527"/>
      <c r="O34" s="527"/>
      <c r="P34" s="527">
        <f>SUM(P26:P33)*0.1</f>
        <v>10120.734</v>
      </c>
      <c r="R34" s="638"/>
      <c r="S34" s="361" t="s">
        <v>720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8"/>
    </row>
    <row r="35" spans="1:25" ht="15.6" customHeight="1">
      <c r="B35" s="193" t="s">
        <v>91</v>
      </c>
      <c r="C35" s="194" t="s">
        <v>124</v>
      </c>
      <c r="D35" s="194">
        <v>1</v>
      </c>
      <c r="E35" s="194" t="s">
        <v>124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146</v>
      </c>
      <c r="P35" s="640">
        <f>SUBTOTAL(109,Table211[القيمة])</f>
        <v>111328.07399999999</v>
      </c>
      <c r="R35" s="638"/>
      <c r="S35" s="361" t="s">
        <v>746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8"/>
    </row>
    <row r="36" spans="1:25" ht="15.6" customHeight="1">
      <c r="B36" s="193" t="s">
        <v>146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8"/>
      <c r="S36" s="361" t="s">
        <v>747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8"/>
    </row>
    <row r="37" spans="1:25" ht="14.45" customHeight="1">
      <c r="A37" s="1013"/>
      <c r="B37" s="1013"/>
      <c r="C37" s="1013"/>
      <c r="D37" s="1013"/>
      <c r="E37" s="1013"/>
      <c r="F37" s="1013"/>
      <c r="G37" s="1013"/>
      <c r="H37" s="1013"/>
      <c r="I37" s="1013"/>
      <c r="J37" s="1013"/>
      <c r="K37" s="1013"/>
      <c r="L37" s="1013"/>
      <c r="M37" s="1013"/>
      <c r="N37" s="1013"/>
      <c r="O37" s="1013"/>
      <c r="P37" s="1013"/>
      <c r="Q37" s="1013"/>
      <c r="R37" s="638"/>
      <c r="S37" s="361" t="s">
        <v>748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8"/>
    </row>
    <row r="38" spans="1:25" ht="14.45" customHeight="1">
      <c r="A38" s="1020" t="s">
        <v>711</v>
      </c>
      <c r="B38" s="361" t="s">
        <v>8</v>
      </c>
      <c r="C38" s="361" t="s">
        <v>9</v>
      </c>
      <c r="D38" s="361" t="s">
        <v>3</v>
      </c>
      <c r="E38" s="361" t="s">
        <v>122</v>
      </c>
      <c r="F38" s="361" t="s">
        <v>237</v>
      </c>
      <c r="M38" s="1021" t="s">
        <v>711</v>
      </c>
      <c r="N38" s="1021"/>
      <c r="O38" s="1021"/>
      <c r="P38" s="1021"/>
      <c r="Q38" s="1021"/>
      <c r="R38" s="638"/>
      <c r="S38" s="527" t="s">
        <v>727</v>
      </c>
      <c r="W38" s="361" t="e">
        <f>SUM(W31:W37)*0.1</f>
        <v>#VALUE!</v>
      </c>
      <c r="X38" s="638"/>
    </row>
    <row r="39" spans="1:25" ht="14.45" customHeight="1">
      <c r="A39" s="1020"/>
      <c r="B39" s="361" t="s">
        <v>749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1"/>
      <c r="N39" s="1021"/>
      <c r="O39" s="1021"/>
      <c r="P39" s="1021"/>
      <c r="Q39" s="1021"/>
      <c r="R39" s="638"/>
      <c r="S39" s="361" t="s">
        <v>146</v>
      </c>
      <c r="W39" s="640" t="e">
        <f>SUBTOTAL(109,Table21213[القيمة])</f>
        <v>#VALUE!</v>
      </c>
      <c r="X39" s="638"/>
    </row>
    <row r="40" spans="1:25" ht="14.45" customHeight="1">
      <c r="A40" s="1020"/>
      <c r="B40" s="361" t="s">
        <v>728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1"/>
      <c r="N40" s="1021"/>
      <c r="O40" s="1021"/>
      <c r="P40" s="1021"/>
      <c r="Q40" s="1021"/>
      <c r="R40" s="638"/>
      <c r="S40" s="527"/>
      <c r="T40" s="527"/>
      <c r="U40" s="527"/>
      <c r="V40" s="527"/>
      <c r="W40" s="527"/>
      <c r="X40" s="638"/>
    </row>
    <row r="41" spans="1:25" ht="15" customHeight="1" thickBot="1">
      <c r="A41" s="1020"/>
      <c r="B41" s="361" t="s">
        <v>750</v>
      </c>
      <c r="C41" s="361">
        <v>1</v>
      </c>
      <c r="F41" s="644">
        <f>L47</f>
        <v>58466.751880444339</v>
      </c>
      <c r="M41" s="1021"/>
      <c r="N41" s="1021"/>
      <c r="O41" s="1021"/>
      <c r="P41" s="1021"/>
      <c r="Q41" s="1021"/>
      <c r="R41" s="638"/>
      <c r="S41" s="1022"/>
      <c r="T41" s="1022"/>
      <c r="U41" s="1022"/>
      <c r="V41" s="1022"/>
      <c r="W41" s="1022"/>
      <c r="X41" s="638"/>
    </row>
    <row r="42" spans="1:25" ht="21" customHeight="1" thickBot="1">
      <c r="A42" s="1020"/>
      <c r="B42" s="361" t="s">
        <v>751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3" t="s">
        <v>414</v>
      </c>
      <c r="J42" s="1024"/>
      <c r="K42" s="1025" t="s">
        <v>383</v>
      </c>
      <c r="L42" s="1026"/>
      <c r="M42" s="1021"/>
      <c r="N42" s="1021"/>
      <c r="O42" s="1021"/>
      <c r="P42" s="1021"/>
      <c r="Q42" s="1021"/>
      <c r="R42" s="638"/>
      <c r="S42" s="527" t="s">
        <v>752</v>
      </c>
      <c r="T42" s="527">
        <f>(Table1134[الامتداد]-30)/17</f>
        <v>18.823529411764707</v>
      </c>
      <c r="U42" s="527"/>
      <c r="V42" s="1019" t="s">
        <v>716</v>
      </c>
      <c r="W42" s="1019"/>
      <c r="X42" s="638"/>
    </row>
    <row r="43" spans="1:25" ht="17.45" customHeight="1">
      <c r="A43" s="1020"/>
      <c r="B43" s="361" t="s">
        <v>753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6" t="s">
        <v>390</v>
      </c>
      <c r="J43" s="647">
        <f>Table1134[العرض]</f>
        <v>350</v>
      </c>
      <c r="K43" s="648" t="s">
        <v>421</v>
      </c>
      <c r="L43" s="649">
        <f>Table1134[الامتداد]</f>
        <v>350</v>
      </c>
      <c r="M43" s="1021"/>
      <c r="N43" s="1021"/>
      <c r="O43" s="1021"/>
      <c r="P43" s="1021"/>
      <c r="Q43" s="1021"/>
      <c r="R43" s="638"/>
      <c r="S43" s="527" t="s">
        <v>754</v>
      </c>
      <c r="T43" s="527">
        <f>(Table1134[الامتداد]-30)/17</f>
        <v>18.823529411764707</v>
      </c>
      <c r="U43" s="527">
        <f>ROUND(T42+T43,0)</f>
        <v>38</v>
      </c>
      <c r="V43" s="1019"/>
      <c r="W43" s="1019"/>
      <c r="X43" s="638"/>
    </row>
    <row r="44" spans="1:25" ht="19.149999999999999" customHeight="1">
      <c r="A44" s="1020"/>
      <c r="B44" s="361" t="s">
        <v>748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0" t="s">
        <v>422</v>
      </c>
      <c r="J44" s="647">
        <f>J43*L43/10000</f>
        <v>12.25</v>
      </c>
      <c r="K44" s="651" t="s">
        <v>755</v>
      </c>
      <c r="L44" s="652" t="s">
        <v>756</v>
      </c>
      <c r="M44" s="1021"/>
      <c r="N44" s="1021"/>
      <c r="O44" s="1021"/>
      <c r="P44" s="1021"/>
      <c r="Q44" s="1021"/>
      <c r="R44" s="638"/>
      <c r="S44" s="361" t="s">
        <v>16</v>
      </c>
      <c r="T44" s="361" t="s">
        <v>671</v>
      </c>
      <c r="U44" s="361" t="s">
        <v>637</v>
      </c>
      <c r="V44" s="361" t="s">
        <v>714</v>
      </c>
      <c r="W44" s="361" t="s">
        <v>672</v>
      </c>
      <c r="X44" s="638"/>
    </row>
    <row r="45" spans="1:25" ht="17.45" customHeight="1">
      <c r="A45" s="1020"/>
      <c r="B45" s="361" t="s">
        <v>738</v>
      </c>
      <c r="C45" s="361">
        <f>ROUNDUP((Table1134[العرض]+Table1134[الامتداد])*2/500,0)</f>
        <v>3</v>
      </c>
      <c r="E45" s="641">
        <v>350</v>
      </c>
      <c r="F45" s="361">
        <f>Table4137[[#This Row],[Column4]]*Table4137[[#This Row],[Column2]]</f>
        <v>1050</v>
      </c>
      <c r="I45" s="653" t="s">
        <v>425</v>
      </c>
      <c r="J45" s="651">
        <f>J43-1</f>
        <v>349</v>
      </c>
      <c r="K45" s="654" t="s">
        <v>426</v>
      </c>
      <c r="L45" s="655">
        <f>IF(B141=1,P194,IF(B141=2,P194,IF(B141=3,P194,IF(B141=4,P194,IF(B141=5,P194,"-------")))))</f>
        <v>322</v>
      </c>
      <c r="M45" s="1021"/>
      <c r="N45" s="1021"/>
      <c r="O45" s="1021"/>
      <c r="P45" s="1021"/>
      <c r="Q45" s="1021"/>
      <c r="R45" s="638"/>
      <c r="S45" s="361" t="s">
        <v>717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8"/>
    </row>
    <row r="46" spans="1:25" ht="21" customHeight="1">
      <c r="A46" s="1020"/>
      <c r="B46" s="527" t="s">
        <v>739</v>
      </c>
      <c r="C46" s="527">
        <v>1</v>
      </c>
      <c r="D46" s="642" t="s">
        <v>740</v>
      </c>
      <c r="E46" s="527">
        <v>1425</v>
      </c>
      <c r="F46" s="361">
        <f>Table4137[[#This Row],[Column4]]*Table4137[[#This Row],[Column2]]</f>
        <v>1425</v>
      </c>
      <c r="H46" s="656"/>
      <c r="I46" s="656"/>
      <c r="J46" s="1027" t="s">
        <v>415</v>
      </c>
      <c r="K46" s="1028"/>
      <c r="L46" s="1029">
        <f>IF(Table1134[لون اللوفرز]=AI1,K3+(Sheet2!B41*1000),IF(Table1134[لون اللوفرز]=AI2,K3+Sheet2!B15,"NO"))</f>
        <v>282000</v>
      </c>
      <c r="M46" s="1029"/>
      <c r="N46" s="657"/>
      <c r="O46" s="527"/>
      <c r="P46" s="527"/>
      <c r="Q46" s="527"/>
      <c r="R46" s="638"/>
      <c r="S46" s="361" t="s">
        <v>757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8"/>
      <c r="Y46" s="527"/>
    </row>
    <row r="47" spans="1:25" ht="19.149999999999999" customHeight="1">
      <c r="A47" s="1020"/>
      <c r="B47" s="361" t="s">
        <v>741</v>
      </c>
      <c r="C47" s="361">
        <v>1</v>
      </c>
      <c r="E47" s="641">
        <v>500</v>
      </c>
      <c r="F47" s="361">
        <f>Table4137[[#This Row],[Column4]]*Table4137[[#This Row],[Column2]]</f>
        <v>500</v>
      </c>
      <c r="H47" s="527"/>
      <c r="I47" s="527"/>
      <c r="J47" s="1032" t="s">
        <v>758</v>
      </c>
      <c r="K47" s="1032"/>
      <c r="L47" s="1033">
        <f>Table13138[[#Totals],[السعر]]+Table15139[[#Totals],[قيمة]]</f>
        <v>58466.751880444339</v>
      </c>
      <c r="M47" s="1033"/>
      <c r="N47" s="527"/>
      <c r="O47" s="527"/>
      <c r="P47" s="527"/>
      <c r="Q47" s="527"/>
      <c r="R47" s="638"/>
      <c r="S47" s="361" t="s">
        <v>759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8"/>
      <c r="Y47" s="527"/>
    </row>
    <row r="48" spans="1:25" ht="17.45" customHeight="1">
      <c r="A48" s="1020"/>
      <c r="B48" s="527" t="s">
        <v>727</v>
      </c>
      <c r="C48" s="527"/>
      <c r="D48" s="527"/>
      <c r="E48" s="527"/>
      <c r="F48" s="527" t="e">
        <f>SUM(F38:F47)*0.1</f>
        <v>#VALUE!</v>
      </c>
      <c r="H48" s="527"/>
      <c r="I48" s="527"/>
      <c r="J48" s="1034" t="s">
        <v>51</v>
      </c>
      <c r="K48" s="1035"/>
      <c r="L48" s="1036">
        <f>L47/J44</f>
        <v>4772.7960718730073</v>
      </c>
      <c r="M48" s="1037"/>
      <c r="N48" s="527"/>
      <c r="O48" s="527"/>
      <c r="P48" s="527"/>
      <c r="Q48" s="527"/>
      <c r="R48" s="638"/>
      <c r="S48" s="361" t="s">
        <v>745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8"/>
      <c r="Y48" s="527"/>
    </row>
    <row r="49" spans="1:25" ht="28.15" customHeight="1">
      <c r="A49" s="1020"/>
      <c r="B49" s="361" t="s">
        <v>146</v>
      </c>
      <c r="F49" s="644" t="e">
        <f>SUBTOTAL(109,Table4137[Column5])</f>
        <v>#VALUE!</v>
      </c>
      <c r="H49" s="658"/>
      <c r="I49" s="658"/>
      <c r="J49" s="658"/>
      <c r="K49" s="660"/>
      <c r="L49" s="527"/>
      <c r="M49" s="527"/>
      <c r="N49" s="657"/>
      <c r="O49" s="527"/>
      <c r="P49" s="527"/>
      <c r="Q49" s="527"/>
      <c r="R49" s="638"/>
      <c r="S49" s="361" t="s">
        <v>720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8"/>
      <c r="Y49" s="527"/>
    </row>
    <row r="50" spans="1:25" ht="18" customHeight="1">
      <c r="A50" s="1020"/>
      <c r="B50" s="527"/>
      <c r="C50" s="527"/>
      <c r="D50" s="527"/>
      <c r="E50" s="1018" t="s">
        <v>760</v>
      </c>
      <c r="F50" s="1018"/>
      <c r="G50" s="1018"/>
      <c r="H50" s="527"/>
      <c r="I50" s="527"/>
      <c r="J50" s="527"/>
      <c r="K50" s="527"/>
      <c r="L50" s="527"/>
      <c r="M50" s="527"/>
      <c r="N50" s="657"/>
      <c r="O50" s="527"/>
      <c r="P50" s="527"/>
      <c r="Q50" s="527"/>
      <c r="R50" s="638"/>
      <c r="S50" s="361" t="s">
        <v>735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8"/>
      <c r="Y50" s="527"/>
    </row>
    <row r="51" spans="1:25" ht="18" customHeight="1">
      <c r="A51" s="1020"/>
      <c r="B51" s="662" t="s">
        <v>427</v>
      </c>
      <c r="C51" s="663" t="s">
        <v>371</v>
      </c>
      <c r="D51" s="663" t="s">
        <v>428</v>
      </c>
      <c r="E51" s="527" t="s">
        <v>761</v>
      </c>
      <c r="F51" s="661" t="s">
        <v>762</v>
      </c>
      <c r="G51" s="661" t="s">
        <v>641</v>
      </c>
      <c r="H51" s="661" t="s">
        <v>763</v>
      </c>
      <c r="I51" s="661" t="s">
        <v>764</v>
      </c>
      <c r="J51" s="661" t="s">
        <v>765</v>
      </c>
      <c r="K51" s="527" t="s">
        <v>766</v>
      </c>
      <c r="L51" s="663" t="s">
        <v>767</v>
      </c>
      <c r="M51" s="527" t="s">
        <v>768</v>
      </c>
      <c r="N51" s="663" t="s">
        <v>8</v>
      </c>
      <c r="O51" s="542" t="s">
        <v>433</v>
      </c>
      <c r="P51" s="542" t="s">
        <v>17</v>
      </c>
      <c r="Q51" s="657"/>
      <c r="R51" s="638"/>
      <c r="S51" s="361" t="s">
        <v>748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8"/>
      <c r="Y51" s="527"/>
    </row>
    <row r="52" spans="1:25" ht="18" customHeight="1">
      <c r="A52" s="1020"/>
      <c r="B52" s="662" t="s">
        <v>434</v>
      </c>
      <c r="C52" s="664">
        <f>H68</f>
        <v>2</v>
      </c>
      <c r="D52" s="665">
        <f>G234</f>
        <v>315</v>
      </c>
      <c r="E52" s="659">
        <f>IF(D52&lt;=400,4,0)</f>
        <v>4</v>
      </c>
      <c r="F52" s="659">
        <f>IF(AND(D52&gt;400,D52&lt;=500),5,0)</f>
        <v>0</v>
      </c>
      <c r="G52" s="659">
        <f>IF(AND(D52&gt;500,D52&lt;=600),6,0)</f>
        <v>0</v>
      </c>
      <c r="H52" s="659">
        <f>IF(AND(D52&gt;600,D52&lt;=700),7,0)</f>
        <v>0</v>
      </c>
      <c r="I52" s="659">
        <f>IF(AND(D52&gt;400,D52&lt;=500),5,0)</f>
        <v>0</v>
      </c>
      <c r="J52" s="659"/>
      <c r="K52" s="542">
        <f t="shared" ref="K52:K61" si="4">MAX(E52:I52)</f>
        <v>4</v>
      </c>
      <c r="L52" s="666">
        <f t="shared" ref="L52:L61" si="5">(C52*D52)/K52/100</f>
        <v>1.575</v>
      </c>
      <c r="M52" s="542">
        <f>CEILING(L52,0.5)</f>
        <v>2</v>
      </c>
      <c r="N52" s="542">
        <f>M52*K52</f>
        <v>8</v>
      </c>
      <c r="O52" s="666">
        <v>4.4562770562770568</v>
      </c>
      <c r="P52" s="667">
        <f>($L$46/1000)*O52*N52</f>
        <v>10053.36103896104</v>
      </c>
      <c r="Q52" s="657"/>
      <c r="R52" s="638"/>
      <c r="S52" s="361" t="s">
        <v>738</v>
      </c>
      <c r="T52" s="361">
        <v>4</v>
      </c>
      <c r="V52" s="641">
        <v>350</v>
      </c>
      <c r="W52" s="361">
        <f>Table212136[[#This Row],[الوزن المتري]]*Table212136[[#This Row],[العدد]]</f>
        <v>1400</v>
      </c>
      <c r="X52" s="638"/>
      <c r="Y52" s="527"/>
    </row>
    <row r="53" spans="1:25" ht="20.45" customHeight="1">
      <c r="A53" s="1020"/>
      <c r="B53" s="662" t="s">
        <v>435</v>
      </c>
      <c r="C53" s="664">
        <f>IF(H68&gt;2,4,IF(H68=2,2))</f>
        <v>2</v>
      </c>
      <c r="D53" s="665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2">
        <f>IF(D53&lt;=400,4,0)</f>
        <v>4</v>
      </c>
      <c r="F53" s="542">
        <f>IF(AND(D53&gt;401,D53&lt;=500),5,0)</f>
        <v>0</v>
      </c>
      <c r="G53" s="542">
        <f>IF(AND(D53&gt;501,D53&lt;=600),6,0)</f>
        <v>0</v>
      </c>
      <c r="H53" s="542">
        <f>IF(AND(D53&gt;601,D53&lt;=700),7,0)</f>
        <v>0</v>
      </c>
      <c r="I53" s="542"/>
      <c r="J53" s="542"/>
      <c r="K53" s="542">
        <f t="shared" si="4"/>
        <v>4</v>
      </c>
      <c r="L53" s="666">
        <f t="shared" si="5"/>
        <v>1.7450000000000001</v>
      </c>
      <c r="M53" s="542">
        <f t="shared" ref="M53:M62" si="6">CEILING(L53,0.25)</f>
        <v>1.75</v>
      </c>
      <c r="N53" s="542">
        <f t="shared" ref="N53:N61" si="7">C53*K53</f>
        <v>8</v>
      </c>
      <c r="O53" s="666">
        <v>1.8637873754152825</v>
      </c>
      <c r="P53" s="667">
        <f t="shared" ref="P53:P61" si="8">($L$46/1000)*O53*N53</f>
        <v>4204.7043189368769</v>
      </c>
      <c r="Q53" s="657"/>
      <c r="R53" s="638"/>
      <c r="S53" s="527" t="s">
        <v>739</v>
      </c>
      <c r="T53" s="527">
        <v>1</v>
      </c>
      <c r="U53" s="642" t="s">
        <v>740</v>
      </c>
      <c r="V53" s="527">
        <v>1425</v>
      </c>
      <c r="W53" s="361">
        <f>Table212136[[#This Row],[الوزن المتري]]*Table212136[[#This Row],[العدد]]</f>
        <v>1425</v>
      </c>
      <c r="X53" s="638"/>
      <c r="Y53" s="527"/>
    </row>
    <row r="54" spans="1:25" ht="18" customHeight="1">
      <c r="A54" s="1020"/>
      <c r="B54" s="662" t="s">
        <v>436</v>
      </c>
      <c r="C54" s="664" t="str">
        <f>IF(H68&lt;=3,"0",(H68-3)*2)</f>
        <v>0</v>
      </c>
      <c r="D54" s="665">
        <f>IF(C54="-------","-------",H74-5)</f>
        <v>336</v>
      </c>
      <c r="E54" s="542"/>
      <c r="F54" s="542"/>
      <c r="G54" s="542"/>
      <c r="H54" s="542"/>
      <c r="I54" s="542"/>
      <c r="J54" s="542"/>
      <c r="K54" s="542"/>
      <c r="L54" s="666" t="e">
        <f t="shared" si="5"/>
        <v>#DIV/0!</v>
      </c>
      <c r="M54" s="542" t="e">
        <f t="shared" si="6"/>
        <v>#DIV/0!</v>
      </c>
      <c r="N54" s="542">
        <f t="shared" si="7"/>
        <v>0</v>
      </c>
      <c r="O54" s="666">
        <v>1.8637873754152825</v>
      </c>
      <c r="P54" s="667">
        <f t="shared" si="8"/>
        <v>0</v>
      </c>
      <c r="Q54" s="657"/>
      <c r="R54" s="638"/>
      <c r="S54" s="361" t="s">
        <v>741</v>
      </c>
      <c r="T54" s="361">
        <v>1</v>
      </c>
      <c r="V54" s="641">
        <v>500</v>
      </c>
      <c r="W54" s="361">
        <f>Table212136[[#This Row],[الوزن المتري]]*Table212136[[#This Row],[العدد]]</f>
        <v>500</v>
      </c>
      <c r="X54" s="638"/>
      <c r="Y54" s="527"/>
    </row>
    <row r="55" spans="1:25" ht="18" customHeight="1">
      <c r="A55" s="1020"/>
      <c r="B55" s="662" t="s">
        <v>438</v>
      </c>
      <c r="C55" s="664">
        <f>IF(H68&gt;2,2*H71,IF(H68=2,H71))</f>
        <v>5</v>
      </c>
      <c r="D55" s="665">
        <f>D53</f>
        <v>349</v>
      </c>
      <c r="E55" s="542">
        <f>IF(D55&lt;=400,4,0)</f>
        <v>4</v>
      </c>
      <c r="F55" s="542">
        <f>IF(AND(D55&gt;401,D55&lt;=500),5,0)</f>
        <v>0</v>
      </c>
      <c r="G55" s="542">
        <f>IF(AND(D55&gt;501,D55&lt;=600),6,0)</f>
        <v>0</v>
      </c>
      <c r="H55" s="542">
        <f>IF(AND(D55&gt;601,D55&lt;=700),7,0)</f>
        <v>0</v>
      </c>
      <c r="I55" s="542"/>
      <c r="J55" s="542"/>
      <c r="K55" s="542">
        <f t="shared" si="4"/>
        <v>4</v>
      </c>
      <c r="L55" s="666">
        <f t="shared" si="5"/>
        <v>4.3624999999999998</v>
      </c>
      <c r="M55" s="542">
        <f>CEILING(L55,0.5)</f>
        <v>4.5</v>
      </c>
      <c r="N55" s="542">
        <f t="shared" si="7"/>
        <v>20</v>
      </c>
      <c r="O55" s="666">
        <v>1.0517241379310345</v>
      </c>
      <c r="P55" s="667">
        <f t="shared" si="8"/>
        <v>5931.7241379310344</v>
      </c>
      <c r="Q55" s="657"/>
      <c r="R55" s="638"/>
      <c r="S55" s="527" t="s">
        <v>727</v>
      </c>
      <c r="T55" s="527"/>
      <c r="U55" s="527"/>
      <c r="V55" s="527"/>
      <c r="W55" s="527">
        <f>SUM(W45:W54)*0.15</f>
        <v>10489.978499999999</v>
      </c>
      <c r="X55" s="638"/>
      <c r="Y55" s="527"/>
    </row>
    <row r="56" spans="1:25" ht="18" customHeight="1">
      <c r="A56" s="1020"/>
      <c r="B56" s="662" t="s">
        <v>440</v>
      </c>
      <c r="C56" s="664" t="str">
        <f>IF(H68&lt;=3,"0",(H68-3)*H71)</f>
        <v>0</v>
      </c>
      <c r="D56" s="665">
        <f>IF(C56="-------","---------",D54)</f>
        <v>336</v>
      </c>
      <c r="E56" s="542"/>
      <c r="F56" s="542"/>
      <c r="G56" s="542"/>
      <c r="H56" s="542"/>
      <c r="I56" s="542"/>
      <c r="J56" s="542"/>
      <c r="K56" s="542">
        <f t="shared" si="4"/>
        <v>0</v>
      </c>
      <c r="L56" s="666" t="e">
        <f t="shared" si="5"/>
        <v>#DIV/0!</v>
      </c>
      <c r="M56" s="542" t="e">
        <f>CEILING(L56,0.5)</f>
        <v>#DIV/0!</v>
      </c>
      <c r="N56" s="542">
        <f t="shared" si="7"/>
        <v>0</v>
      </c>
      <c r="O56" s="666">
        <v>1.0517241379310345</v>
      </c>
      <c r="P56" s="667">
        <f t="shared" si="8"/>
        <v>0</v>
      </c>
      <c r="Q56" s="657"/>
      <c r="R56" s="638"/>
      <c r="S56" s="361" t="s">
        <v>146</v>
      </c>
      <c r="W56" s="640">
        <f>SUBTOTAL(109,Table212136[القيمة])</f>
        <v>80423.1685</v>
      </c>
      <c r="X56" s="638"/>
      <c r="Y56" s="527"/>
    </row>
    <row r="57" spans="1:25" ht="18" customHeight="1">
      <c r="A57" s="1020"/>
      <c r="B57" s="662" t="s">
        <v>441</v>
      </c>
      <c r="C57" s="664">
        <v>1</v>
      </c>
      <c r="D57" s="665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2">
        <f>IF(D57&lt;=400,4,0)</f>
        <v>4</v>
      </c>
      <c r="F57" s="542">
        <f>IF(AND(D57&gt;401,D57&lt;=500),5,0)</f>
        <v>0</v>
      </c>
      <c r="G57" s="542">
        <f>IF(AND(D57&gt;501,D57&lt;=600),6,0)</f>
        <v>0</v>
      </c>
      <c r="H57" s="542">
        <f>IF(AND(D57&gt;601,D57&lt;=700),7,0)</f>
        <v>0</v>
      </c>
      <c r="I57" s="542"/>
      <c r="J57" s="542"/>
      <c r="K57" s="542">
        <f t="shared" si="4"/>
        <v>4</v>
      </c>
      <c r="L57" s="666">
        <f t="shared" si="5"/>
        <v>0.86875000000000002</v>
      </c>
      <c r="M57" s="542">
        <f t="shared" ref="M57:M58" si="9">CEILING(L57,0.5)</f>
        <v>1</v>
      </c>
      <c r="N57" s="542">
        <f t="shared" si="7"/>
        <v>4</v>
      </c>
      <c r="O57" s="666">
        <v>1.394871794871795</v>
      </c>
      <c r="P57" s="667">
        <f t="shared" si="8"/>
        <v>1573.4153846153847</v>
      </c>
      <c r="Q57" s="657"/>
      <c r="R57" s="638"/>
      <c r="S57" s="645"/>
      <c r="T57" s="645"/>
      <c r="U57" s="645"/>
      <c r="V57" s="645"/>
      <c r="W57" s="645"/>
      <c r="X57" s="638"/>
      <c r="Y57" s="527"/>
    </row>
    <row r="58" spans="1:25" ht="28.9" customHeight="1">
      <c r="A58" s="1020"/>
      <c r="B58" s="662" t="s">
        <v>443</v>
      </c>
      <c r="C58" s="664" t="str">
        <f>IF(H68=2,"0",1)</f>
        <v>0</v>
      </c>
      <c r="D58" s="665">
        <f>IF(C58="-------","-------",IF(B141=1,(H74+3),IF(B141=2,(H74+3.5),IF(B141=3,(H74+3),IF(B141=4,(H74+4.25),IF(B141=5,(H74+5),"--------"))))))</f>
        <v>344.5</v>
      </c>
      <c r="E58" s="542"/>
      <c r="F58" s="542"/>
      <c r="G58" s="542"/>
      <c r="H58" s="542"/>
      <c r="I58" s="542"/>
      <c r="J58" s="542"/>
      <c r="K58" s="542">
        <f t="shared" si="4"/>
        <v>0</v>
      </c>
      <c r="L58" s="666" t="e">
        <f t="shared" si="5"/>
        <v>#DIV/0!</v>
      </c>
      <c r="M58" s="542" t="e">
        <f t="shared" si="9"/>
        <v>#DIV/0!</v>
      </c>
      <c r="N58" s="542">
        <f t="shared" si="7"/>
        <v>0</v>
      </c>
      <c r="O58" s="666">
        <v>1.394871794871795</v>
      </c>
      <c r="P58" s="667">
        <f t="shared" si="8"/>
        <v>0</v>
      </c>
      <c r="Q58" s="657"/>
      <c r="R58" s="638"/>
      <c r="S58" s="527" t="s">
        <v>752</v>
      </c>
      <c r="T58" s="527">
        <f>(Table1134[الامتداد]-30)/11</f>
        <v>29.09090909090909</v>
      </c>
      <c r="V58" s="1019" t="s">
        <v>719</v>
      </c>
      <c r="W58" s="1019"/>
      <c r="X58" s="638"/>
      <c r="Y58" s="527"/>
    </row>
    <row r="59" spans="1:25" ht="28.9" customHeight="1">
      <c r="A59" s="1020"/>
      <c r="B59" s="662" t="s">
        <v>444</v>
      </c>
      <c r="C59" s="664" t="str">
        <f>IF(H68&lt;=3,"0",(H68-3))</f>
        <v>0</v>
      </c>
      <c r="D59" s="665">
        <f>IF(C59="-------","-------",H74)</f>
        <v>341</v>
      </c>
      <c r="E59" s="542"/>
      <c r="F59" s="542"/>
      <c r="G59" s="542"/>
      <c r="H59" s="542"/>
      <c r="I59" s="542"/>
      <c r="J59" s="542"/>
      <c r="K59" s="542">
        <f t="shared" si="4"/>
        <v>0</v>
      </c>
      <c r="L59" s="666" t="e">
        <f t="shared" si="5"/>
        <v>#DIV/0!</v>
      </c>
      <c r="M59" s="542" t="e">
        <f t="shared" si="6"/>
        <v>#DIV/0!</v>
      </c>
      <c r="N59" s="542">
        <f t="shared" si="7"/>
        <v>0</v>
      </c>
      <c r="O59" s="666">
        <v>1.394871794871795</v>
      </c>
      <c r="P59" s="667">
        <f t="shared" si="8"/>
        <v>0</v>
      </c>
      <c r="Q59" s="657"/>
      <c r="R59" s="638"/>
      <c r="S59" s="527"/>
      <c r="T59" s="527">
        <f>ROUND(T58,0)</f>
        <v>29</v>
      </c>
      <c r="U59" s="527"/>
      <c r="V59" s="1019"/>
      <c r="W59" s="1019"/>
      <c r="X59" s="638"/>
      <c r="Y59" s="527"/>
    </row>
    <row r="60" spans="1:25" ht="18" customHeight="1">
      <c r="A60" s="1020"/>
      <c r="B60" s="662" t="str">
        <f>IF(I138=1,"Balloon","-------")</f>
        <v>-------</v>
      </c>
      <c r="C60" s="664">
        <v>0</v>
      </c>
      <c r="D60" s="665">
        <f>IF(C60="-------","-------",J43-2.5)</f>
        <v>347.5</v>
      </c>
      <c r="E60" s="542"/>
      <c r="F60" s="542"/>
      <c r="G60" s="542"/>
      <c r="H60" s="542"/>
      <c r="I60" s="542"/>
      <c r="J60" s="542"/>
      <c r="K60" s="542">
        <f t="shared" si="4"/>
        <v>0</v>
      </c>
      <c r="L60" s="666" t="e">
        <f t="shared" si="5"/>
        <v>#DIV/0!</v>
      </c>
      <c r="M60" s="542" t="e">
        <f t="shared" si="6"/>
        <v>#DIV/0!</v>
      </c>
      <c r="N60" s="542">
        <f t="shared" si="7"/>
        <v>0</v>
      </c>
      <c r="O60" s="542"/>
      <c r="P60" s="667">
        <f t="shared" si="8"/>
        <v>0</v>
      </c>
      <c r="Q60" s="657"/>
      <c r="R60" s="638"/>
      <c r="S60" s="361" t="s">
        <v>16</v>
      </c>
      <c r="T60" s="361" t="s">
        <v>671</v>
      </c>
      <c r="U60" s="361" t="s">
        <v>637</v>
      </c>
      <c r="V60" s="361" t="s">
        <v>714</v>
      </c>
      <c r="W60" s="361" t="s">
        <v>672</v>
      </c>
      <c r="X60" s="638"/>
      <c r="Y60" s="527"/>
    </row>
    <row r="61" spans="1:25" ht="18" customHeight="1">
      <c r="A61" s="1020"/>
      <c r="B61" s="662" t="s">
        <v>445</v>
      </c>
      <c r="C61" s="662">
        <f>IF([2]Royal!W49=[2]Royal!AO50,0,(C53+C54)/2)</f>
        <v>0</v>
      </c>
      <c r="D61" s="665">
        <f>H74-7</f>
        <v>334</v>
      </c>
      <c r="E61" s="542">
        <f t="shared" ref="E61" si="10">IF(D61&lt;=300,3,0)</f>
        <v>0</v>
      </c>
      <c r="F61" s="542">
        <f t="shared" ref="F61" si="11">IF(D61&gt;300,3.5,0)</f>
        <v>3.5</v>
      </c>
      <c r="G61" s="542">
        <f t="shared" ref="G61" si="12">IF(D61&gt;350,4,0)</f>
        <v>0</v>
      </c>
      <c r="H61" s="542">
        <f t="shared" ref="H61" si="13">IF(D61&gt;400,5,0)</f>
        <v>0</v>
      </c>
      <c r="I61" s="542">
        <f t="shared" ref="I61" si="14">IF(D61&gt;500,6,0)</f>
        <v>0</v>
      </c>
      <c r="J61" s="542">
        <f t="shared" ref="J61" si="15">IF(D61&gt;600,7,0)</f>
        <v>0</v>
      </c>
      <c r="K61" s="542">
        <f t="shared" si="4"/>
        <v>3.5</v>
      </c>
      <c r="L61" s="666">
        <f t="shared" si="5"/>
        <v>0</v>
      </c>
      <c r="M61" s="542">
        <f t="shared" si="6"/>
        <v>0</v>
      </c>
      <c r="N61" s="542">
        <f t="shared" si="7"/>
        <v>0</v>
      </c>
      <c r="O61" s="542">
        <v>1.65</v>
      </c>
      <c r="P61" s="667">
        <f t="shared" si="8"/>
        <v>0</v>
      </c>
      <c r="Q61" s="657"/>
      <c r="R61" s="638"/>
      <c r="S61" s="361" t="s">
        <v>717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8"/>
      <c r="Y61" s="527"/>
    </row>
    <row r="62" spans="1:25" ht="18" customHeight="1">
      <c r="A62" s="1020"/>
      <c r="B62" s="662" t="s">
        <v>447</v>
      </c>
      <c r="C62" s="664">
        <f>H68</f>
        <v>2</v>
      </c>
      <c r="D62" s="665">
        <f>(D52*2)+45</f>
        <v>675</v>
      </c>
      <c r="E62" s="664"/>
      <c r="F62" s="664"/>
      <c r="G62" s="664"/>
      <c r="H62" s="664"/>
      <c r="I62" s="664"/>
      <c r="J62" s="664"/>
      <c r="K62" s="542">
        <v>1</v>
      </c>
      <c r="L62" s="666">
        <f>(C62*D62)/100</f>
        <v>13.5</v>
      </c>
      <c r="M62" s="542">
        <f t="shared" si="6"/>
        <v>13.5</v>
      </c>
      <c r="N62" s="542">
        <f t="shared" ref="N62" si="16">M62*K62</f>
        <v>13.5</v>
      </c>
      <c r="O62" s="542">
        <v>200</v>
      </c>
      <c r="P62" s="667">
        <f>O62*N62</f>
        <v>2700</v>
      </c>
      <c r="Q62" s="657"/>
      <c r="R62" s="638"/>
      <c r="S62" s="361" t="s">
        <v>757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8"/>
      <c r="Y62" s="527"/>
    </row>
    <row r="63" spans="1:25" ht="18" customHeight="1">
      <c r="A63" s="1020"/>
      <c r="B63" s="668" t="s">
        <v>146</v>
      </c>
      <c r="C63" s="669"/>
      <c r="D63" s="670"/>
      <c r="E63" s="596"/>
      <c r="F63" s="596"/>
      <c r="G63" s="596"/>
      <c r="H63" s="596"/>
      <c r="I63" s="596"/>
      <c r="J63" s="596"/>
      <c r="K63" s="596"/>
      <c r="L63" s="596"/>
      <c r="M63" s="596"/>
      <c r="N63" s="596"/>
      <c r="P63" s="671">
        <f>SUBTOTAL(109,Table13138[السعر])</f>
        <v>24463.20488044434</v>
      </c>
      <c r="Q63" s="657"/>
      <c r="R63" s="638"/>
      <c r="S63" s="361" t="s">
        <v>769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8"/>
      <c r="Y63" s="527"/>
    </row>
    <row r="64" spans="1:25" ht="17.45" customHeight="1">
      <c r="A64" s="1020"/>
      <c r="B64" s="672" t="s">
        <v>770</v>
      </c>
      <c r="C64" s="673" t="s">
        <v>124</v>
      </c>
      <c r="D64" s="672" t="s">
        <v>323</v>
      </c>
      <c r="E64" s="672" t="s">
        <v>267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8"/>
      <c r="S64" s="361" t="s">
        <v>771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8"/>
      <c r="Y64" s="527"/>
    </row>
    <row r="65" spans="1:25" ht="18" customHeight="1">
      <c r="A65" s="1020"/>
      <c r="B65" s="672" t="s">
        <v>772</v>
      </c>
      <c r="C65" s="674">
        <f>J45*L45*1.7/10000</f>
        <v>19.10426</v>
      </c>
      <c r="D65" s="542">
        <v>950</v>
      </c>
      <c r="E65" s="542">
        <f>D65*C65</f>
        <v>18149.046999999999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8"/>
      <c r="S65" s="361" t="s">
        <v>720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8"/>
      <c r="Y65" s="527"/>
    </row>
    <row r="66" spans="1:25" ht="18" customHeight="1">
      <c r="A66" s="1020"/>
      <c r="B66" s="674" t="s">
        <v>455</v>
      </c>
      <c r="C66" s="674">
        <f>H68</f>
        <v>2</v>
      </c>
      <c r="D66" s="542">
        <v>250</v>
      </c>
      <c r="E66" s="542">
        <f t="shared" ref="E66:E94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8"/>
      <c r="S66" s="361" t="s">
        <v>735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8"/>
    </row>
    <row r="67" spans="1:25" ht="18" customHeight="1">
      <c r="A67" s="1020"/>
      <c r="B67" s="674" t="s">
        <v>456</v>
      </c>
      <c r="C67" s="674">
        <f>H68</f>
        <v>2</v>
      </c>
      <c r="D67" s="542">
        <v>250</v>
      </c>
      <c r="E67" s="542">
        <f t="shared" si="17"/>
        <v>500</v>
      </c>
      <c r="F67" s="527"/>
      <c r="G67" s="527"/>
      <c r="H67" s="1040" t="s">
        <v>412</v>
      </c>
      <c r="I67" s="1040"/>
      <c r="J67" s="1040"/>
      <c r="K67" s="527"/>
      <c r="L67" s="527"/>
      <c r="M67" s="527"/>
      <c r="N67" s="527"/>
      <c r="O67" s="527"/>
      <c r="P67" s="527"/>
      <c r="Q67" s="527"/>
      <c r="R67" s="638"/>
      <c r="S67" s="361" t="s">
        <v>748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8"/>
    </row>
    <row r="68" spans="1:25" ht="18" customHeight="1">
      <c r="A68" s="1020"/>
      <c r="B68" s="674" t="s">
        <v>457</v>
      </c>
      <c r="C68" s="674">
        <f>C81</f>
        <v>1</v>
      </c>
      <c r="D68" s="542">
        <v>50</v>
      </c>
      <c r="E68" s="542">
        <f t="shared" si="17"/>
        <v>50</v>
      </c>
      <c r="F68" s="527"/>
      <c r="G68" s="527"/>
      <c r="H68" s="1040">
        <v>2</v>
      </c>
      <c r="I68" s="1040"/>
      <c r="J68" s="1040"/>
      <c r="K68" s="527"/>
      <c r="L68" s="527"/>
      <c r="M68" s="527"/>
      <c r="N68" s="527"/>
      <c r="O68" s="527"/>
      <c r="P68" s="527"/>
      <c r="Q68" s="527"/>
      <c r="R68" s="638"/>
      <c r="S68" s="361" t="s">
        <v>738</v>
      </c>
      <c r="T68" s="361">
        <v>4</v>
      </c>
      <c r="V68" s="641">
        <v>350</v>
      </c>
      <c r="W68" s="361">
        <f>Table2121367[[#This Row],[الوزن المتري]]*Table2121367[[#This Row],[العدد]]</f>
        <v>1400</v>
      </c>
      <c r="X68" s="638"/>
    </row>
    <row r="69" spans="1:25" ht="20.45" customHeight="1">
      <c r="A69" s="1020"/>
      <c r="B69" s="674" t="s">
        <v>459</v>
      </c>
      <c r="C69" s="674">
        <v>4</v>
      </c>
      <c r="D69" s="542">
        <v>1.5</v>
      </c>
      <c r="E69" s="542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8"/>
      <c r="S69" s="527" t="s">
        <v>739</v>
      </c>
      <c r="T69" s="527">
        <v>1</v>
      </c>
      <c r="U69" s="642" t="s">
        <v>740</v>
      </c>
      <c r="V69" s="527">
        <v>1425</v>
      </c>
      <c r="W69" s="361">
        <f>Table2121367[[#This Row],[الوزن المتري]]*Table2121367[[#This Row],[العدد]]</f>
        <v>1425</v>
      </c>
      <c r="X69" s="638"/>
    </row>
    <row r="70" spans="1:25" ht="18" customHeight="1">
      <c r="A70" s="1020"/>
      <c r="B70" s="674" t="s">
        <v>461</v>
      </c>
      <c r="C70" s="674">
        <f>H71</f>
        <v>5</v>
      </c>
      <c r="D70" s="542">
        <v>1.5</v>
      </c>
      <c r="E70" s="542">
        <f t="shared" si="17"/>
        <v>7.5</v>
      </c>
      <c r="F70" s="527"/>
      <c r="G70" s="527"/>
      <c r="H70" s="1041" t="s">
        <v>437</v>
      </c>
      <c r="I70" s="1041"/>
      <c r="J70" s="1041"/>
      <c r="K70" s="527"/>
      <c r="L70" s="527"/>
      <c r="M70" s="527"/>
      <c r="N70" s="527"/>
      <c r="O70" s="527"/>
      <c r="P70" s="527"/>
      <c r="Q70" s="527"/>
      <c r="R70" s="638"/>
      <c r="S70" s="361" t="s">
        <v>741</v>
      </c>
      <c r="T70" s="527">
        <v>1</v>
      </c>
      <c r="U70" s="642"/>
      <c r="V70" s="527">
        <v>1000</v>
      </c>
      <c r="W70" s="361">
        <f>Table2121367[[#This Row],[الوزن المتري]]*Table2121367[[#This Row],[العدد]]</f>
        <v>1000</v>
      </c>
      <c r="X70" s="638"/>
    </row>
    <row r="71" spans="1:25" ht="24.6" customHeight="1">
      <c r="A71" s="1020"/>
      <c r="B71" s="674" t="s">
        <v>463</v>
      </c>
      <c r="C71" s="674">
        <f>H68*2</f>
        <v>4</v>
      </c>
      <c r="D71" s="542">
        <v>1</v>
      </c>
      <c r="E71" s="542">
        <f t="shared" si="17"/>
        <v>4</v>
      </c>
      <c r="F71" s="527"/>
      <c r="G71" s="527"/>
      <c r="H71" s="675">
        <f>I131</f>
        <v>5</v>
      </c>
      <c r="I71" s="676" t="s">
        <v>439</v>
      </c>
      <c r="J71" s="675">
        <v>2</v>
      </c>
      <c r="K71" s="527"/>
      <c r="L71" s="527"/>
      <c r="M71" s="527"/>
      <c r="N71" s="527"/>
      <c r="O71" s="527"/>
      <c r="P71" s="527"/>
      <c r="Q71" s="527"/>
      <c r="R71" s="638"/>
      <c r="S71" s="527" t="s">
        <v>727</v>
      </c>
      <c r="W71" s="361">
        <f>SUM(W61:W69)*0.15</f>
        <v>11287.5285</v>
      </c>
      <c r="X71" s="638"/>
    </row>
    <row r="72" spans="1:25" ht="18" customHeight="1">
      <c r="A72" s="1020"/>
      <c r="B72" s="674" t="s">
        <v>464</v>
      </c>
      <c r="C72" s="674">
        <f>H71*H68</f>
        <v>10</v>
      </c>
      <c r="D72" s="542">
        <v>1</v>
      </c>
      <c r="E72" s="542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8"/>
      <c r="S72" s="361" t="s">
        <v>146</v>
      </c>
      <c r="W72" s="640">
        <f>SUBTOTAL(109,Table2121367[القيمة])</f>
        <v>87537.718500000003</v>
      </c>
      <c r="X72" s="638"/>
    </row>
    <row r="73" spans="1:25" ht="18.75">
      <c r="A73" s="1020"/>
      <c r="B73" s="674" t="s">
        <v>465</v>
      </c>
      <c r="C73" s="674">
        <f>(H71+J71)*2</f>
        <v>14</v>
      </c>
      <c r="D73" s="542">
        <v>5.5</v>
      </c>
      <c r="E73" s="542">
        <f t="shared" si="17"/>
        <v>77</v>
      </c>
      <c r="F73" s="527"/>
      <c r="G73" s="527"/>
      <c r="H73" s="1042" t="s">
        <v>442</v>
      </c>
      <c r="I73" s="1042"/>
      <c r="J73" s="1042"/>
      <c r="K73" s="527"/>
      <c r="L73" s="527"/>
      <c r="M73" s="527"/>
      <c r="N73" s="527"/>
      <c r="O73" s="527"/>
      <c r="P73" s="527"/>
      <c r="Q73" s="527"/>
      <c r="R73" s="638"/>
      <c r="S73" s="1013"/>
      <c r="T73" s="1013"/>
      <c r="U73" s="1013"/>
      <c r="V73" s="1013"/>
      <c r="W73" s="1013"/>
      <c r="X73" s="638"/>
    </row>
    <row r="74" spans="1:25" ht="20.25">
      <c r="A74" s="1020"/>
      <c r="B74" s="674" t="s">
        <v>467</v>
      </c>
      <c r="C74" s="674">
        <f>(H71+J71)*2</f>
        <v>14</v>
      </c>
      <c r="D74" s="542">
        <v>5</v>
      </c>
      <c r="E74" s="542">
        <f t="shared" si="17"/>
        <v>70</v>
      </c>
      <c r="F74" s="657"/>
      <c r="G74" s="657"/>
      <c r="H74" s="1030">
        <f>IF(B141=1,(J43-2-6)/(H68-1),IF(B141=2,(J43-2-7)/(H68-1),IF(B141=3,(J43-2-6)/(H68-1),IF(B141=4,(J43-2-8.5)/(H68-1),IF(B141=5,(J43-2-10)/(H68-1),"--------")))))</f>
        <v>341</v>
      </c>
      <c r="I74" s="1030"/>
      <c r="J74" s="1030"/>
      <c r="K74" s="657"/>
      <c r="L74" s="657"/>
      <c r="M74" s="657"/>
      <c r="N74" s="657"/>
      <c r="O74" s="657"/>
      <c r="P74" s="657"/>
      <c r="Q74" s="657"/>
      <c r="R74" s="638"/>
      <c r="S74" s="361" t="s">
        <v>773</v>
      </c>
      <c r="T74" s="361">
        <f>IF((T75*33&lt;=300),1,2)</f>
        <v>1</v>
      </c>
      <c r="V74" s="1031" t="s">
        <v>722</v>
      </c>
      <c r="W74" s="1031"/>
      <c r="X74" s="638"/>
    </row>
    <row r="75" spans="1:25" ht="18.75">
      <c r="A75" s="1020"/>
      <c r="B75" s="674" t="s">
        <v>469</v>
      </c>
      <c r="C75" s="674">
        <f>H68*3</f>
        <v>6</v>
      </c>
      <c r="D75" s="542">
        <v>5</v>
      </c>
      <c r="E75" s="542">
        <f t="shared" si="17"/>
        <v>30</v>
      </c>
      <c r="F75" s="657"/>
      <c r="G75" s="657"/>
      <c r="H75" s="527"/>
      <c r="I75" s="527"/>
      <c r="J75" s="527"/>
      <c r="K75" s="657"/>
      <c r="L75" s="657"/>
      <c r="M75" s="657"/>
      <c r="N75" s="657"/>
      <c r="O75" s="657"/>
      <c r="P75" s="657"/>
      <c r="Q75" s="657"/>
      <c r="R75" s="638"/>
      <c r="S75" s="361" t="s">
        <v>774</v>
      </c>
      <c r="T75" s="361">
        <f>ROUND(Table1134[العرض]/40,0)</f>
        <v>9</v>
      </c>
      <c r="V75" s="1031"/>
      <c r="W75" s="1031"/>
      <c r="X75" s="638"/>
    </row>
    <row r="76" spans="1:25" ht="18.75">
      <c r="A76" s="1020"/>
      <c r="B76" s="674" t="s">
        <v>471</v>
      </c>
      <c r="C76" s="674">
        <f>H68*3</f>
        <v>6</v>
      </c>
      <c r="D76" s="542">
        <v>5</v>
      </c>
      <c r="E76" s="542">
        <f t="shared" si="17"/>
        <v>30</v>
      </c>
      <c r="F76" s="657"/>
      <c r="G76" s="657"/>
      <c r="H76" s="1042" t="s">
        <v>393</v>
      </c>
      <c r="I76" s="1042"/>
      <c r="J76" s="1042"/>
      <c r="K76" s="657"/>
      <c r="L76" s="657"/>
      <c r="M76" s="657"/>
      <c r="N76" s="657"/>
      <c r="O76" s="657"/>
      <c r="P76" s="657"/>
      <c r="Q76" s="657"/>
      <c r="R76" s="638"/>
      <c r="S76" s="361" t="s">
        <v>16</v>
      </c>
      <c r="T76" s="361" t="s">
        <v>671</v>
      </c>
      <c r="U76" s="361" t="s">
        <v>637</v>
      </c>
      <c r="V76" s="361" t="s">
        <v>714</v>
      </c>
      <c r="W76" s="361" t="s">
        <v>672</v>
      </c>
      <c r="X76" s="638"/>
    </row>
    <row r="77" spans="1:25" ht="18.75">
      <c r="A77" s="1020"/>
      <c r="B77" s="674" t="s">
        <v>472</v>
      </c>
      <c r="C77" s="674" t="str">
        <f>IF(H68&gt;2,(H68-2)*2,"0")</f>
        <v>0</v>
      </c>
      <c r="D77" s="542">
        <f>0.4*L46/1000</f>
        <v>112.8</v>
      </c>
      <c r="E77" s="542">
        <f t="shared" si="17"/>
        <v>0</v>
      </c>
      <c r="F77" s="657"/>
      <c r="G77" s="657"/>
      <c r="H77" s="677" t="s">
        <v>371</v>
      </c>
      <c r="I77" s="1043" t="s">
        <v>446</v>
      </c>
      <c r="J77" s="1043"/>
      <c r="K77" s="657"/>
      <c r="L77" s="657"/>
      <c r="M77" s="657"/>
      <c r="N77" s="657"/>
      <c r="O77" s="657"/>
      <c r="P77" s="657"/>
      <c r="Q77" s="657"/>
      <c r="R77" s="638"/>
      <c r="S77" s="361" t="s">
        <v>717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8"/>
    </row>
    <row r="78" spans="1:25" ht="18.75">
      <c r="A78" s="1020"/>
      <c r="B78" s="674" t="s">
        <v>473</v>
      </c>
      <c r="C78" s="674" t="str">
        <f>IF(H68&gt;2,(H68-2)*H71,"0")</f>
        <v>0</v>
      </c>
      <c r="D78" s="542">
        <f>0.2*L46/1000</f>
        <v>56.4</v>
      </c>
      <c r="E78" s="542">
        <f t="shared" si="17"/>
        <v>0</v>
      </c>
      <c r="F78" s="657"/>
      <c r="G78" s="657"/>
      <c r="H78" s="675">
        <f>IF(F141=1,"-------",IF(F141=5,"-------",I133))</f>
        <v>2</v>
      </c>
      <c r="I78" s="1042" t="str">
        <f>IF(H78="-------","-------",E114)</f>
        <v>4Χ220- 1Χ250</v>
      </c>
      <c r="J78" s="1042"/>
      <c r="K78" s="657"/>
      <c r="L78" s="657"/>
      <c r="M78" s="657"/>
      <c r="N78" s="657"/>
      <c r="O78" s="657"/>
      <c r="P78" s="657"/>
      <c r="Q78" s="657"/>
      <c r="R78" s="638"/>
      <c r="S78" s="361" t="s">
        <v>757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8"/>
    </row>
    <row r="79" spans="1:25" ht="18.75">
      <c r="A79" s="1020"/>
      <c r="B79" s="674" t="s">
        <v>475</v>
      </c>
      <c r="C79" s="674">
        <f>C81</f>
        <v>1</v>
      </c>
      <c r="D79" s="542">
        <v>500</v>
      </c>
      <c r="E79" s="542">
        <f t="shared" si="17"/>
        <v>500</v>
      </c>
      <c r="F79" s="657"/>
      <c r="G79" s="657"/>
      <c r="H79" s="657"/>
      <c r="I79" s="657"/>
      <c r="J79" s="657"/>
      <c r="K79" s="657"/>
      <c r="L79" s="657"/>
      <c r="M79" s="657"/>
      <c r="N79" s="657"/>
      <c r="O79" s="657"/>
      <c r="P79" s="657"/>
      <c r="Q79" s="657"/>
      <c r="R79" s="638"/>
      <c r="S79" s="361" t="s">
        <v>775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14182.400000000001</v>
      </c>
      <c r="X79" s="638"/>
    </row>
    <row r="80" spans="1:25" ht="18.75">
      <c r="A80" s="1020"/>
      <c r="B80" s="674" t="s">
        <v>44</v>
      </c>
      <c r="C80" s="674">
        <f>D124</f>
        <v>20</v>
      </c>
      <c r="D80" s="542">
        <v>130</v>
      </c>
      <c r="E80" s="542">
        <f t="shared" si="17"/>
        <v>2600</v>
      </c>
      <c r="F80" s="657"/>
      <c r="G80" s="657"/>
      <c r="H80" s="657"/>
      <c r="I80" s="657"/>
      <c r="J80" s="657"/>
      <c r="K80" s="657"/>
      <c r="L80" s="657"/>
      <c r="M80" s="657"/>
      <c r="N80" s="657"/>
      <c r="O80" s="657"/>
      <c r="P80" s="657"/>
      <c r="Q80" s="657"/>
      <c r="R80" s="638"/>
      <c r="S80" s="361" t="s">
        <v>776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8"/>
    </row>
    <row r="81" spans="1:24" ht="18.75">
      <c r="A81" s="1020"/>
      <c r="B81" s="674" t="s">
        <v>398</v>
      </c>
      <c r="C81" s="674">
        <f>IF(J44&lt;=65,1,2)</f>
        <v>1</v>
      </c>
      <c r="D81" s="542">
        <f>IF(J44&lt;40,5000,10000)</f>
        <v>5000</v>
      </c>
      <c r="E81" s="542">
        <f t="shared" si="17"/>
        <v>5000</v>
      </c>
      <c r="F81" s="657"/>
      <c r="G81" s="657"/>
      <c r="H81" s="657"/>
      <c r="I81" s="657"/>
      <c r="J81" s="657"/>
      <c r="K81" s="657"/>
      <c r="L81" s="657"/>
      <c r="M81" s="657"/>
      <c r="N81" s="657"/>
      <c r="O81" s="657"/>
      <c r="P81" s="657"/>
      <c r="Q81" s="657"/>
      <c r="R81" s="638"/>
      <c r="S81" s="361" t="s">
        <v>720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8"/>
    </row>
    <row r="82" spans="1:24" ht="18.75">
      <c r="A82" s="1020"/>
      <c r="B82" s="674" t="s">
        <v>39</v>
      </c>
      <c r="C82" s="674">
        <f>IF(C91=1,0,1)</f>
        <v>1</v>
      </c>
      <c r="D82" s="542">
        <v>1000</v>
      </c>
      <c r="E82" s="542">
        <f t="shared" si="17"/>
        <v>1000</v>
      </c>
      <c r="F82" s="657"/>
      <c r="G82" s="657"/>
      <c r="H82" s="657"/>
      <c r="I82" s="657"/>
      <c r="J82" s="657"/>
      <c r="K82" s="657"/>
      <c r="L82" s="657"/>
      <c r="M82" s="657"/>
      <c r="N82" s="657"/>
      <c r="O82" s="657"/>
      <c r="P82" s="657"/>
      <c r="Q82" s="657"/>
      <c r="R82" s="638"/>
      <c r="S82" s="361" t="s">
        <v>735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8"/>
    </row>
    <row r="83" spans="1:24" ht="18.75">
      <c r="A83" s="1020"/>
      <c r="B83" s="674" t="s">
        <v>458</v>
      </c>
      <c r="C83" s="674">
        <f>(C66*2)-C84</f>
        <v>3</v>
      </c>
      <c r="D83" s="542">
        <v>150</v>
      </c>
      <c r="E83" s="542">
        <f t="shared" si="17"/>
        <v>450</v>
      </c>
      <c r="F83" s="657"/>
      <c r="G83" s="657"/>
      <c r="H83" s="657"/>
      <c r="I83" s="657"/>
      <c r="J83" s="657"/>
      <c r="K83" s="657"/>
      <c r="L83" s="657"/>
      <c r="M83" s="657"/>
      <c r="N83" s="657"/>
      <c r="O83" s="657"/>
      <c r="P83" s="657"/>
      <c r="Q83" s="657"/>
      <c r="R83" s="638"/>
      <c r="S83" s="361" t="s">
        <v>748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8"/>
    </row>
    <row r="84" spans="1:24" ht="18.75">
      <c r="A84" s="1020"/>
      <c r="B84" s="674" t="s">
        <v>460</v>
      </c>
      <c r="C84" s="674">
        <f>IF(C81=1,1,0)</f>
        <v>1</v>
      </c>
      <c r="D84" s="542">
        <v>150</v>
      </c>
      <c r="E84" s="542">
        <f t="shared" si="17"/>
        <v>150</v>
      </c>
      <c r="F84" s="657"/>
      <c r="G84" s="657"/>
      <c r="H84" s="657"/>
      <c r="I84" s="657"/>
      <c r="J84" s="657"/>
      <c r="K84" s="657"/>
      <c r="L84" s="657"/>
      <c r="M84" s="657"/>
      <c r="N84" s="657"/>
      <c r="O84" s="657"/>
      <c r="P84" s="657"/>
      <c r="Q84" s="657"/>
      <c r="R84" s="638"/>
      <c r="S84" s="361" t="s">
        <v>738</v>
      </c>
      <c r="T84" s="361">
        <v>4</v>
      </c>
      <c r="V84" s="641">
        <v>350</v>
      </c>
      <c r="W84" s="361">
        <f>Table212136714[[#This Row],[الوزن المتري]]*Table212136714[[#This Row],[العدد]]</f>
        <v>1400</v>
      </c>
      <c r="X84" s="638"/>
    </row>
    <row r="85" spans="1:24" ht="22.5">
      <c r="A85" s="1020"/>
      <c r="B85" s="674" t="s">
        <v>462</v>
      </c>
      <c r="C85" s="674">
        <f>IF(D52&gt;700,C52,0)</f>
        <v>0</v>
      </c>
      <c r="D85" s="542">
        <v>440</v>
      </c>
      <c r="E85" s="542">
        <f t="shared" si="17"/>
        <v>0</v>
      </c>
      <c r="F85" s="657"/>
      <c r="G85" s="657"/>
      <c r="H85" s="657"/>
      <c r="I85" s="657"/>
      <c r="J85" s="657"/>
      <c r="K85" s="657"/>
      <c r="L85" s="657"/>
      <c r="M85" s="657"/>
      <c r="N85" s="657"/>
      <c r="O85" s="657"/>
      <c r="P85" s="657"/>
      <c r="Q85" s="657"/>
      <c r="R85" s="638"/>
      <c r="S85" s="527" t="s">
        <v>739</v>
      </c>
      <c r="T85" s="527">
        <v>1</v>
      </c>
      <c r="U85" s="642" t="s">
        <v>740</v>
      </c>
      <c r="V85" s="527">
        <v>1425</v>
      </c>
      <c r="W85" s="361">
        <f>Table212136714[[#This Row],[الوزن المتري]]*Table212136714[[#This Row],[العدد]]</f>
        <v>1425</v>
      </c>
      <c r="X85" s="638"/>
    </row>
    <row r="86" spans="1:24" ht="18.75">
      <c r="A86" s="1020"/>
      <c r="B86" s="674" t="s">
        <v>40</v>
      </c>
      <c r="C86" s="674">
        <f>C66</f>
        <v>2</v>
      </c>
      <c r="D86" s="542">
        <f>[3]Sheet2!B35</f>
        <v>750</v>
      </c>
      <c r="E86" s="542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8"/>
      <c r="S86" s="361" t="s">
        <v>741</v>
      </c>
      <c r="T86" s="527">
        <f>T79</f>
        <v>8</v>
      </c>
      <c r="U86" s="642"/>
      <c r="V86" s="527">
        <v>250</v>
      </c>
      <c r="W86" s="361">
        <f>Table212136714[[#This Row],[الوزن المتري]]*Table212136714[[#This Row],[العدد]]</f>
        <v>2000</v>
      </c>
      <c r="X86" s="638"/>
    </row>
    <row r="87" spans="1:24" ht="18.75">
      <c r="A87" s="1020"/>
      <c r="B87" s="674" t="s">
        <v>41</v>
      </c>
      <c r="C87" s="674">
        <f>C66</f>
        <v>2</v>
      </c>
      <c r="D87" s="542">
        <f>[3]Sheet2!B36</f>
        <v>750</v>
      </c>
      <c r="E87" s="542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8"/>
      <c r="S87" s="527" t="s">
        <v>727</v>
      </c>
      <c r="W87" s="361">
        <f>SUM(W77:W86)*0.15</f>
        <v>8660.9609999999993</v>
      </c>
      <c r="X87" s="638"/>
    </row>
    <row r="88" spans="1:24" ht="18.75">
      <c r="A88" s="1020"/>
      <c r="B88" s="674" t="s">
        <v>466</v>
      </c>
      <c r="C88" s="674">
        <f>C72</f>
        <v>10</v>
      </c>
      <c r="D88" s="542">
        <v>50</v>
      </c>
      <c r="E88" s="542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8"/>
      <c r="S88" s="361" t="s">
        <v>146</v>
      </c>
      <c r="W88" s="640">
        <f>SUBTOTAL(109,Table212136714[القيمة])</f>
        <v>66400.701000000001</v>
      </c>
      <c r="X88" s="638"/>
    </row>
    <row r="89" spans="1:24" ht="18.75">
      <c r="A89" s="1020"/>
      <c r="B89" s="674" t="s">
        <v>468</v>
      </c>
      <c r="C89" s="674">
        <f>C66</f>
        <v>2</v>
      </c>
      <c r="D89" s="542">
        <v>260</v>
      </c>
      <c r="E89" s="542">
        <f t="shared" si="17"/>
        <v>520</v>
      </c>
      <c r="F89" s="657"/>
      <c r="G89" s="657"/>
      <c r="H89" s="657"/>
      <c r="I89" s="657"/>
      <c r="J89" s="657"/>
      <c r="K89" s="657"/>
      <c r="L89" s="657"/>
      <c r="M89" s="657"/>
      <c r="N89" s="657"/>
      <c r="O89" s="657"/>
      <c r="P89" s="657"/>
      <c r="Q89" s="657"/>
      <c r="R89" s="638"/>
      <c r="S89" s="1013"/>
      <c r="T89" s="1013"/>
      <c r="U89" s="1013"/>
      <c r="V89" s="1013"/>
      <c r="W89" s="1013"/>
      <c r="X89" s="638"/>
    </row>
    <row r="90" spans="1:24" ht="18.75">
      <c r="A90" s="1020"/>
      <c r="B90" s="674" t="s">
        <v>470</v>
      </c>
      <c r="C90" s="674">
        <f>C66</f>
        <v>2</v>
      </c>
      <c r="D90" s="542">
        <v>380</v>
      </c>
      <c r="E90" s="542">
        <f t="shared" si="17"/>
        <v>760</v>
      </c>
      <c r="F90" s="657"/>
      <c r="G90" s="657"/>
      <c r="H90" s="657"/>
      <c r="I90" s="657"/>
      <c r="J90" s="657"/>
      <c r="K90" s="657"/>
      <c r="L90" s="657"/>
      <c r="M90" s="657"/>
      <c r="N90" s="657"/>
      <c r="O90" s="657"/>
      <c r="P90" s="657"/>
      <c r="Q90" s="657"/>
      <c r="R90" s="638"/>
    </row>
    <row r="91" spans="1:24" ht="18.75">
      <c r="A91" s="1020"/>
      <c r="B91" s="674" t="s">
        <v>42</v>
      </c>
      <c r="C91" s="674">
        <f>IF(C81=2,1,0)</f>
        <v>0</v>
      </c>
      <c r="D91" s="542">
        <v>5000</v>
      </c>
      <c r="E91" s="542">
        <f t="shared" si="17"/>
        <v>0</v>
      </c>
      <c r="F91" s="657"/>
      <c r="G91" s="657"/>
      <c r="H91" s="657"/>
      <c r="I91" s="657"/>
      <c r="J91" s="657"/>
      <c r="K91" s="657"/>
      <c r="L91" s="657"/>
      <c r="M91" s="657"/>
      <c r="N91" s="657"/>
      <c r="O91" s="657"/>
      <c r="P91" s="657"/>
      <c r="Q91" s="657"/>
      <c r="R91" s="638"/>
    </row>
    <row r="92" spans="1:24" ht="18.75">
      <c r="A92" s="1020"/>
      <c r="B92" s="674" t="s">
        <v>43</v>
      </c>
      <c r="C92" s="674">
        <f>C91</f>
        <v>0</v>
      </c>
      <c r="D92" s="542">
        <v>1000</v>
      </c>
      <c r="E92" s="542">
        <f t="shared" si="17"/>
        <v>0</v>
      </c>
      <c r="F92" s="657"/>
      <c r="G92" s="657"/>
      <c r="H92" s="657"/>
      <c r="I92" s="657"/>
      <c r="J92" s="657"/>
      <c r="K92" s="657"/>
      <c r="L92" s="657"/>
      <c r="M92" s="657"/>
      <c r="N92" s="657"/>
      <c r="O92" s="657"/>
      <c r="P92" s="657"/>
      <c r="Q92" s="657"/>
      <c r="R92" s="638"/>
    </row>
    <row r="93" spans="1:24" ht="18.75">
      <c r="A93" s="1020"/>
      <c r="B93" s="674" t="s">
        <v>474</v>
      </c>
      <c r="C93" s="674">
        <f>C61</f>
        <v>0</v>
      </c>
      <c r="D93" s="542">
        <v>175</v>
      </c>
      <c r="E93" s="542">
        <f t="shared" si="17"/>
        <v>0</v>
      </c>
      <c r="F93" s="657"/>
      <c r="G93" s="657"/>
      <c r="H93" s="657"/>
      <c r="I93" s="657"/>
      <c r="J93" s="657"/>
      <c r="K93" s="657"/>
      <c r="L93" s="657"/>
      <c r="M93" s="657"/>
      <c r="N93" s="657"/>
      <c r="O93" s="657"/>
      <c r="P93" s="657"/>
      <c r="Q93" s="657"/>
      <c r="R93" s="638"/>
    </row>
    <row r="94" spans="1:24" ht="18.75">
      <c r="A94" s="1020"/>
      <c r="B94" s="674" t="s">
        <v>476</v>
      </c>
      <c r="C94" s="674">
        <f>C66</f>
        <v>2</v>
      </c>
      <c r="D94" s="542">
        <v>45</v>
      </c>
      <c r="E94" s="542">
        <f t="shared" si="17"/>
        <v>90</v>
      </c>
      <c r="F94" s="657"/>
      <c r="G94" s="657"/>
      <c r="H94" s="657"/>
      <c r="I94" s="657"/>
      <c r="J94" s="657"/>
      <c r="K94" s="657"/>
      <c r="L94" s="657"/>
      <c r="M94" s="657"/>
      <c r="N94" s="657"/>
      <c r="O94" s="657"/>
      <c r="P94" s="657"/>
      <c r="Q94" s="657"/>
      <c r="R94" s="638"/>
    </row>
    <row r="95" spans="1:24" ht="18.75">
      <c r="A95" s="1020"/>
      <c r="B95" s="674" t="s">
        <v>477</v>
      </c>
      <c r="C95" s="678">
        <v>0</v>
      </c>
      <c r="D95" s="542">
        <v>0</v>
      </c>
      <c r="E95" s="542">
        <v>0</v>
      </c>
      <c r="F95" s="657"/>
      <c r="G95" s="657"/>
      <c r="H95" s="657"/>
      <c r="I95" s="657"/>
      <c r="J95" s="657"/>
      <c r="K95" s="657"/>
      <c r="L95" s="657"/>
      <c r="M95" s="657"/>
      <c r="N95" s="657"/>
      <c r="O95" s="657"/>
      <c r="P95" s="657"/>
      <c r="Q95" s="657"/>
      <c r="R95" s="638"/>
    </row>
    <row r="96" spans="1:24" ht="18.75">
      <c r="A96" s="1020"/>
      <c r="B96" s="678" t="s">
        <v>146</v>
      </c>
      <c r="D96" s="596"/>
      <c r="E96" s="596">
        <f>SUBTOTAL(109,Table15139[قيمة])</f>
        <v>34003.546999999999</v>
      </c>
      <c r="F96" s="657"/>
      <c r="G96" s="657"/>
      <c r="H96" s="657"/>
      <c r="I96" s="657"/>
      <c r="J96" s="657"/>
      <c r="K96" s="657"/>
      <c r="L96" s="657"/>
      <c r="M96" s="657"/>
      <c r="N96" s="657"/>
      <c r="O96" s="657"/>
      <c r="P96" s="657"/>
      <c r="Q96" s="657"/>
      <c r="R96" s="638"/>
    </row>
    <row r="97" spans="1:18" ht="18.75">
      <c r="A97" s="1020"/>
      <c r="B97" s="679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20"/>
      <c r="P97" s="527"/>
      <c r="Q97" s="680"/>
      <c r="R97" s="638"/>
    </row>
    <row r="98" spans="1:18" ht="18.75">
      <c r="A98" s="1020"/>
      <c r="B98" s="679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20"/>
      <c r="P98" s="527"/>
      <c r="Q98" s="680"/>
      <c r="R98" s="638"/>
    </row>
    <row r="99" spans="1:18" ht="18.75">
      <c r="A99" s="1020"/>
      <c r="B99" s="679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20"/>
      <c r="P99" s="527"/>
      <c r="Q99" s="680"/>
      <c r="R99" s="638"/>
    </row>
    <row r="100" spans="1:18" ht="18.75">
      <c r="A100" s="1020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80"/>
      <c r="R100" s="638"/>
    </row>
    <row r="101" spans="1:18" ht="18.75">
      <c r="A101" s="1020"/>
      <c r="B101" s="1044" t="str">
        <f>K42</f>
        <v xml:space="preserve">اسم العميل </v>
      </c>
      <c r="C101" s="1045"/>
      <c r="D101" s="1045"/>
      <c r="E101" s="681"/>
      <c r="F101" s="682" t="str">
        <f>L44</f>
        <v>عميل</v>
      </c>
      <c r="G101" s="681"/>
      <c r="H101" s="681"/>
      <c r="I101" s="681"/>
      <c r="J101" s="681"/>
      <c r="K101" s="681"/>
      <c r="L101" s="681"/>
      <c r="M101" s="681"/>
      <c r="N101" s="683"/>
      <c r="O101" s="684"/>
      <c r="P101" s="685"/>
      <c r="Q101" s="686"/>
      <c r="R101" s="638"/>
    </row>
    <row r="102" spans="1:18" ht="18.75">
      <c r="A102" s="1020"/>
      <c r="B102" s="687"/>
      <c r="C102" s="535"/>
      <c r="D102" s="535"/>
      <c r="E102" s="535"/>
      <c r="F102" s="688" t="str">
        <f>I45</f>
        <v xml:space="preserve">مقاس البي في سي </v>
      </c>
      <c r="G102" s="689"/>
      <c r="H102" s="689"/>
      <c r="I102" s="689"/>
      <c r="J102" s="690"/>
      <c r="K102" s="685"/>
      <c r="L102" s="535">
        <f>J45</f>
        <v>349</v>
      </c>
      <c r="M102" s="535" t="str">
        <f>K45</f>
        <v>Χ</v>
      </c>
      <c r="N102" s="1038">
        <f>L45</f>
        <v>322</v>
      </c>
      <c r="O102" s="1039"/>
      <c r="P102" s="535"/>
      <c r="Q102" s="686"/>
      <c r="R102" s="638"/>
    </row>
    <row r="103" spans="1:18" ht="18.75">
      <c r="A103" s="1020"/>
      <c r="B103" s="691"/>
      <c r="C103" s="692"/>
      <c r="D103" s="692"/>
      <c r="E103" s="692"/>
      <c r="F103" s="691" t="str">
        <f>L108</f>
        <v xml:space="preserve">لون البي في سي </v>
      </c>
      <c r="G103" s="692"/>
      <c r="H103" s="692"/>
      <c r="I103" s="692"/>
      <c r="J103" s="693"/>
      <c r="K103" s="1046" t="str">
        <f>L109</f>
        <v>بيج  Ral 1013</v>
      </c>
      <c r="L103" s="1047"/>
      <c r="M103" s="1047"/>
      <c r="N103" s="1047"/>
      <c r="O103" s="1048"/>
      <c r="P103" s="535"/>
      <c r="Q103" s="686"/>
      <c r="R103" s="638"/>
    </row>
    <row r="104" spans="1:18" ht="18.75">
      <c r="A104" s="1020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80"/>
      <c r="R104" s="638"/>
    </row>
    <row r="105" spans="1:18" ht="18.75">
      <c r="A105" s="1020"/>
      <c r="B105" s="694" t="s">
        <v>383</v>
      </c>
      <c r="C105" s="1049">
        <f>[2]Royal!J47</f>
        <v>0</v>
      </c>
      <c r="D105" s="1050"/>
      <c r="E105" s="1050"/>
      <c r="F105" s="1050"/>
      <c r="G105" s="1051"/>
      <c r="H105" s="694">
        <v>1</v>
      </c>
      <c r="I105" s="694"/>
      <c r="J105" s="694"/>
      <c r="K105" s="527"/>
      <c r="L105" s="527"/>
      <c r="M105" s="527"/>
      <c r="N105" s="527"/>
      <c r="O105" s="527"/>
      <c r="P105" s="527"/>
      <c r="Q105" s="680"/>
      <c r="R105" s="638"/>
    </row>
    <row r="106" spans="1:18" ht="18.75">
      <c r="A106" s="1020"/>
      <c r="B106" s="694" t="s">
        <v>384</v>
      </c>
      <c r="C106" s="694"/>
      <c r="D106" s="694"/>
      <c r="E106" s="694"/>
      <c r="F106" s="694"/>
      <c r="G106" s="1052" t="s">
        <v>385</v>
      </c>
      <c r="H106" s="1052"/>
      <c r="I106" s="694"/>
      <c r="J106" s="694"/>
      <c r="K106" s="527"/>
      <c r="L106" s="953" t="s">
        <v>386</v>
      </c>
      <c r="M106" s="954"/>
      <c r="N106" s="955"/>
      <c r="O106" s="527"/>
      <c r="P106" s="527"/>
      <c r="Q106" s="680"/>
      <c r="R106" s="638"/>
    </row>
    <row r="107" spans="1:18" ht="18.75">
      <c r="A107" s="1020"/>
      <c r="B107" s="694" t="s">
        <v>386</v>
      </c>
      <c r="C107" s="694"/>
      <c r="D107" s="694"/>
      <c r="E107" s="694"/>
      <c r="F107" s="694"/>
      <c r="G107" s="1053" t="s">
        <v>387</v>
      </c>
      <c r="H107" s="1054"/>
      <c r="I107" s="1054"/>
      <c r="J107" s="1055"/>
      <c r="K107" s="527"/>
      <c r="L107" s="1056" t="str">
        <f>IF(C139=1,C136,IF(C139=2,C137,G107))</f>
        <v>بيج  Ral 1013</v>
      </c>
      <c r="M107" s="1057"/>
      <c r="N107" s="1058"/>
      <c r="O107" s="527"/>
      <c r="P107" s="527"/>
      <c r="Q107" s="680"/>
      <c r="R107" s="638"/>
    </row>
    <row r="108" spans="1:18" ht="18.75">
      <c r="A108" s="1020"/>
      <c r="B108" s="694" t="s">
        <v>388</v>
      </c>
      <c r="C108" s="694"/>
      <c r="D108" s="694"/>
      <c r="E108" s="694"/>
      <c r="F108" s="694"/>
      <c r="G108" s="1061" t="s">
        <v>389</v>
      </c>
      <c r="H108" s="1062"/>
      <c r="I108" s="1062"/>
      <c r="J108" s="1063"/>
      <c r="K108" s="527"/>
      <c r="L108" s="922" t="s">
        <v>388</v>
      </c>
      <c r="M108" s="923"/>
      <c r="N108" s="924"/>
      <c r="O108" s="527"/>
      <c r="P108" s="527"/>
      <c r="Q108" s="680"/>
      <c r="R108" s="638"/>
    </row>
    <row r="109" spans="1:18" ht="18.75">
      <c r="A109" s="1020"/>
      <c r="B109" s="694" t="s">
        <v>390</v>
      </c>
      <c r="C109" s="694"/>
      <c r="D109" s="694"/>
      <c r="E109" s="694"/>
      <c r="F109" s="694"/>
      <c r="G109" s="694"/>
      <c r="H109" s="694"/>
      <c r="I109" s="694"/>
      <c r="J109" s="694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80"/>
      <c r="R109" s="638"/>
    </row>
    <row r="110" spans="1:18" ht="18.75">
      <c r="A110" s="1020"/>
      <c r="B110" s="694"/>
      <c r="C110" s="696" t="s">
        <v>198</v>
      </c>
      <c r="D110" s="697">
        <f>Table1134[العرض]</f>
        <v>350</v>
      </c>
      <c r="E110" s="698" t="s">
        <v>230</v>
      </c>
      <c r="F110" s="699">
        <f>Table1134[الامتداد]</f>
        <v>350</v>
      </c>
      <c r="G110" s="694"/>
      <c r="H110" s="694"/>
      <c r="I110" s="694"/>
      <c r="J110" s="694"/>
      <c r="K110" s="527"/>
      <c r="L110" s="1067" t="s">
        <v>478</v>
      </c>
      <c r="M110" s="1068"/>
      <c r="N110" s="1068"/>
      <c r="O110" s="527"/>
      <c r="P110" s="527"/>
      <c r="Q110" s="680"/>
      <c r="R110" s="638"/>
    </row>
    <row r="111" spans="1:18" ht="18.75">
      <c r="A111" s="1020"/>
      <c r="B111" s="694"/>
      <c r="C111" s="694"/>
      <c r="D111" s="694"/>
      <c r="E111" s="694"/>
      <c r="F111" s="694"/>
      <c r="G111" s="694">
        <v>5</v>
      </c>
      <c r="H111" s="694"/>
      <c r="I111" s="694"/>
      <c r="J111" s="694"/>
      <c r="K111" s="527"/>
      <c r="L111" s="1069" t="str">
        <f>IF(J139=1,"-------",IF(J139=2,J137,J138))</f>
        <v xml:space="preserve">صونفي </v>
      </c>
      <c r="M111" s="1070"/>
      <c r="N111" s="1071"/>
      <c r="O111" s="527"/>
      <c r="P111" s="527"/>
      <c r="Q111" s="680"/>
      <c r="R111" s="638"/>
    </row>
    <row r="112" spans="1:18" ht="18.75">
      <c r="A112" s="1020"/>
      <c r="B112" s="694" t="s">
        <v>391</v>
      </c>
      <c r="C112" s="694"/>
      <c r="D112" s="694"/>
      <c r="E112" s="694"/>
      <c r="F112" s="694"/>
      <c r="G112" s="694"/>
      <c r="H112" s="694"/>
      <c r="I112" s="694"/>
      <c r="J112" s="694"/>
      <c r="K112" s="527"/>
      <c r="L112" s="1069"/>
      <c r="M112" s="1070"/>
      <c r="N112" s="1071"/>
      <c r="O112" s="527"/>
      <c r="P112" s="527"/>
      <c r="Q112" s="680"/>
      <c r="R112" s="638"/>
    </row>
    <row r="113" spans="1:18" ht="18.75">
      <c r="A113" s="1020"/>
      <c r="B113" s="694" t="s">
        <v>392</v>
      </c>
      <c r="C113" s="694"/>
      <c r="D113" s="694"/>
      <c r="E113" s="694"/>
      <c r="F113" s="694"/>
      <c r="G113" s="694"/>
      <c r="H113" s="694"/>
      <c r="I113" s="694"/>
      <c r="J113" s="694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80"/>
      <c r="R113" s="638"/>
    </row>
    <row r="114" spans="1:18" ht="18.75">
      <c r="A114" s="1020"/>
      <c r="B114" s="694" t="s">
        <v>393</v>
      </c>
      <c r="C114" s="1059" t="s">
        <v>394</v>
      </c>
      <c r="D114" s="1060"/>
      <c r="E114" s="1062" t="s">
        <v>395</v>
      </c>
      <c r="F114" s="1063"/>
      <c r="G114" s="694"/>
      <c r="H114" s="694"/>
      <c r="I114" s="694"/>
      <c r="J114" s="694"/>
      <c r="K114" s="527"/>
      <c r="L114" s="527"/>
      <c r="M114" s="527"/>
      <c r="N114" s="527"/>
      <c r="O114" s="527"/>
      <c r="P114" s="527"/>
      <c r="Q114" s="680"/>
      <c r="R114" s="638"/>
    </row>
    <row r="115" spans="1:18" ht="18.75">
      <c r="A115" s="1020"/>
      <c r="B115" s="694" t="s">
        <v>396</v>
      </c>
      <c r="C115" s="694"/>
      <c r="D115" s="694"/>
      <c r="E115" s="694"/>
      <c r="F115" s="694"/>
      <c r="G115" s="694"/>
      <c r="H115" s="694"/>
      <c r="I115" s="694"/>
      <c r="J115" s="694"/>
      <c r="K115" s="527"/>
      <c r="L115" s="527"/>
      <c r="M115" s="527"/>
      <c r="N115" s="527"/>
      <c r="O115" s="527"/>
      <c r="P115" s="527"/>
      <c r="Q115" s="680"/>
      <c r="R115" s="638"/>
    </row>
    <row r="116" spans="1:18" ht="18.75">
      <c r="A116" s="1020"/>
      <c r="B116" s="694" t="s">
        <v>397</v>
      </c>
      <c r="C116" s="694"/>
      <c r="D116" s="694"/>
      <c r="E116" s="694"/>
      <c r="F116" s="694"/>
      <c r="G116" s="694"/>
      <c r="H116" s="694"/>
      <c r="I116" s="694"/>
      <c r="J116" s="694"/>
      <c r="K116" s="527"/>
      <c r="L116" s="527"/>
      <c r="M116" s="527"/>
      <c r="N116" s="527"/>
      <c r="O116" s="527"/>
      <c r="P116" s="527"/>
      <c r="Q116" s="680"/>
      <c r="R116" s="638"/>
    </row>
    <row r="117" spans="1:18" ht="18.75">
      <c r="A117" s="1020"/>
      <c r="B117" s="694"/>
      <c r="C117" s="694"/>
      <c r="D117" s="694"/>
      <c r="E117" s="694"/>
      <c r="F117" s="694"/>
      <c r="G117" s="694"/>
      <c r="H117" s="694"/>
      <c r="I117" s="694"/>
      <c r="J117" s="694"/>
      <c r="K117" s="527"/>
      <c r="L117" s="527"/>
      <c r="M117" s="527"/>
      <c r="N117" s="527"/>
      <c r="O117" s="527"/>
      <c r="P117" s="527"/>
      <c r="Q117" s="680"/>
      <c r="R117" s="638"/>
    </row>
    <row r="118" spans="1:18" ht="18.75">
      <c r="A118" s="1020"/>
      <c r="B118" s="694" t="s">
        <v>398</v>
      </c>
      <c r="C118" s="694"/>
      <c r="D118" s="694"/>
      <c r="E118" s="694"/>
      <c r="F118" s="694"/>
      <c r="G118" s="694"/>
      <c r="H118" s="694"/>
      <c r="I118" s="694"/>
      <c r="J118" s="694"/>
      <c r="K118" s="527"/>
      <c r="L118" s="527"/>
      <c r="M118" s="527"/>
      <c r="N118" s="527"/>
      <c r="O118" s="527"/>
      <c r="P118" s="527"/>
      <c r="Q118" s="680"/>
      <c r="R118" s="638"/>
    </row>
    <row r="119" spans="1:18" ht="18.75">
      <c r="A119" s="1020"/>
      <c r="B119" s="694"/>
      <c r="C119" s="694"/>
      <c r="D119" s="1052" t="s">
        <v>399</v>
      </c>
      <c r="E119" s="1052"/>
      <c r="F119" s="1052"/>
      <c r="G119" s="694" t="s">
        <v>400</v>
      </c>
      <c r="H119" s="694"/>
      <c r="I119" s="694"/>
      <c r="J119" s="694"/>
      <c r="K119" s="527"/>
      <c r="L119" s="527"/>
      <c r="M119" s="527"/>
      <c r="N119" s="527"/>
      <c r="O119" s="527"/>
      <c r="P119" s="527"/>
      <c r="Q119" s="680"/>
      <c r="R119" s="638"/>
    </row>
    <row r="120" spans="1:18" ht="18.75">
      <c r="A120" s="1020"/>
      <c r="B120" s="1052" t="s">
        <v>401</v>
      </c>
      <c r="C120" s="1052"/>
      <c r="D120" s="1052"/>
      <c r="E120" s="694"/>
      <c r="F120" s="694"/>
      <c r="G120" s="694"/>
      <c r="H120" s="694"/>
      <c r="I120" s="694"/>
      <c r="J120" s="694"/>
      <c r="K120" s="527"/>
      <c r="L120" s="527"/>
      <c r="M120" s="527"/>
      <c r="N120" s="527"/>
      <c r="O120" s="527"/>
      <c r="P120" s="527"/>
      <c r="Q120" s="680"/>
      <c r="R120" s="638"/>
    </row>
    <row r="121" spans="1:18" ht="18.75">
      <c r="A121" s="1020"/>
      <c r="B121" s="1059" t="s">
        <v>402</v>
      </c>
      <c r="C121" s="1060"/>
      <c r="D121" s="700">
        <f>C214</f>
        <v>3</v>
      </c>
      <c r="E121" s="694"/>
      <c r="F121" s="694"/>
      <c r="G121" s="694"/>
      <c r="H121" s="694"/>
      <c r="I121" s="694"/>
      <c r="J121" s="694"/>
      <c r="K121" s="527"/>
      <c r="L121" s="527"/>
      <c r="M121" s="527"/>
      <c r="N121" s="527"/>
      <c r="O121" s="527"/>
      <c r="P121" s="527"/>
      <c r="Q121" s="680"/>
      <c r="R121" s="638"/>
    </row>
    <row r="122" spans="1:18" ht="18.75">
      <c r="A122" s="1020"/>
      <c r="B122" s="1059" t="s">
        <v>403</v>
      </c>
      <c r="C122" s="1060"/>
      <c r="D122" s="700">
        <f>C217</f>
        <v>6</v>
      </c>
      <c r="E122" s="694"/>
      <c r="F122" s="694"/>
      <c r="G122" s="694"/>
      <c r="H122" s="694"/>
      <c r="I122" s="694"/>
      <c r="J122" s="694"/>
      <c r="K122" s="527"/>
      <c r="L122" s="527"/>
      <c r="M122" s="527"/>
      <c r="N122" s="527"/>
      <c r="O122" s="527"/>
      <c r="P122" s="527"/>
      <c r="Q122" s="680"/>
      <c r="R122" s="638"/>
    </row>
    <row r="123" spans="1:18" ht="18.75">
      <c r="A123" s="1020"/>
      <c r="B123" s="1059" t="s">
        <v>404</v>
      </c>
      <c r="C123" s="1060"/>
      <c r="D123" s="700">
        <f>D122/D121</f>
        <v>2</v>
      </c>
      <c r="E123" s="694"/>
      <c r="F123" s="694"/>
      <c r="G123" s="694"/>
      <c r="H123" s="694"/>
      <c r="I123" s="694"/>
      <c r="J123" s="694"/>
      <c r="K123" s="527"/>
      <c r="L123" s="527"/>
      <c r="M123" s="527"/>
      <c r="N123" s="527"/>
      <c r="O123" s="527"/>
      <c r="P123" s="527"/>
      <c r="Q123" s="680"/>
      <c r="R123" s="638"/>
    </row>
    <row r="124" spans="1:18" ht="18.75">
      <c r="A124" s="1020"/>
      <c r="B124" s="1059" t="s">
        <v>405</v>
      </c>
      <c r="C124" s="1060"/>
      <c r="D124" s="1062">
        <v>20</v>
      </c>
      <c r="E124" s="1063"/>
      <c r="F124" s="1059" t="s">
        <v>406</v>
      </c>
      <c r="G124" s="1060"/>
      <c r="H124" s="1060"/>
      <c r="I124" s="700">
        <f>D124/D121</f>
        <v>6.666666666666667</v>
      </c>
      <c r="J124" s="694"/>
      <c r="K124" s="527"/>
      <c r="L124" s="527"/>
      <c r="M124" s="527"/>
      <c r="N124" s="527"/>
      <c r="O124" s="527"/>
      <c r="P124" s="527"/>
      <c r="Q124" s="680"/>
      <c r="R124" s="638"/>
    </row>
    <row r="125" spans="1:18" ht="18.75">
      <c r="A125" s="1020"/>
      <c r="B125" s="1059" t="s">
        <v>407</v>
      </c>
      <c r="C125" s="1060"/>
      <c r="D125" s="695">
        <v>50</v>
      </c>
      <c r="E125" s="700" t="s">
        <v>408</v>
      </c>
      <c r="F125" s="694"/>
      <c r="G125" s="694"/>
      <c r="H125" s="694"/>
      <c r="I125" s="694"/>
      <c r="J125" s="694"/>
      <c r="K125" s="527"/>
      <c r="L125" s="527"/>
      <c r="M125" s="527"/>
      <c r="N125" s="527"/>
      <c r="O125" s="527"/>
      <c r="P125" s="527"/>
      <c r="Q125" s="680"/>
      <c r="R125" s="638"/>
    </row>
    <row r="126" spans="1:18" ht="18.75">
      <c r="A126" s="1020"/>
      <c r="B126" s="694"/>
      <c r="C126" s="694"/>
      <c r="D126" s="694"/>
      <c r="E126" s="694"/>
      <c r="F126" s="694"/>
      <c r="G126" s="694"/>
      <c r="H126" s="694"/>
      <c r="I126" s="694"/>
      <c r="J126" s="694"/>
      <c r="K126" s="527"/>
      <c r="L126" s="527"/>
      <c r="M126" s="527"/>
      <c r="N126" s="527"/>
      <c r="O126" s="527"/>
      <c r="P126" s="527"/>
      <c r="Q126" s="680"/>
      <c r="R126" s="638"/>
    </row>
    <row r="127" spans="1:18" ht="18.75">
      <c r="A127" s="1020"/>
      <c r="B127" s="694"/>
      <c r="C127" s="694"/>
      <c r="D127" s="694"/>
      <c r="E127" s="694"/>
      <c r="F127" s="694"/>
      <c r="G127" s="694"/>
      <c r="H127" s="694"/>
      <c r="I127" s="694"/>
      <c r="J127" s="694"/>
      <c r="K127" s="527"/>
      <c r="L127" s="527"/>
      <c r="M127" s="527"/>
      <c r="N127" s="527"/>
      <c r="O127" s="527"/>
      <c r="P127" s="527"/>
      <c r="Q127" s="680"/>
      <c r="R127" s="638"/>
    </row>
    <row r="128" spans="1:18" ht="18.75">
      <c r="A128" s="1020"/>
      <c r="B128" s="694" t="s">
        <v>409</v>
      </c>
      <c r="C128" s="694"/>
      <c r="D128" s="694"/>
      <c r="E128" s="694"/>
      <c r="F128" s="694"/>
      <c r="G128" s="694"/>
      <c r="H128" s="694"/>
      <c r="I128" s="694"/>
      <c r="J128" s="694"/>
      <c r="K128" s="527"/>
      <c r="L128" s="527"/>
      <c r="M128" s="527"/>
      <c r="N128" s="527"/>
      <c r="O128" s="527"/>
      <c r="P128" s="527"/>
      <c r="Q128" s="680"/>
      <c r="R128" s="638"/>
    </row>
    <row r="129" spans="1:18" ht="18.75">
      <c r="A129" s="1020"/>
      <c r="B129" s="694"/>
      <c r="C129" s="694"/>
      <c r="D129" s="694"/>
      <c r="E129" s="694"/>
      <c r="F129" s="694"/>
      <c r="G129" s="694"/>
      <c r="H129" s="694" t="s">
        <v>410</v>
      </c>
      <c r="I129" s="694" t="s">
        <v>411</v>
      </c>
      <c r="J129" s="694"/>
      <c r="K129" s="527"/>
      <c r="L129" s="527"/>
      <c r="M129" s="527"/>
      <c r="N129" s="527"/>
      <c r="O129" s="527"/>
      <c r="P129" s="527"/>
      <c r="Q129" s="680"/>
      <c r="R129" s="638"/>
    </row>
    <row r="130" spans="1:18" ht="18.75">
      <c r="A130" s="1020"/>
      <c r="B130" s="694" t="s">
        <v>412</v>
      </c>
      <c r="C130" s="694"/>
      <c r="D130" s="694"/>
      <c r="E130" s="694"/>
      <c r="F130" s="694"/>
      <c r="G130" s="694"/>
      <c r="H130" s="701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1">
        <f>IF(K142=3,H130,IF(K142=1,H130-2,IF(K142=2,H130-1,IF(K142=4,H130+1,IF(K142=5,H130+2)))))</f>
        <v>2</v>
      </c>
      <c r="J130" s="694"/>
      <c r="K130" s="527"/>
      <c r="L130" s="527"/>
      <c r="M130" s="527"/>
      <c r="N130" s="527"/>
      <c r="O130" s="527"/>
      <c r="P130" s="527"/>
      <c r="Q130" s="680"/>
      <c r="R130" s="638"/>
    </row>
    <row r="131" spans="1:18" ht="18.75">
      <c r="A131" s="1020"/>
      <c r="B131" s="694" t="s">
        <v>413</v>
      </c>
      <c r="C131" s="694"/>
      <c r="D131" s="694"/>
      <c r="E131" s="694"/>
      <c r="F131" s="694"/>
      <c r="G131" s="694"/>
      <c r="H131" s="701">
        <f>IF(B141=1,F157,IF(B141=2,F157,IF(B141=3,F157,IF(B141=4,F157,IF(B141=5,F157,N153)))))</f>
        <v>5</v>
      </c>
      <c r="I131" s="701">
        <f>IF(L148=6,0,IF(L148=1,-5,IF(L148=2,-4,IF(L148=3,-3,IF(L148=4,-2,IF(L148=5,-1,IF(L148=7,1,IF(L148=8,2,IF(L148=9,3,IF(L148=10,4,IF(L148=11,5,)))))))))))+H131</f>
        <v>5</v>
      </c>
      <c r="J131" s="694"/>
      <c r="K131" s="527"/>
      <c r="L131" s="527"/>
      <c r="M131" s="527"/>
      <c r="N131" s="527"/>
      <c r="O131" s="527"/>
      <c r="P131" s="527"/>
      <c r="Q131" s="680"/>
      <c r="R131" s="638"/>
    </row>
    <row r="132" spans="1:18" ht="18.75">
      <c r="A132" s="1020"/>
      <c r="B132" s="694"/>
      <c r="C132" s="694"/>
      <c r="D132" s="694"/>
      <c r="E132" s="694"/>
      <c r="F132" s="694"/>
      <c r="G132" s="694"/>
      <c r="H132" s="701">
        <f>IF(I130=2,2,I130+1)</f>
        <v>2</v>
      </c>
      <c r="I132" s="701">
        <f>IF(M148=6,0,IF(M148=1,-5,IF(M148=2,-4,IF(M148=3,-3,IF(M148=4,-2,IF(M148=5,-1,IF(M148=7,1,IF(M148=8,2,IF(M148=9,3,IF(M148=10,4,IF(M148=11,5,)))))))))))+H132</f>
        <v>2</v>
      </c>
      <c r="J132" s="694"/>
      <c r="K132" s="527"/>
      <c r="L132" s="527"/>
      <c r="M132" s="527"/>
      <c r="N132" s="527"/>
      <c r="O132" s="527"/>
      <c r="P132" s="527"/>
      <c r="Q132" s="680"/>
      <c r="R132" s="638"/>
    </row>
    <row r="133" spans="1:18" ht="18.75">
      <c r="A133" s="1020"/>
      <c r="B133" s="694" t="s">
        <v>393</v>
      </c>
      <c r="C133" s="694"/>
      <c r="D133" s="694"/>
      <c r="E133" s="694"/>
      <c r="F133" s="694"/>
      <c r="G133" s="694"/>
      <c r="H133" s="701">
        <f>H130</f>
        <v>2</v>
      </c>
      <c r="I133" s="701">
        <f>IF(N142=3,H133,IF(N142=1,H133-2,IF(N142=2,H133-1,IF(N142=4,H133+1,IF(N142=5,H133+2)))))</f>
        <v>2</v>
      </c>
      <c r="J133" s="694"/>
      <c r="K133" s="527"/>
      <c r="L133" s="527"/>
      <c r="M133" s="527"/>
      <c r="N133" s="527"/>
      <c r="O133" s="527"/>
      <c r="P133" s="527"/>
      <c r="Q133" s="680"/>
      <c r="R133" s="638"/>
    </row>
    <row r="134" spans="1:18" ht="19.5" thickBot="1">
      <c r="A134" s="1020"/>
      <c r="B134" s="694"/>
      <c r="C134" s="694"/>
      <c r="D134" s="694"/>
      <c r="E134" s="694"/>
      <c r="F134" s="694"/>
      <c r="G134" s="694"/>
      <c r="H134" s="694"/>
      <c r="I134" s="694"/>
      <c r="J134" s="694"/>
      <c r="K134" s="527"/>
      <c r="L134" s="527"/>
      <c r="M134" s="527"/>
      <c r="N134" s="527"/>
      <c r="O134" s="527"/>
      <c r="P134" s="527"/>
      <c r="Q134" s="702"/>
      <c r="R134" s="638"/>
    </row>
    <row r="135" spans="1:18">
      <c r="A135" s="1020"/>
      <c r="B135" s="703" t="s">
        <v>419</v>
      </c>
      <c r="C135" s="704" t="s">
        <v>386</v>
      </c>
      <c r="D135" s="704" t="s">
        <v>388</v>
      </c>
      <c r="E135" s="704" t="s">
        <v>391</v>
      </c>
      <c r="F135" s="704" t="s">
        <v>392</v>
      </c>
      <c r="G135" s="704" t="s">
        <v>396</v>
      </c>
      <c r="H135" s="704" t="s">
        <v>401</v>
      </c>
      <c r="I135" s="704" t="s">
        <v>480</v>
      </c>
      <c r="J135" s="704" t="s">
        <v>398</v>
      </c>
      <c r="K135" s="1077" t="s">
        <v>481</v>
      </c>
      <c r="L135" s="1078"/>
      <c r="M135" s="1078"/>
      <c r="N135" s="1079"/>
      <c r="O135" s="704" t="s">
        <v>482</v>
      </c>
      <c r="P135" s="704" t="s">
        <v>398</v>
      </c>
      <c r="Q135" s="704" t="s">
        <v>483</v>
      </c>
      <c r="R135" s="638"/>
    </row>
    <row r="136" spans="1:18">
      <c r="A136" s="1020"/>
      <c r="B136" s="705" t="s">
        <v>484</v>
      </c>
      <c r="C136" s="706" t="s">
        <v>485</v>
      </c>
      <c r="D136" s="706" t="s">
        <v>485</v>
      </c>
      <c r="E136" s="706" t="s">
        <v>486</v>
      </c>
      <c r="F136" s="706" t="s">
        <v>487</v>
      </c>
      <c r="G136" s="706" t="s">
        <v>488</v>
      </c>
      <c r="H136" s="706" t="s">
        <v>488</v>
      </c>
      <c r="I136" s="706" t="s">
        <v>488</v>
      </c>
      <c r="J136" s="706" t="s">
        <v>487</v>
      </c>
      <c r="K136" s="707" t="s">
        <v>412</v>
      </c>
      <c r="L136" s="708" t="s">
        <v>413</v>
      </c>
      <c r="M136" s="708" t="s">
        <v>489</v>
      </c>
      <c r="N136" s="709" t="s">
        <v>393</v>
      </c>
      <c r="O136" s="706" t="s">
        <v>490</v>
      </c>
      <c r="P136" s="706" t="s">
        <v>491</v>
      </c>
      <c r="Q136" s="706" t="s">
        <v>488</v>
      </c>
      <c r="R136" s="638"/>
    </row>
    <row r="137" spans="1:18">
      <c r="A137" s="1020"/>
      <c r="B137" s="705" t="s">
        <v>492</v>
      </c>
      <c r="C137" s="706" t="s">
        <v>493</v>
      </c>
      <c r="D137" s="706" t="s">
        <v>493</v>
      </c>
      <c r="E137" s="706" t="s">
        <v>494</v>
      </c>
      <c r="F137" s="706" t="s">
        <v>495</v>
      </c>
      <c r="G137" s="706" t="s">
        <v>487</v>
      </c>
      <c r="H137" s="706" t="s">
        <v>487</v>
      </c>
      <c r="I137" s="706" t="s">
        <v>487</v>
      </c>
      <c r="J137" s="706" t="s">
        <v>496</v>
      </c>
      <c r="K137" s="707">
        <v>-2</v>
      </c>
      <c r="L137" s="708">
        <v>-5</v>
      </c>
      <c r="M137" s="708">
        <v>-5</v>
      </c>
      <c r="N137" s="709">
        <v>-2</v>
      </c>
      <c r="O137" s="706" t="s">
        <v>497</v>
      </c>
      <c r="P137" s="706" t="s">
        <v>498</v>
      </c>
      <c r="Q137" s="706" t="s">
        <v>487</v>
      </c>
      <c r="R137" s="638"/>
    </row>
    <row r="138" spans="1:18">
      <c r="A138" s="1020"/>
      <c r="B138" s="705" t="s">
        <v>499</v>
      </c>
      <c r="C138" s="706" t="s">
        <v>500</v>
      </c>
      <c r="D138" s="706" t="s">
        <v>501</v>
      </c>
      <c r="E138" s="706">
        <v>1</v>
      </c>
      <c r="F138" s="706" t="s">
        <v>502</v>
      </c>
      <c r="G138" s="706">
        <v>1</v>
      </c>
      <c r="H138" s="706">
        <v>1</v>
      </c>
      <c r="I138" s="706">
        <v>2</v>
      </c>
      <c r="J138" s="706" t="s">
        <v>503</v>
      </c>
      <c r="K138" s="707">
        <v>-1</v>
      </c>
      <c r="L138" s="708">
        <v>-4</v>
      </c>
      <c r="M138" s="708">
        <v>-4</v>
      </c>
      <c r="N138" s="709">
        <v>-1</v>
      </c>
      <c r="O138" s="706" t="s">
        <v>504</v>
      </c>
      <c r="P138" s="706">
        <v>1</v>
      </c>
      <c r="Q138" s="706" t="s">
        <v>505</v>
      </c>
      <c r="R138" s="638"/>
    </row>
    <row r="139" spans="1:18">
      <c r="A139" s="1020"/>
      <c r="B139" s="705" t="s">
        <v>506</v>
      </c>
      <c r="C139" s="706">
        <v>1</v>
      </c>
      <c r="D139" s="706" t="s">
        <v>507</v>
      </c>
      <c r="E139" s="706"/>
      <c r="F139" s="706" t="s">
        <v>508</v>
      </c>
      <c r="G139" s="706"/>
      <c r="H139" s="706"/>
      <c r="I139" s="706"/>
      <c r="J139" s="706">
        <v>2</v>
      </c>
      <c r="K139" s="707">
        <v>0</v>
      </c>
      <c r="L139" s="708">
        <v>-3</v>
      </c>
      <c r="M139" s="708">
        <v>-3</v>
      </c>
      <c r="N139" s="709">
        <v>0</v>
      </c>
      <c r="O139" s="706" t="s">
        <v>509</v>
      </c>
      <c r="P139" s="706"/>
      <c r="Q139" s="706">
        <v>1</v>
      </c>
      <c r="R139" s="638"/>
    </row>
    <row r="140" spans="1:18">
      <c r="A140" s="1020"/>
      <c r="B140" s="705" t="s">
        <v>510</v>
      </c>
      <c r="C140" s="706"/>
      <c r="D140" s="706" t="s">
        <v>511</v>
      </c>
      <c r="E140" s="706"/>
      <c r="F140" s="706" t="s">
        <v>512</v>
      </c>
      <c r="G140" s="706"/>
      <c r="H140" s="706"/>
      <c r="I140" s="706"/>
      <c r="J140" s="706"/>
      <c r="K140" s="707">
        <v>1</v>
      </c>
      <c r="L140" s="708">
        <v>-2</v>
      </c>
      <c r="M140" s="708">
        <v>-2</v>
      </c>
      <c r="N140" s="709">
        <v>1</v>
      </c>
      <c r="O140" s="706" t="s">
        <v>513</v>
      </c>
      <c r="P140" s="706"/>
      <c r="Q140" s="706"/>
      <c r="R140" s="638"/>
    </row>
    <row r="141" spans="1:18">
      <c r="A141" s="1020"/>
      <c r="B141" s="705">
        <v>2</v>
      </c>
      <c r="C141" s="706"/>
      <c r="D141" s="706" t="s">
        <v>500</v>
      </c>
      <c r="E141" s="706"/>
      <c r="F141" s="706" t="s">
        <v>514</v>
      </c>
      <c r="G141" s="706"/>
      <c r="H141" s="706"/>
      <c r="I141" s="706"/>
      <c r="J141" s="706"/>
      <c r="K141" s="707">
        <v>2</v>
      </c>
      <c r="L141" s="708">
        <v>-1</v>
      </c>
      <c r="M141" s="708">
        <v>-1</v>
      </c>
      <c r="N141" s="709">
        <v>2</v>
      </c>
      <c r="O141" s="706" t="s">
        <v>515</v>
      </c>
      <c r="P141" s="706"/>
      <c r="Q141" s="706"/>
      <c r="R141" s="638"/>
    </row>
    <row r="142" spans="1:18">
      <c r="A142" s="1020"/>
      <c r="B142" s="705"/>
      <c r="C142" s="706"/>
      <c r="D142" s="706">
        <v>1</v>
      </c>
      <c r="E142" s="706"/>
      <c r="F142" s="706">
        <v>1</v>
      </c>
      <c r="G142" s="706"/>
      <c r="H142" s="706"/>
      <c r="I142" s="706"/>
      <c r="J142" s="706"/>
      <c r="K142" s="707">
        <v>3</v>
      </c>
      <c r="L142" s="708">
        <v>0</v>
      </c>
      <c r="M142" s="708">
        <v>0</v>
      </c>
      <c r="N142" s="709">
        <v>3</v>
      </c>
      <c r="O142" s="706">
        <v>1</v>
      </c>
      <c r="P142" s="706"/>
      <c r="Q142" s="706"/>
      <c r="R142" s="638"/>
    </row>
    <row r="143" spans="1:18">
      <c r="A143" s="1020"/>
      <c r="B143" s="705"/>
      <c r="C143" s="706"/>
      <c r="D143" s="706"/>
      <c r="E143" s="706"/>
      <c r="F143" s="706"/>
      <c r="G143" s="706"/>
      <c r="H143" s="706"/>
      <c r="I143" s="706"/>
      <c r="J143" s="706"/>
      <c r="K143" s="707"/>
      <c r="L143" s="708">
        <v>1</v>
      </c>
      <c r="M143" s="708">
        <v>1</v>
      </c>
      <c r="N143" s="709"/>
      <c r="O143" s="706"/>
      <c r="P143" s="706"/>
      <c r="Q143" s="706"/>
      <c r="R143" s="638"/>
    </row>
    <row r="144" spans="1:18">
      <c r="A144" s="1020"/>
      <c r="B144" s="705"/>
      <c r="C144" s="706"/>
      <c r="D144" s="706"/>
      <c r="E144" s="706"/>
      <c r="F144" s="706"/>
      <c r="G144" s="706"/>
      <c r="H144" s="706"/>
      <c r="I144" s="706"/>
      <c r="J144" s="706"/>
      <c r="K144" s="707"/>
      <c r="L144" s="708">
        <v>2</v>
      </c>
      <c r="M144" s="708">
        <v>2</v>
      </c>
      <c r="N144" s="709"/>
      <c r="O144" s="706"/>
      <c r="P144" s="706"/>
      <c r="Q144" s="706"/>
      <c r="R144" s="638"/>
    </row>
    <row r="145" spans="1:18">
      <c r="A145" s="1020"/>
      <c r="B145" s="705"/>
      <c r="C145" s="706"/>
      <c r="D145" s="706"/>
      <c r="E145" s="706"/>
      <c r="F145" s="706"/>
      <c r="G145" s="706"/>
      <c r="H145" s="706"/>
      <c r="I145" s="706"/>
      <c r="J145" s="706"/>
      <c r="K145" s="707"/>
      <c r="L145" s="708">
        <v>3</v>
      </c>
      <c r="M145" s="708">
        <v>3</v>
      </c>
      <c r="N145" s="709"/>
      <c r="O145" s="706"/>
      <c r="P145" s="706"/>
      <c r="Q145" s="706"/>
      <c r="R145" s="638"/>
    </row>
    <row r="146" spans="1:18">
      <c r="A146" s="1020"/>
      <c r="B146" s="705"/>
      <c r="C146" s="706"/>
      <c r="D146" s="706"/>
      <c r="E146" s="706"/>
      <c r="F146" s="706"/>
      <c r="G146" s="706"/>
      <c r="H146" s="706"/>
      <c r="I146" s="706"/>
      <c r="J146" s="706"/>
      <c r="K146" s="707"/>
      <c r="L146" s="708">
        <v>4</v>
      </c>
      <c r="M146" s="708">
        <v>4</v>
      </c>
      <c r="N146" s="709"/>
      <c r="O146" s="706"/>
      <c r="P146" s="706"/>
      <c r="Q146" s="706"/>
      <c r="R146" s="638"/>
    </row>
    <row r="147" spans="1:18">
      <c r="A147" s="1020"/>
      <c r="B147" s="705"/>
      <c r="C147" s="706"/>
      <c r="D147" s="706"/>
      <c r="E147" s="706"/>
      <c r="F147" s="706"/>
      <c r="G147" s="706"/>
      <c r="H147" s="706"/>
      <c r="I147" s="706"/>
      <c r="J147" s="706"/>
      <c r="K147" s="707"/>
      <c r="L147" s="708">
        <v>5</v>
      </c>
      <c r="M147" s="708">
        <v>5</v>
      </c>
      <c r="N147" s="709"/>
      <c r="O147" s="706"/>
      <c r="P147" s="706"/>
      <c r="Q147" s="706"/>
      <c r="R147" s="638"/>
    </row>
    <row r="148" spans="1:18">
      <c r="A148" s="1020"/>
      <c r="B148" s="705"/>
      <c r="C148" s="706"/>
      <c r="D148" s="706"/>
      <c r="E148" s="706"/>
      <c r="F148" s="706"/>
      <c r="G148" s="706"/>
      <c r="H148" s="706"/>
      <c r="I148" s="706"/>
      <c r="J148" s="706"/>
      <c r="K148" s="707"/>
      <c r="L148" s="708">
        <v>6</v>
      </c>
      <c r="M148" s="708">
        <v>6</v>
      </c>
      <c r="N148" s="709"/>
      <c r="O148" s="706"/>
      <c r="P148" s="706"/>
      <c r="Q148" s="706"/>
      <c r="R148" s="638"/>
    </row>
    <row r="149" spans="1:18">
      <c r="A149" s="1020"/>
      <c r="B149" s="710"/>
      <c r="C149" s="711"/>
      <c r="D149" s="711"/>
      <c r="E149" s="711"/>
      <c r="F149" s="711"/>
      <c r="G149" s="711"/>
      <c r="H149" s="711"/>
      <c r="I149" s="711"/>
      <c r="J149" s="711"/>
      <c r="K149" s="712"/>
      <c r="L149" s="713"/>
      <c r="M149" s="713"/>
      <c r="N149" s="714"/>
      <c r="O149" s="711"/>
      <c r="P149" s="711"/>
      <c r="Q149" s="711"/>
      <c r="R149" s="638"/>
    </row>
    <row r="150" spans="1:18" ht="15.75" thickBot="1">
      <c r="A150" s="1020"/>
      <c r="B150" s="715"/>
      <c r="C150" s="708"/>
      <c r="D150" s="708"/>
      <c r="E150" s="708"/>
      <c r="F150" s="708"/>
      <c r="G150" s="708"/>
      <c r="H150" s="708"/>
      <c r="I150" s="708"/>
      <c r="J150" s="708"/>
      <c r="K150" s="708"/>
      <c r="L150" s="708"/>
      <c r="M150" s="708"/>
      <c r="N150" s="708"/>
      <c r="O150" s="708"/>
      <c r="P150" s="708"/>
      <c r="Q150" s="708"/>
      <c r="R150" s="638"/>
    </row>
    <row r="151" spans="1:18">
      <c r="A151" s="1020"/>
      <c r="B151" s="716" t="s">
        <v>516</v>
      </c>
      <c r="C151" s="717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0" t="s">
        <v>517</v>
      </c>
      <c r="E151" s="1081"/>
      <c r="F151" s="1081"/>
      <c r="G151" s="1082"/>
      <c r="H151" s="708"/>
      <c r="I151" s="708"/>
      <c r="J151" s="1083" t="s">
        <v>523</v>
      </c>
      <c r="K151" s="1084"/>
      <c r="L151" s="1084"/>
      <c r="M151" s="1084"/>
      <c r="N151" s="1084"/>
      <c r="O151" s="1084"/>
      <c r="P151" s="1084"/>
      <c r="Q151" s="1085"/>
      <c r="R151" s="638"/>
    </row>
    <row r="152" spans="1:18">
      <c r="A152" s="1020"/>
      <c r="B152" s="719" t="s">
        <v>518</v>
      </c>
      <c r="C152" s="720">
        <f>D110</f>
        <v>350</v>
      </c>
      <c r="D152" s="721" t="s">
        <v>519</v>
      </c>
      <c r="E152" s="721"/>
      <c r="F152" s="721"/>
      <c r="G152" s="718"/>
      <c r="H152" s="708"/>
      <c r="I152" s="708"/>
      <c r="J152" s="722"/>
      <c r="K152" s="723"/>
      <c r="L152" s="723"/>
      <c r="M152" s="723"/>
      <c r="N152" s="723"/>
      <c r="O152" s="723"/>
      <c r="P152" s="723"/>
      <c r="Q152" s="724"/>
      <c r="R152" s="638"/>
    </row>
    <row r="153" spans="1:18" ht="15.75" thickBot="1">
      <c r="A153" s="1020"/>
      <c r="B153" s="725" t="s">
        <v>520</v>
      </c>
      <c r="C153" s="726">
        <f>G242</f>
        <v>350</v>
      </c>
      <c r="D153" s="711">
        <f>IF(C152&gt;2400,8,IF(C152&gt;2000,7,IF(C152&gt;1600,6,IF(C152&gt;1200,5,IF(C152&gt;800,4,IF(C152&gt;400,3,2))))))</f>
        <v>2</v>
      </c>
      <c r="E153" s="711"/>
      <c r="F153" s="711"/>
      <c r="G153" s="714"/>
      <c r="H153" s="708"/>
      <c r="I153" s="708"/>
      <c r="J153" s="1086" t="s">
        <v>524</v>
      </c>
      <c r="K153" s="1087"/>
      <c r="L153" s="728">
        <f>C153</f>
        <v>350</v>
      </c>
      <c r="M153" s="728" t="s">
        <v>526</v>
      </c>
      <c r="N153" s="728">
        <f>INT((L153-4)/25)+1</f>
        <v>14</v>
      </c>
      <c r="O153" s="728"/>
      <c r="P153" s="728"/>
      <c r="Q153" s="729"/>
      <c r="R153" s="638"/>
    </row>
    <row r="154" spans="1:18" ht="15.75" thickBot="1">
      <c r="A154" s="1020"/>
      <c r="B154" s="715"/>
      <c r="C154" s="708"/>
      <c r="D154" s="708"/>
      <c r="E154" s="708"/>
      <c r="F154" s="708"/>
      <c r="G154" s="708"/>
      <c r="H154" s="708"/>
      <c r="I154" s="708"/>
      <c r="J154" s="708"/>
      <c r="K154" s="708"/>
      <c r="L154" s="708"/>
      <c r="M154" s="708"/>
      <c r="N154" s="708"/>
      <c r="O154" s="708"/>
      <c r="P154" s="708"/>
      <c r="Q154" s="708"/>
      <c r="R154" s="638"/>
    </row>
    <row r="155" spans="1:18">
      <c r="A155" s="1020"/>
      <c r="B155" s="1083" t="s">
        <v>521</v>
      </c>
      <c r="C155" s="1084"/>
      <c r="D155" s="1084"/>
      <c r="E155" s="1084"/>
      <c r="F155" s="1084"/>
      <c r="G155" s="1084"/>
      <c r="H155" s="1084"/>
      <c r="I155" s="1085"/>
      <c r="J155" s="1083" t="s">
        <v>522</v>
      </c>
      <c r="K155" s="1084"/>
      <c r="L155" s="1084"/>
      <c r="M155" s="1084"/>
      <c r="N155" s="1084"/>
      <c r="O155" s="1084"/>
      <c r="P155" s="1084"/>
      <c r="Q155" s="1085"/>
      <c r="R155" s="638"/>
    </row>
    <row r="156" spans="1:18">
      <c r="A156" s="1020"/>
      <c r="B156" s="722"/>
      <c r="C156" s="723"/>
      <c r="D156" s="723"/>
      <c r="E156" s="723"/>
      <c r="F156" s="723"/>
      <c r="G156" s="723"/>
      <c r="H156" s="723"/>
      <c r="I156" s="724"/>
      <c r="J156" s="722"/>
      <c r="K156" s="723"/>
      <c r="L156" s="723"/>
      <c r="M156" s="723"/>
      <c r="N156" s="723"/>
      <c r="O156" s="723"/>
      <c r="P156" s="723"/>
      <c r="Q156" s="724"/>
      <c r="R156" s="638"/>
    </row>
    <row r="157" spans="1:18">
      <c r="A157" s="1020"/>
      <c r="B157" s="1075" t="s">
        <v>524</v>
      </c>
      <c r="C157" s="1076"/>
      <c r="D157" s="723">
        <f>C153</f>
        <v>350</v>
      </c>
      <c r="E157" s="723" t="s">
        <v>525</v>
      </c>
      <c r="F157" s="723">
        <f>I160</f>
        <v>5</v>
      </c>
      <c r="G157" s="723"/>
      <c r="H157" s="723"/>
      <c r="I157" s="724"/>
      <c r="J157" s="1075" t="s">
        <v>524</v>
      </c>
      <c r="K157" s="1076"/>
      <c r="L157" s="723">
        <f>C153</f>
        <v>350</v>
      </c>
      <c r="M157" s="723" t="s">
        <v>525</v>
      </c>
      <c r="N157" s="723">
        <f>Q160</f>
        <v>4</v>
      </c>
      <c r="O157" s="723"/>
      <c r="P157" s="723"/>
      <c r="Q157" s="724"/>
      <c r="R157" s="638"/>
    </row>
    <row r="158" spans="1:18">
      <c r="A158" s="1020"/>
      <c r="B158" s="1091" t="s">
        <v>525</v>
      </c>
      <c r="C158" s="1092"/>
      <c r="D158" s="1092"/>
      <c r="E158" s="723"/>
      <c r="F158" s="723"/>
      <c r="G158" s="732"/>
      <c r="H158" s="723"/>
      <c r="I158" s="724"/>
      <c r="J158" s="1091" t="s">
        <v>527</v>
      </c>
      <c r="K158" s="1092"/>
      <c r="L158" s="1092"/>
      <c r="M158" s="723"/>
      <c r="N158" s="723"/>
      <c r="O158" s="732"/>
      <c r="P158" s="723"/>
      <c r="Q158" s="724"/>
      <c r="R158" s="638"/>
    </row>
    <row r="159" spans="1:18">
      <c r="A159" s="1020"/>
      <c r="B159" s="730" t="s">
        <v>528</v>
      </c>
      <c r="C159" s="731" t="s">
        <v>529</v>
      </c>
      <c r="D159" s="731" t="s">
        <v>530</v>
      </c>
      <c r="E159" s="723"/>
      <c r="F159" s="731" t="s">
        <v>528</v>
      </c>
      <c r="G159" s="731" t="s">
        <v>529</v>
      </c>
      <c r="H159" s="731" t="s">
        <v>530</v>
      </c>
      <c r="I159" s="724"/>
      <c r="J159" s="730" t="s">
        <v>528</v>
      </c>
      <c r="K159" s="731" t="s">
        <v>529</v>
      </c>
      <c r="L159" s="731" t="s">
        <v>530</v>
      </c>
      <c r="M159" s="723"/>
      <c r="N159" s="731" t="s">
        <v>528</v>
      </c>
      <c r="O159" s="731" t="s">
        <v>529</v>
      </c>
      <c r="P159" s="731" t="s">
        <v>530</v>
      </c>
      <c r="Q159" s="724"/>
      <c r="R159" s="638"/>
    </row>
    <row r="160" spans="1:18">
      <c r="A160" s="1020"/>
      <c r="B160" s="722">
        <v>1</v>
      </c>
      <c r="C160" s="733">
        <v>0</v>
      </c>
      <c r="D160" s="733">
        <v>152</v>
      </c>
      <c r="E160" s="733">
        <f t="shared" ref="E160:E178" si="18">D160+1</f>
        <v>153</v>
      </c>
      <c r="F160" s="723" t="s">
        <v>531</v>
      </c>
      <c r="G160" s="733">
        <f>C160</f>
        <v>0</v>
      </c>
      <c r="H160" s="733">
        <f>D164</f>
        <v>402</v>
      </c>
      <c r="I160" s="734">
        <f>IF(D157&lt;E160,B160,IF(D157&lt;E161,B161,IF(D157&lt;E162,B162,IF(D157&lt;E163,B163,IF(D157&lt;E164,B164,I165)))))</f>
        <v>5</v>
      </c>
      <c r="J160" s="722">
        <v>1</v>
      </c>
      <c r="K160" s="733">
        <v>0</v>
      </c>
      <c r="L160" s="733">
        <v>168</v>
      </c>
      <c r="M160" s="733">
        <f t="shared" ref="M160:M178" si="19">L160+1</f>
        <v>169</v>
      </c>
      <c r="N160" s="723" t="s">
        <v>531</v>
      </c>
      <c r="O160" s="733">
        <f>K160</f>
        <v>0</v>
      </c>
      <c r="P160" s="733">
        <f>L164</f>
        <v>460</v>
      </c>
      <c r="Q160" s="734">
        <f>IF(L157&lt;M160,J160,IF(L157&lt;M161,J161,IF(L157&lt;M162,J162,IF(L157&lt;M163,J163,IF(L157&lt;M164,J164,Q165)))))</f>
        <v>4</v>
      </c>
      <c r="R160" s="638"/>
    </row>
    <row r="161" spans="1:18">
      <c r="A161" s="1020"/>
      <c r="B161" s="730">
        <v>2</v>
      </c>
      <c r="C161" s="735">
        <f t="shared" ref="C161:C178" si="20">D160+1</f>
        <v>153</v>
      </c>
      <c r="D161" s="735">
        <v>215</v>
      </c>
      <c r="E161" s="733">
        <f t="shared" si="18"/>
        <v>216</v>
      </c>
      <c r="F161" s="723"/>
      <c r="G161" s="723"/>
      <c r="H161" s="723"/>
      <c r="I161" s="734"/>
      <c r="J161" s="730">
        <v>2</v>
      </c>
      <c r="K161" s="735">
        <f t="shared" ref="K161:K178" si="21">L160+1</f>
        <v>169</v>
      </c>
      <c r="L161" s="735">
        <v>241</v>
      </c>
      <c r="M161" s="733">
        <f t="shared" si="19"/>
        <v>242</v>
      </c>
      <c r="N161" s="723"/>
      <c r="O161" s="723"/>
      <c r="P161" s="723"/>
      <c r="Q161" s="734"/>
      <c r="R161" s="638"/>
    </row>
    <row r="162" spans="1:18">
      <c r="A162" s="1020"/>
      <c r="B162" s="722">
        <v>3</v>
      </c>
      <c r="C162" s="735">
        <f t="shared" si="20"/>
        <v>216</v>
      </c>
      <c r="D162" s="733">
        <v>277</v>
      </c>
      <c r="E162" s="733">
        <f t="shared" si="18"/>
        <v>278</v>
      </c>
      <c r="F162" s="723"/>
      <c r="G162" s="723"/>
      <c r="H162" s="723"/>
      <c r="I162" s="734"/>
      <c r="J162" s="722">
        <v>3</v>
      </c>
      <c r="K162" s="735">
        <f t="shared" si="21"/>
        <v>242</v>
      </c>
      <c r="L162" s="733">
        <v>314</v>
      </c>
      <c r="M162" s="733">
        <f t="shared" si="19"/>
        <v>315</v>
      </c>
      <c r="N162" s="723"/>
      <c r="O162" s="723"/>
      <c r="P162" s="723"/>
      <c r="Q162" s="734"/>
      <c r="R162" s="638"/>
    </row>
    <row r="163" spans="1:18">
      <c r="A163" s="1020"/>
      <c r="B163" s="730">
        <v>4</v>
      </c>
      <c r="C163" s="735">
        <f t="shared" si="20"/>
        <v>278</v>
      </c>
      <c r="D163" s="733">
        <v>339</v>
      </c>
      <c r="E163" s="733">
        <f t="shared" si="18"/>
        <v>340</v>
      </c>
      <c r="F163" s="723"/>
      <c r="G163" s="723"/>
      <c r="H163" s="723"/>
      <c r="I163" s="734"/>
      <c r="J163" s="730">
        <v>4</v>
      </c>
      <c r="K163" s="735">
        <f t="shared" si="21"/>
        <v>315</v>
      </c>
      <c r="L163" s="733">
        <v>387</v>
      </c>
      <c r="M163" s="733">
        <f t="shared" si="19"/>
        <v>388</v>
      </c>
      <c r="N163" s="723"/>
      <c r="O163" s="723"/>
      <c r="P163" s="723"/>
      <c r="Q163" s="734"/>
      <c r="R163" s="638"/>
    </row>
    <row r="164" spans="1:18">
      <c r="A164" s="1020"/>
      <c r="B164" s="722">
        <v>5</v>
      </c>
      <c r="C164" s="735">
        <f t="shared" si="20"/>
        <v>340</v>
      </c>
      <c r="D164" s="735">
        <v>402</v>
      </c>
      <c r="E164" s="733">
        <f t="shared" si="18"/>
        <v>403</v>
      </c>
      <c r="F164" s="723"/>
      <c r="G164" s="723"/>
      <c r="H164" s="723"/>
      <c r="I164" s="734"/>
      <c r="J164" s="722">
        <v>5</v>
      </c>
      <c r="K164" s="735">
        <f t="shared" si="21"/>
        <v>388</v>
      </c>
      <c r="L164" s="735">
        <v>460</v>
      </c>
      <c r="M164" s="733">
        <f t="shared" si="19"/>
        <v>461</v>
      </c>
      <c r="N164" s="723"/>
      <c r="O164" s="723"/>
      <c r="P164" s="723"/>
      <c r="Q164" s="734"/>
      <c r="R164" s="638"/>
    </row>
    <row r="165" spans="1:18">
      <c r="A165" s="1020"/>
      <c r="B165" s="730">
        <v>6</v>
      </c>
      <c r="C165" s="735">
        <f t="shared" si="20"/>
        <v>403</v>
      </c>
      <c r="D165" s="733">
        <v>464</v>
      </c>
      <c r="E165" s="733">
        <f t="shared" si="18"/>
        <v>465</v>
      </c>
      <c r="F165" s="731" t="s">
        <v>532</v>
      </c>
      <c r="G165" s="733">
        <f>C165</f>
        <v>403</v>
      </c>
      <c r="H165" s="733">
        <f>D169</f>
        <v>713</v>
      </c>
      <c r="I165" s="734">
        <f>IF(D157&lt;E165,B165,IF(D157&lt;E166,B166,IF(D157&lt;E167,B167,IF(D157&lt;E168,B168,IF(D157&lt;E169,B169,I170)))))</f>
        <v>6</v>
      </c>
      <c r="J165" s="730">
        <v>6</v>
      </c>
      <c r="K165" s="735">
        <f t="shared" si="21"/>
        <v>461</v>
      </c>
      <c r="L165" s="733">
        <v>533</v>
      </c>
      <c r="M165" s="733">
        <f t="shared" si="19"/>
        <v>534</v>
      </c>
      <c r="N165" s="731" t="s">
        <v>532</v>
      </c>
      <c r="O165" s="733">
        <f>K165</f>
        <v>461</v>
      </c>
      <c r="P165" s="733">
        <f>L169</f>
        <v>825</v>
      </c>
      <c r="Q165" s="734">
        <f>IF(L157&lt;M165,J165,IF(L157&lt;M166,J166,IF(L157&lt;M167,J167,IF(L157&lt;M168,J168,IF(L157&lt;M169,J169,Q170)))))</f>
        <v>6</v>
      </c>
      <c r="R165" s="638"/>
    </row>
    <row r="166" spans="1:18">
      <c r="A166" s="1020"/>
      <c r="B166" s="722">
        <v>7</v>
      </c>
      <c r="C166" s="735">
        <f t="shared" si="20"/>
        <v>465</v>
      </c>
      <c r="D166" s="733">
        <v>527</v>
      </c>
      <c r="E166" s="733">
        <f t="shared" si="18"/>
        <v>528</v>
      </c>
      <c r="F166" s="723"/>
      <c r="G166" s="723"/>
      <c r="H166" s="723"/>
      <c r="I166" s="734"/>
      <c r="J166" s="722">
        <v>7</v>
      </c>
      <c r="K166" s="735">
        <f t="shared" si="21"/>
        <v>534</v>
      </c>
      <c r="L166" s="733">
        <v>606</v>
      </c>
      <c r="M166" s="733">
        <f t="shared" si="19"/>
        <v>607</v>
      </c>
      <c r="N166" s="723"/>
      <c r="O166" s="723"/>
      <c r="P166" s="723"/>
      <c r="Q166" s="734"/>
      <c r="R166" s="638"/>
    </row>
    <row r="167" spans="1:18">
      <c r="A167" s="1020"/>
      <c r="B167" s="730">
        <v>8</v>
      </c>
      <c r="C167" s="735">
        <f t="shared" si="20"/>
        <v>528</v>
      </c>
      <c r="D167" s="735">
        <v>589</v>
      </c>
      <c r="E167" s="733">
        <f t="shared" si="18"/>
        <v>590</v>
      </c>
      <c r="F167" s="723"/>
      <c r="G167" s="723"/>
      <c r="H167" s="723"/>
      <c r="I167" s="734"/>
      <c r="J167" s="730">
        <v>8</v>
      </c>
      <c r="K167" s="735">
        <f t="shared" si="21"/>
        <v>607</v>
      </c>
      <c r="L167" s="735">
        <v>679</v>
      </c>
      <c r="M167" s="733">
        <f t="shared" si="19"/>
        <v>680</v>
      </c>
      <c r="N167" s="723"/>
      <c r="O167" s="723"/>
      <c r="P167" s="723"/>
      <c r="Q167" s="734"/>
      <c r="R167" s="638"/>
    </row>
    <row r="168" spans="1:18">
      <c r="A168" s="1020"/>
      <c r="B168" s="722">
        <v>9</v>
      </c>
      <c r="C168" s="735">
        <f t="shared" si="20"/>
        <v>590</v>
      </c>
      <c r="D168" s="733">
        <v>651</v>
      </c>
      <c r="E168" s="733">
        <f t="shared" si="18"/>
        <v>652</v>
      </c>
      <c r="F168" s="723"/>
      <c r="G168" s="723"/>
      <c r="H168" s="723"/>
      <c r="I168" s="734"/>
      <c r="J168" s="722">
        <v>9</v>
      </c>
      <c r="K168" s="735">
        <f t="shared" si="21"/>
        <v>680</v>
      </c>
      <c r="L168" s="733">
        <v>752</v>
      </c>
      <c r="M168" s="733">
        <f t="shared" si="19"/>
        <v>753</v>
      </c>
      <c r="N168" s="723"/>
      <c r="O168" s="723"/>
      <c r="P168" s="723"/>
      <c r="Q168" s="734"/>
      <c r="R168" s="638"/>
    </row>
    <row r="169" spans="1:18">
      <c r="A169" s="1020"/>
      <c r="B169" s="730">
        <v>10</v>
      </c>
      <c r="C169" s="735">
        <f t="shared" si="20"/>
        <v>652</v>
      </c>
      <c r="D169" s="733">
        <v>713</v>
      </c>
      <c r="E169" s="733">
        <f t="shared" si="18"/>
        <v>714</v>
      </c>
      <c r="F169" s="723"/>
      <c r="G169" s="723"/>
      <c r="H169" s="723"/>
      <c r="I169" s="734"/>
      <c r="J169" s="730">
        <v>10</v>
      </c>
      <c r="K169" s="735">
        <f t="shared" si="21"/>
        <v>753</v>
      </c>
      <c r="L169" s="733">
        <v>825</v>
      </c>
      <c r="M169" s="733">
        <f t="shared" si="19"/>
        <v>826</v>
      </c>
      <c r="N169" s="723"/>
      <c r="O169" s="723"/>
      <c r="P169" s="723"/>
      <c r="Q169" s="734"/>
      <c r="R169" s="638"/>
    </row>
    <row r="170" spans="1:18">
      <c r="A170" s="1020"/>
      <c r="B170" s="722">
        <v>11</v>
      </c>
      <c r="C170" s="735">
        <f t="shared" si="20"/>
        <v>714</v>
      </c>
      <c r="D170" s="735">
        <v>776</v>
      </c>
      <c r="E170" s="733">
        <f t="shared" si="18"/>
        <v>777</v>
      </c>
      <c r="F170" s="723" t="s">
        <v>533</v>
      </c>
      <c r="G170" s="733">
        <f>C170</f>
        <v>714</v>
      </c>
      <c r="H170" s="733">
        <f>D173</f>
        <v>963</v>
      </c>
      <c r="I170" s="734">
        <f>IF(D157&lt;E170,B170,IF(D157&lt;E171,B171,IF(D157&lt;E172,B172,IF(D157&lt;E173,B173,I174))))</f>
        <v>11</v>
      </c>
      <c r="J170" s="722">
        <v>11</v>
      </c>
      <c r="K170" s="735">
        <f t="shared" si="21"/>
        <v>826</v>
      </c>
      <c r="L170" s="735">
        <v>898</v>
      </c>
      <c r="M170" s="733">
        <f t="shared" si="19"/>
        <v>899</v>
      </c>
      <c r="N170" s="723" t="s">
        <v>533</v>
      </c>
      <c r="O170" s="733">
        <f>K170</f>
        <v>826</v>
      </c>
      <c r="P170" s="733">
        <f>L173</f>
        <v>1117</v>
      </c>
      <c r="Q170" s="734">
        <f>IF(L157&lt;M170,J170,IF(L157&lt;M171,J171,IF(L157&lt;M172,J172,IF(L157&lt;M173,J173,Q174))))</f>
        <v>11</v>
      </c>
      <c r="R170" s="638"/>
    </row>
    <row r="171" spans="1:18">
      <c r="A171" s="1020"/>
      <c r="B171" s="730">
        <v>12</v>
      </c>
      <c r="C171" s="735">
        <f t="shared" si="20"/>
        <v>777</v>
      </c>
      <c r="D171" s="733">
        <v>837</v>
      </c>
      <c r="E171" s="733">
        <f t="shared" si="18"/>
        <v>838</v>
      </c>
      <c r="F171" s="723"/>
      <c r="G171" s="723"/>
      <c r="H171" s="723"/>
      <c r="I171" s="734"/>
      <c r="J171" s="730">
        <v>12</v>
      </c>
      <c r="K171" s="735">
        <f t="shared" si="21"/>
        <v>899</v>
      </c>
      <c r="L171" s="733">
        <v>971</v>
      </c>
      <c r="M171" s="733">
        <f t="shared" si="19"/>
        <v>972</v>
      </c>
      <c r="N171" s="723"/>
      <c r="O171" s="723"/>
      <c r="P171" s="723"/>
      <c r="Q171" s="734"/>
      <c r="R171" s="638"/>
    </row>
    <row r="172" spans="1:18">
      <c r="A172" s="1020"/>
      <c r="B172" s="722">
        <v>13</v>
      </c>
      <c r="C172" s="735">
        <f t="shared" si="20"/>
        <v>838</v>
      </c>
      <c r="D172" s="733">
        <v>900</v>
      </c>
      <c r="E172" s="733">
        <f t="shared" si="18"/>
        <v>901</v>
      </c>
      <c r="F172" s="723"/>
      <c r="G172" s="723"/>
      <c r="H172" s="723"/>
      <c r="I172" s="734"/>
      <c r="J172" s="722">
        <v>13</v>
      </c>
      <c r="K172" s="735">
        <f t="shared" si="21"/>
        <v>972</v>
      </c>
      <c r="L172" s="733">
        <v>1044</v>
      </c>
      <c r="M172" s="733">
        <f t="shared" si="19"/>
        <v>1045</v>
      </c>
      <c r="N172" s="723"/>
      <c r="O172" s="723"/>
      <c r="P172" s="723"/>
      <c r="Q172" s="734"/>
      <c r="R172" s="638"/>
    </row>
    <row r="173" spans="1:18">
      <c r="A173" s="1020"/>
      <c r="B173" s="730">
        <v>14</v>
      </c>
      <c r="C173" s="735">
        <f t="shared" si="20"/>
        <v>901</v>
      </c>
      <c r="D173" s="735">
        <v>963</v>
      </c>
      <c r="E173" s="733">
        <f t="shared" si="18"/>
        <v>964</v>
      </c>
      <c r="F173" s="723"/>
      <c r="G173" s="723"/>
      <c r="H173" s="723"/>
      <c r="I173" s="734"/>
      <c r="J173" s="730">
        <v>14</v>
      </c>
      <c r="K173" s="735">
        <f t="shared" si="21"/>
        <v>1045</v>
      </c>
      <c r="L173" s="735">
        <v>1117</v>
      </c>
      <c r="M173" s="733">
        <f t="shared" si="19"/>
        <v>1118</v>
      </c>
      <c r="N173" s="723"/>
      <c r="O173" s="723"/>
      <c r="P173" s="723"/>
      <c r="Q173" s="734"/>
      <c r="R173" s="638"/>
    </row>
    <row r="174" spans="1:18">
      <c r="A174" s="1020"/>
      <c r="B174" s="722">
        <v>15</v>
      </c>
      <c r="C174" s="735">
        <f t="shared" si="20"/>
        <v>964</v>
      </c>
      <c r="D174" s="733">
        <v>1025</v>
      </c>
      <c r="E174" s="733">
        <f t="shared" si="18"/>
        <v>1026</v>
      </c>
      <c r="F174" s="723" t="s">
        <v>534</v>
      </c>
      <c r="G174" s="733">
        <f>C174</f>
        <v>964</v>
      </c>
      <c r="H174" s="733">
        <f>D178</f>
        <v>1270</v>
      </c>
      <c r="I174" s="734">
        <f>IF(D157&lt;E174,B174,IF(D157&lt;E175,B175,IF(D157&lt;E176,B176,IF(D157&lt;E177,B177,I178))))</f>
        <v>15</v>
      </c>
      <c r="J174" s="722">
        <v>15</v>
      </c>
      <c r="K174" s="735">
        <f t="shared" si="21"/>
        <v>1118</v>
      </c>
      <c r="L174" s="733">
        <v>1190</v>
      </c>
      <c r="M174" s="733">
        <f t="shared" si="19"/>
        <v>1191</v>
      </c>
      <c r="N174" s="723" t="s">
        <v>534</v>
      </c>
      <c r="O174" s="733">
        <f>K174</f>
        <v>1118</v>
      </c>
      <c r="P174" s="733">
        <f>L178</f>
        <v>1269</v>
      </c>
      <c r="Q174" s="734">
        <f>IF(L157&lt;M174,J174,IF(L157&lt;M175,J175,IF(L157&lt;M176,J176,IF(L157&lt;M177,J177,Q178))))</f>
        <v>15</v>
      </c>
      <c r="R174" s="638"/>
    </row>
    <row r="175" spans="1:18">
      <c r="A175" s="1020"/>
      <c r="B175" s="730">
        <v>16</v>
      </c>
      <c r="C175" s="735">
        <f t="shared" si="20"/>
        <v>1026</v>
      </c>
      <c r="D175" s="733">
        <v>1087</v>
      </c>
      <c r="E175" s="733">
        <f t="shared" si="18"/>
        <v>1088</v>
      </c>
      <c r="F175" s="723"/>
      <c r="G175" s="723"/>
      <c r="H175" s="723"/>
      <c r="I175" s="734"/>
      <c r="J175" s="730">
        <v>16</v>
      </c>
      <c r="K175" s="735">
        <f t="shared" si="21"/>
        <v>1191</v>
      </c>
      <c r="L175" s="733">
        <v>1263</v>
      </c>
      <c r="M175" s="733">
        <f t="shared" si="19"/>
        <v>1264</v>
      </c>
      <c r="N175" s="723"/>
      <c r="O175" s="723"/>
      <c r="P175" s="723"/>
      <c r="Q175" s="734"/>
      <c r="R175" s="638"/>
    </row>
    <row r="176" spans="1:18">
      <c r="A176" s="1020"/>
      <c r="B176" s="722">
        <v>17</v>
      </c>
      <c r="C176" s="735">
        <f t="shared" si="20"/>
        <v>1088</v>
      </c>
      <c r="D176" s="735">
        <v>1145</v>
      </c>
      <c r="E176" s="733">
        <f t="shared" si="18"/>
        <v>1146</v>
      </c>
      <c r="F176" s="723"/>
      <c r="G176" s="723"/>
      <c r="H176" s="723"/>
      <c r="I176" s="734"/>
      <c r="J176" s="722">
        <v>17</v>
      </c>
      <c r="K176" s="735">
        <f t="shared" si="21"/>
        <v>1264</v>
      </c>
      <c r="L176" s="735">
        <v>1265</v>
      </c>
      <c r="M176" s="733">
        <f t="shared" si="19"/>
        <v>1266</v>
      </c>
      <c r="N176" s="723"/>
      <c r="O176" s="723"/>
      <c r="P176" s="723"/>
      <c r="Q176" s="734"/>
      <c r="R176" s="638"/>
    </row>
    <row r="177" spans="1:18">
      <c r="A177" s="1020"/>
      <c r="B177" s="722">
        <v>18</v>
      </c>
      <c r="C177" s="735">
        <f t="shared" si="20"/>
        <v>1146</v>
      </c>
      <c r="D177" s="735">
        <v>1210</v>
      </c>
      <c r="E177" s="733">
        <f t="shared" si="18"/>
        <v>1211</v>
      </c>
      <c r="F177" s="723"/>
      <c r="G177" s="723"/>
      <c r="H177" s="723"/>
      <c r="I177" s="724"/>
      <c r="J177" s="722">
        <v>18</v>
      </c>
      <c r="K177" s="735">
        <f t="shared" si="21"/>
        <v>1266</v>
      </c>
      <c r="L177" s="735">
        <v>1267</v>
      </c>
      <c r="M177" s="733">
        <f t="shared" si="19"/>
        <v>1268</v>
      </c>
      <c r="N177" s="723"/>
      <c r="O177" s="723"/>
      <c r="P177" s="723"/>
      <c r="Q177" s="724"/>
      <c r="R177" s="638"/>
    </row>
    <row r="178" spans="1:18" ht="15.75" thickBot="1">
      <c r="A178" s="1020"/>
      <c r="B178" s="727">
        <v>19</v>
      </c>
      <c r="C178" s="736">
        <f t="shared" si="20"/>
        <v>1211</v>
      </c>
      <c r="D178" s="736">
        <v>1270</v>
      </c>
      <c r="E178" s="737">
        <f t="shared" si="18"/>
        <v>1271</v>
      </c>
      <c r="F178" s="728"/>
      <c r="G178" s="728"/>
      <c r="H178" s="728"/>
      <c r="I178" s="729" t="s">
        <v>535</v>
      </c>
      <c r="J178" s="727">
        <v>19</v>
      </c>
      <c r="K178" s="736">
        <f t="shared" si="21"/>
        <v>1268</v>
      </c>
      <c r="L178" s="736">
        <v>1269</v>
      </c>
      <c r="M178" s="737">
        <f t="shared" si="19"/>
        <v>1270</v>
      </c>
      <c r="N178" s="728"/>
      <c r="O178" s="728"/>
      <c r="P178" s="728"/>
      <c r="Q178" s="729" t="s">
        <v>535</v>
      </c>
      <c r="R178" s="638"/>
    </row>
    <row r="179" spans="1:18" ht="19.5" thickBot="1">
      <c r="A179" s="1020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8"/>
      <c r="R179" s="638"/>
    </row>
    <row r="180" spans="1:18">
      <c r="A180" s="1020"/>
      <c r="B180" s="1093" t="s">
        <v>536</v>
      </c>
      <c r="C180" s="1094"/>
      <c r="D180" s="739"/>
      <c r="E180" s="739" t="s">
        <v>537</v>
      </c>
      <c r="F180" s="739" t="s">
        <v>538</v>
      </c>
      <c r="G180" s="739" t="s">
        <v>539</v>
      </c>
      <c r="H180" s="739" t="s">
        <v>540</v>
      </c>
      <c r="I180" s="740" t="s">
        <v>541</v>
      </c>
      <c r="J180" s="739"/>
      <c r="K180" s="739"/>
      <c r="L180" s="739"/>
      <c r="M180" s="739"/>
      <c r="N180" s="739"/>
      <c r="O180" s="739"/>
      <c r="P180" s="739"/>
      <c r="Q180" s="739"/>
      <c r="R180" s="638"/>
    </row>
    <row r="181" spans="1:18">
      <c r="A181" s="1020"/>
      <c r="B181" s="1095"/>
      <c r="C181" s="1096"/>
      <c r="D181" s="741" t="s">
        <v>542</v>
      </c>
      <c r="E181" s="742">
        <f>F110</f>
        <v>350</v>
      </c>
      <c r="F181" s="742">
        <f>F110</f>
        <v>350</v>
      </c>
      <c r="G181" s="743">
        <f>F110</f>
        <v>350</v>
      </c>
      <c r="H181" s="742">
        <f>F110</f>
        <v>350</v>
      </c>
      <c r="I181" s="744">
        <f>F110</f>
        <v>350</v>
      </c>
      <c r="J181" s="741"/>
      <c r="K181" s="741"/>
      <c r="L181" s="741"/>
      <c r="M181" s="741"/>
      <c r="N181" s="741"/>
      <c r="O181" s="741"/>
      <c r="P181" s="741"/>
      <c r="Q181" s="741"/>
      <c r="R181" s="638"/>
    </row>
    <row r="182" spans="1:18">
      <c r="A182" s="1020"/>
      <c r="B182" s="1095"/>
      <c r="C182" s="1096"/>
      <c r="D182" s="741" t="s">
        <v>543</v>
      </c>
      <c r="E182" s="741" t="e">
        <f>IF(#REF!=0,0,#REF!)</f>
        <v>#REF!</v>
      </c>
      <c r="F182" s="741" t="e">
        <f>IF(#REF!=0,0,#REF!)</f>
        <v>#REF!</v>
      </c>
      <c r="G182" s="741" t="e">
        <f>IF(#REF!=0,0,#REF!)</f>
        <v>#REF!</v>
      </c>
      <c r="H182" s="741" t="e">
        <f>IF(#REF!=0,0,#REF!)</f>
        <v>#REF!</v>
      </c>
      <c r="I182" s="745" t="e">
        <f>IF(#REF!=0,0,#REF!)</f>
        <v>#REF!</v>
      </c>
      <c r="J182" s="741"/>
      <c r="K182" s="741"/>
      <c r="L182" s="741"/>
      <c r="M182" s="741"/>
      <c r="N182" s="741"/>
      <c r="O182" s="741"/>
      <c r="P182" s="741"/>
      <c r="Q182" s="741"/>
      <c r="R182" s="638"/>
    </row>
    <row r="183" spans="1:18">
      <c r="A183" s="1020"/>
      <c r="B183" s="1095"/>
      <c r="C183" s="1096"/>
      <c r="D183" s="741" t="s">
        <v>544</v>
      </c>
      <c r="E183" s="741">
        <v>8</v>
      </c>
      <c r="F183" s="741">
        <v>14</v>
      </c>
      <c r="G183" s="741">
        <v>12</v>
      </c>
      <c r="H183" s="741">
        <v>10</v>
      </c>
      <c r="I183" s="745" t="e">
        <f>#REF!</f>
        <v>#REF!</v>
      </c>
      <c r="J183" s="741"/>
      <c r="K183" s="741"/>
      <c r="L183" s="741"/>
      <c r="M183" s="741"/>
      <c r="N183" s="741"/>
      <c r="O183" s="741"/>
      <c r="P183" s="741"/>
      <c r="Q183" s="741"/>
      <c r="R183" s="638"/>
    </row>
    <row r="184" spans="1:18">
      <c r="A184" s="1020"/>
      <c r="B184" s="1095"/>
      <c r="C184" s="1096"/>
      <c r="D184" s="741"/>
      <c r="E184" s="741"/>
      <c r="F184" s="741"/>
      <c r="G184" s="741"/>
      <c r="H184" s="741"/>
      <c r="I184" s="745"/>
      <c r="J184" s="741"/>
      <c r="K184" s="741"/>
      <c r="L184" s="741" t="s">
        <v>545</v>
      </c>
      <c r="M184" s="741" t="s">
        <v>546</v>
      </c>
      <c r="N184" s="741"/>
      <c r="O184" s="741"/>
      <c r="P184" s="741"/>
      <c r="Q184" s="741"/>
      <c r="R184" s="638"/>
    </row>
    <row r="185" spans="1:18">
      <c r="A185" s="1020"/>
      <c r="B185" s="1095"/>
      <c r="C185" s="1096"/>
      <c r="D185" s="741" t="s">
        <v>547</v>
      </c>
      <c r="E185" s="741" t="e">
        <f>IF(E182=0,E181,E181-E182-E183+10)</f>
        <v>#REF!</v>
      </c>
      <c r="F185" s="741" t="e">
        <f>IF(F182=0,F181,F181-F182-F183+10)</f>
        <v>#REF!</v>
      </c>
      <c r="G185" s="741" t="e">
        <f>IF(G182=0,G181,G181-G182-G183+10)</f>
        <v>#REF!</v>
      </c>
      <c r="H185" s="741" t="e">
        <f>IF(H182=0,H181,H181-H182-H183+10)</f>
        <v>#REF!</v>
      </c>
      <c r="I185" s="745" t="e">
        <f>IF(I182=0,I181,I181-I182-I183+10)</f>
        <v>#REF!</v>
      </c>
      <c r="J185" s="741"/>
      <c r="K185" s="741" t="s">
        <v>548</v>
      </c>
      <c r="L185" s="741">
        <f>IF(F142=1,F110,IF(F142=2E+185,IF(F142=3,F185,IF(F142=4,G185,IF(F142=5,H185,IF(F142=6,I185,"-----"))))))</f>
        <v>350</v>
      </c>
      <c r="M185" s="741">
        <f>IF(F142=1,F110-30,IF(F142=2,E186,IF(F142=3,F186,IF(F142=4,G186,IF(F142=5,H186,IF(F142=6,I186,"-----"))))))</f>
        <v>320</v>
      </c>
      <c r="N185" s="741"/>
      <c r="O185" s="741"/>
      <c r="P185" s="741"/>
      <c r="Q185" s="741"/>
      <c r="R185" s="638"/>
    </row>
    <row r="186" spans="1:18">
      <c r="A186" s="1020"/>
      <c r="B186" s="1097"/>
      <c r="C186" s="1098"/>
      <c r="D186" s="746" t="s">
        <v>549</v>
      </c>
      <c r="E186" s="746" t="e">
        <f>E185-30</f>
        <v>#REF!</v>
      </c>
      <c r="F186" s="746" t="e">
        <f>F185-17</f>
        <v>#REF!</v>
      </c>
      <c r="G186" s="746" t="e">
        <f>G185-30</f>
        <v>#REF!</v>
      </c>
      <c r="H186" s="746" t="e">
        <f>H185-17</f>
        <v>#REF!</v>
      </c>
      <c r="I186" s="747" t="e">
        <f>I185-30</f>
        <v>#REF!</v>
      </c>
      <c r="J186" s="741"/>
      <c r="K186" s="741"/>
      <c r="L186" s="741"/>
      <c r="M186" s="741"/>
      <c r="N186" s="741"/>
      <c r="O186" s="741"/>
      <c r="P186" s="741"/>
      <c r="Q186" s="741"/>
      <c r="R186" s="638"/>
    </row>
    <row r="187" spans="1:18">
      <c r="A187" s="1020"/>
      <c r="B187" s="748"/>
      <c r="C187" s="741"/>
      <c r="D187" s="741"/>
      <c r="E187" s="741"/>
      <c r="F187" s="741"/>
      <c r="G187" s="741"/>
      <c r="H187" s="741"/>
      <c r="I187" s="741"/>
      <c r="J187" s="741"/>
      <c r="K187" s="741"/>
      <c r="L187" s="741"/>
      <c r="M187" s="741"/>
      <c r="N187" s="741"/>
      <c r="O187" s="741"/>
      <c r="P187" s="741"/>
      <c r="Q187" s="741"/>
      <c r="R187" s="638"/>
    </row>
    <row r="188" spans="1:18">
      <c r="A188" s="1020"/>
      <c r="B188" s="748"/>
      <c r="C188" s="741"/>
      <c r="D188" s="741"/>
      <c r="E188" s="741"/>
      <c r="F188" s="741"/>
      <c r="G188" s="741"/>
      <c r="H188" s="741"/>
      <c r="I188" s="741"/>
      <c r="J188" s="741"/>
      <c r="K188" s="741"/>
      <c r="L188" s="741"/>
      <c r="M188" s="741"/>
      <c r="N188" s="741"/>
      <c r="O188" s="741"/>
      <c r="P188" s="741"/>
      <c r="Q188" s="741"/>
      <c r="R188" s="638"/>
    </row>
    <row r="189" spans="1:18">
      <c r="A189" s="1020"/>
      <c r="B189" s="1099" t="s">
        <v>550</v>
      </c>
      <c r="C189" s="1100"/>
      <c r="D189" s="749"/>
      <c r="E189" s="749" t="s">
        <v>537</v>
      </c>
      <c r="F189" s="749" t="s">
        <v>538</v>
      </c>
      <c r="G189" s="749" t="s">
        <v>539</v>
      </c>
      <c r="H189" s="749" t="s">
        <v>540</v>
      </c>
      <c r="I189" s="750" t="s">
        <v>541</v>
      </c>
      <c r="J189" s="741"/>
      <c r="K189" s="741"/>
      <c r="L189" s="741"/>
      <c r="M189" s="741"/>
      <c r="N189" s="741"/>
      <c r="O189" s="741"/>
      <c r="P189" s="741"/>
      <c r="Q189" s="741"/>
      <c r="R189" s="638"/>
    </row>
    <row r="190" spans="1:18">
      <c r="A190" s="1020"/>
      <c r="B190" s="1095"/>
      <c r="C190" s="1096"/>
      <c r="D190" s="741" t="s">
        <v>542</v>
      </c>
      <c r="E190" s="742">
        <f>F110</f>
        <v>350</v>
      </c>
      <c r="F190" s="742">
        <f>F110</f>
        <v>350</v>
      </c>
      <c r="G190" s="742">
        <f>F110</f>
        <v>350</v>
      </c>
      <c r="H190" s="742">
        <f>F110</f>
        <v>350</v>
      </c>
      <c r="I190" s="744">
        <f>F110</f>
        <v>350</v>
      </c>
      <c r="J190" s="741"/>
      <c r="K190" s="741"/>
      <c r="L190" s="741"/>
      <c r="M190" s="741"/>
      <c r="N190" s="741"/>
      <c r="O190" s="741"/>
      <c r="P190" s="741"/>
      <c r="Q190" s="741"/>
      <c r="R190" s="638"/>
    </row>
    <row r="191" spans="1:18">
      <c r="A191" s="1020"/>
      <c r="B191" s="1095"/>
      <c r="C191" s="1096"/>
      <c r="D191" s="741" t="s">
        <v>543</v>
      </c>
      <c r="E191" s="741" t="e">
        <f>IF(#REF!=0,0,#REF!)</f>
        <v>#REF!</v>
      </c>
      <c r="F191" s="741" t="e">
        <f>IF(#REF!=0,0,#REF!)</f>
        <v>#REF!</v>
      </c>
      <c r="G191" s="741" t="e">
        <f>IF(#REF!=0,0,#REF!)</f>
        <v>#REF!</v>
      </c>
      <c r="H191" s="741" t="e">
        <f>IF(#REF!=0,0,#REF!)</f>
        <v>#REF!</v>
      </c>
      <c r="I191" s="745" t="e">
        <f>IF(#REF!=0,0,#REF!)</f>
        <v>#REF!</v>
      </c>
      <c r="J191" s="741"/>
      <c r="K191" s="741"/>
      <c r="L191" s="741"/>
      <c r="M191" s="741"/>
      <c r="N191" s="741"/>
      <c r="O191" s="741"/>
      <c r="P191" s="741"/>
      <c r="Q191" s="741"/>
      <c r="R191" s="638"/>
    </row>
    <row r="192" spans="1:18">
      <c r="A192" s="1020"/>
      <c r="B192" s="1095"/>
      <c r="C192" s="1096"/>
      <c r="D192" s="741" t="s">
        <v>544</v>
      </c>
      <c r="E192" s="741">
        <v>8</v>
      </c>
      <c r="F192" s="741">
        <v>14</v>
      </c>
      <c r="G192" s="741">
        <v>12</v>
      </c>
      <c r="H192" s="741">
        <v>10</v>
      </c>
      <c r="I192" s="745" t="e">
        <f>#REF!</f>
        <v>#REF!</v>
      </c>
      <c r="J192" s="741"/>
      <c r="K192" s="741"/>
      <c r="L192" s="741" t="s">
        <v>545</v>
      </c>
      <c r="M192" s="741" t="s">
        <v>546</v>
      </c>
      <c r="N192" s="741"/>
      <c r="O192" s="741"/>
      <c r="P192" s="741"/>
      <c r="Q192" s="741"/>
      <c r="R192" s="638"/>
    </row>
    <row r="193" spans="1:18">
      <c r="A193" s="1020"/>
      <c r="B193" s="1095"/>
      <c r="C193" s="1096"/>
      <c r="D193" s="741"/>
      <c r="E193" s="741"/>
      <c r="F193" s="741"/>
      <c r="G193" s="741"/>
      <c r="H193" s="741"/>
      <c r="I193" s="745"/>
      <c r="J193" s="741"/>
      <c r="K193" s="741" t="s">
        <v>548</v>
      </c>
      <c r="L193" s="741">
        <f>IF(F142=1,F110,IF(F142=2,E194,IF(F142=3,F194,IF(F142=4,G194,IF(F142=5,H194,IF(F142=6,I194))))))</f>
        <v>350</v>
      </c>
      <c r="M193" s="741">
        <f>IF(F142=1,F110-30,IF(F142=2,E195,IF(F142=3,F195,IF(F142=4,G195,IF(F142=5,H195,IF(F142=6,I195))))))</f>
        <v>320</v>
      </c>
      <c r="N193" s="741"/>
      <c r="O193" s="741" t="s">
        <v>520</v>
      </c>
      <c r="P193" s="751" t="s">
        <v>551</v>
      </c>
      <c r="Q193" s="741"/>
      <c r="R193" s="638"/>
    </row>
    <row r="194" spans="1:18">
      <c r="A194" s="1020"/>
      <c r="B194" s="1095"/>
      <c r="C194" s="1096"/>
      <c r="D194" s="741" t="s">
        <v>547</v>
      </c>
      <c r="E194" s="741" t="e">
        <f>IF(E191=0,E190,E190-E191-E192+11)</f>
        <v>#REF!</v>
      </c>
      <c r="F194" s="741" t="e">
        <f>IF(F191=0,F190,F190-F191-F192+11)</f>
        <v>#REF!</v>
      </c>
      <c r="G194" s="741" t="e">
        <f>IF(G191=0,G190,G190-G191-G192+11)</f>
        <v>#REF!</v>
      </c>
      <c r="H194" s="741" t="e">
        <f>IF(H191=0,H190,H190-H191-H192+11)</f>
        <v>#REF!</v>
      </c>
      <c r="I194" s="745" t="e">
        <f>IF(I191=0,I190,I190-I191-I192+11)</f>
        <v>#REF!</v>
      </c>
      <c r="J194" s="741"/>
      <c r="K194" s="741"/>
      <c r="L194" s="741"/>
      <c r="M194" s="741"/>
      <c r="N194" s="741"/>
      <c r="O194" s="741">
        <f>IF(B141=1,L185,IF(B141=3,L185,IF(B141=4,L202,IF(B141=2,L202,IF(B141=5,L193,"------")))))</f>
        <v>350</v>
      </c>
      <c r="P194" s="751">
        <f>IF(B141=1,M185,IF(B141=3,M185,IF(B141=4,M202,IF(B141=2,M202+2,IF(B141=5,M193,"------")))))</f>
        <v>322</v>
      </c>
      <c r="Q194" s="741"/>
      <c r="R194" s="638"/>
    </row>
    <row r="195" spans="1:18">
      <c r="A195" s="1020"/>
      <c r="B195" s="1097"/>
      <c r="C195" s="1098"/>
      <c r="D195" s="746" t="s">
        <v>549</v>
      </c>
      <c r="E195" s="746" t="e">
        <f>E194-30</f>
        <v>#REF!</v>
      </c>
      <c r="F195" s="746" t="e">
        <f>F194-17</f>
        <v>#REF!</v>
      </c>
      <c r="G195" s="746" t="e">
        <f>G194-30</f>
        <v>#REF!</v>
      </c>
      <c r="H195" s="746" t="e">
        <f>H194-17</f>
        <v>#REF!</v>
      </c>
      <c r="I195" s="747" t="e">
        <f>I194-30</f>
        <v>#REF!</v>
      </c>
      <c r="J195" s="741"/>
      <c r="K195" s="741"/>
      <c r="L195" s="741"/>
      <c r="M195" s="741"/>
      <c r="N195" s="741"/>
      <c r="O195" s="741"/>
      <c r="P195" s="741"/>
      <c r="Q195" s="741"/>
      <c r="R195" s="638"/>
    </row>
    <row r="196" spans="1:18">
      <c r="A196" s="1020"/>
      <c r="B196" s="748"/>
      <c r="C196" s="741"/>
      <c r="D196" s="741"/>
      <c r="E196" s="741"/>
      <c r="F196" s="741"/>
      <c r="G196" s="741"/>
      <c r="H196" s="741"/>
      <c r="I196" s="741"/>
      <c r="J196" s="741"/>
      <c r="K196" s="741"/>
      <c r="L196" s="741"/>
      <c r="M196" s="741"/>
      <c r="N196" s="741"/>
      <c r="O196" s="741"/>
      <c r="P196" s="741"/>
      <c r="Q196" s="741"/>
      <c r="R196" s="638"/>
    </row>
    <row r="197" spans="1:18">
      <c r="A197" s="1020"/>
      <c r="B197" s="748"/>
      <c r="C197" s="741"/>
      <c r="D197" s="741"/>
      <c r="E197" s="741"/>
      <c r="F197" s="741"/>
      <c r="G197" s="741"/>
      <c r="H197" s="741"/>
      <c r="I197" s="741"/>
      <c r="J197" s="741"/>
      <c r="K197" s="741"/>
      <c r="L197" s="741"/>
      <c r="M197" s="741"/>
      <c r="N197" s="741"/>
      <c r="O197" s="741"/>
      <c r="P197" s="741"/>
      <c r="Q197" s="741"/>
      <c r="R197" s="638"/>
    </row>
    <row r="198" spans="1:18">
      <c r="A198" s="1020"/>
      <c r="B198" s="1099" t="s">
        <v>552</v>
      </c>
      <c r="C198" s="1100"/>
      <c r="D198" s="749"/>
      <c r="E198" s="749" t="s">
        <v>537</v>
      </c>
      <c r="F198" s="749" t="s">
        <v>538</v>
      </c>
      <c r="G198" s="749" t="s">
        <v>539</v>
      </c>
      <c r="H198" s="749" t="s">
        <v>540</v>
      </c>
      <c r="I198" s="750" t="s">
        <v>541</v>
      </c>
      <c r="J198" s="741"/>
      <c r="K198" s="741"/>
      <c r="L198" s="741"/>
      <c r="M198" s="741"/>
      <c r="N198" s="741"/>
      <c r="O198" s="741"/>
      <c r="P198" s="741"/>
      <c r="Q198" s="741"/>
      <c r="R198" s="638"/>
    </row>
    <row r="199" spans="1:18">
      <c r="A199" s="1020"/>
      <c r="B199" s="1095"/>
      <c r="C199" s="1096"/>
      <c r="D199" s="741" t="s">
        <v>542</v>
      </c>
      <c r="E199" s="742">
        <f>F110</f>
        <v>350</v>
      </c>
      <c r="F199" s="742">
        <f>F110</f>
        <v>350</v>
      </c>
      <c r="G199" s="742">
        <f>F110</f>
        <v>350</v>
      </c>
      <c r="H199" s="742">
        <f>F110</f>
        <v>350</v>
      </c>
      <c r="I199" s="744">
        <f>F110</f>
        <v>350</v>
      </c>
      <c r="J199" s="741"/>
      <c r="K199" s="741"/>
      <c r="L199" s="741"/>
      <c r="M199" s="741"/>
      <c r="N199" s="741"/>
      <c r="O199" s="741"/>
      <c r="P199" s="741"/>
      <c r="Q199" s="741"/>
      <c r="R199" s="638"/>
    </row>
    <row r="200" spans="1:18">
      <c r="A200" s="1020"/>
      <c r="B200" s="1095"/>
      <c r="C200" s="1096"/>
      <c r="D200" s="741" t="s">
        <v>543</v>
      </c>
      <c r="E200" s="741" t="e">
        <f>IF(#REF!=0,0,#REF!)</f>
        <v>#REF!</v>
      </c>
      <c r="F200" s="741" t="e">
        <f>IF(#REF!=0,0,#REF!)</f>
        <v>#REF!</v>
      </c>
      <c r="G200" s="741" t="e">
        <f>IF(#REF!=0,0,#REF!)</f>
        <v>#REF!</v>
      </c>
      <c r="H200" s="741" t="e">
        <f>IF(#REF!=0,0,#REF!)</f>
        <v>#REF!</v>
      </c>
      <c r="I200" s="745" t="e">
        <f>IF(#REF!=0,0,#REF!)</f>
        <v>#REF!</v>
      </c>
      <c r="J200" s="741"/>
      <c r="K200" s="741"/>
      <c r="L200" s="741"/>
      <c r="M200" s="741"/>
      <c r="N200" s="741"/>
      <c r="O200" s="741"/>
      <c r="P200" s="741"/>
      <c r="Q200" s="741"/>
      <c r="R200" s="638"/>
    </row>
    <row r="201" spans="1:18">
      <c r="A201" s="1020"/>
      <c r="B201" s="1095"/>
      <c r="C201" s="1096"/>
      <c r="D201" s="741" t="s">
        <v>544</v>
      </c>
      <c r="E201" s="741">
        <v>8</v>
      </c>
      <c r="F201" s="741">
        <v>14</v>
      </c>
      <c r="G201" s="741">
        <v>12</v>
      </c>
      <c r="H201" s="741">
        <v>10</v>
      </c>
      <c r="I201" s="745" t="e">
        <f>#REF!</f>
        <v>#REF!</v>
      </c>
      <c r="J201" s="741"/>
      <c r="K201" s="741"/>
      <c r="L201" s="741" t="s">
        <v>545</v>
      </c>
      <c r="M201" s="741" t="s">
        <v>546</v>
      </c>
      <c r="N201" s="741"/>
      <c r="O201" s="741"/>
      <c r="P201" s="741"/>
      <c r="Q201" s="741"/>
      <c r="R201" s="638"/>
    </row>
    <row r="202" spans="1:18">
      <c r="A202" s="1020"/>
      <c r="B202" s="1095"/>
      <c r="C202" s="1096"/>
      <c r="D202" s="741"/>
      <c r="E202" s="741"/>
      <c r="F202" s="741"/>
      <c r="G202" s="741"/>
      <c r="H202" s="741"/>
      <c r="I202" s="745"/>
      <c r="J202" s="741"/>
      <c r="K202" s="741" t="s">
        <v>548</v>
      </c>
      <c r="L202" s="741">
        <f>IF(F142=1,F110,IF(F142=2,E203,IF(F142=3,F203,IF(F142=4,G203,IF(F142=5,H203,IF(F142=6,I203))))))</f>
        <v>350</v>
      </c>
      <c r="M202" s="741">
        <f>IF(F142=1,F110-30,IF(F142=2,E204,IF(F142=3,F204,IF(F142=4,G204,IF(F142=5,H204,IF(F142=6,I204))))))</f>
        <v>320</v>
      </c>
      <c r="N202" s="741"/>
      <c r="O202" s="741"/>
      <c r="P202" s="741"/>
      <c r="Q202" s="741"/>
      <c r="R202" s="638"/>
    </row>
    <row r="203" spans="1:18">
      <c r="A203" s="1020"/>
      <c r="B203" s="1095"/>
      <c r="C203" s="1096"/>
      <c r="D203" s="741" t="s">
        <v>547</v>
      </c>
      <c r="E203" s="741" t="e">
        <f>IF(E200=0,E199,E199-E200-E201+11)</f>
        <v>#REF!</v>
      </c>
      <c r="F203" s="741" t="e">
        <f>IF(F200=0,F199,F199-F200-F201+11)</f>
        <v>#REF!</v>
      </c>
      <c r="G203" s="741" t="e">
        <f>IF(G200=0,G199,G199-G200-G201+11)</f>
        <v>#REF!</v>
      </c>
      <c r="H203" s="741" t="e">
        <f>IF(H200=0,H199,H199-H200-H201+11)</f>
        <v>#REF!</v>
      </c>
      <c r="I203" s="745" t="e">
        <f>IF(I200=0,I199,I199-I200-I201+11)</f>
        <v>#REF!</v>
      </c>
      <c r="J203" s="741"/>
      <c r="K203" s="741"/>
      <c r="L203" s="741"/>
      <c r="M203" s="741"/>
      <c r="N203" s="741"/>
      <c r="O203" s="741"/>
      <c r="P203" s="741"/>
      <c r="Q203" s="741"/>
      <c r="R203" s="638"/>
    </row>
    <row r="204" spans="1:18" ht="15.75" thickBot="1">
      <c r="A204" s="1020"/>
      <c r="B204" s="1101"/>
      <c r="C204" s="1102"/>
      <c r="D204" s="752" t="s">
        <v>549</v>
      </c>
      <c r="E204" s="752" t="e">
        <f>E203-30</f>
        <v>#REF!</v>
      </c>
      <c r="F204" s="752" t="e">
        <f>F203-13</f>
        <v>#REF!</v>
      </c>
      <c r="G204" s="752" t="e">
        <f>G203-30</f>
        <v>#REF!</v>
      </c>
      <c r="H204" s="752" t="e">
        <f>H203-13</f>
        <v>#REF!</v>
      </c>
      <c r="I204" s="753" t="e">
        <f>I203-30</f>
        <v>#REF!</v>
      </c>
      <c r="J204" s="752"/>
      <c r="K204" s="752"/>
      <c r="L204" s="752"/>
      <c r="M204" s="752"/>
      <c r="N204" s="752"/>
      <c r="O204" s="752"/>
      <c r="P204" s="752"/>
      <c r="Q204" s="752"/>
      <c r="R204" s="638"/>
    </row>
    <row r="205" spans="1:18" ht="19.5" thickBot="1">
      <c r="A205" s="1020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4"/>
      <c r="R205" s="638"/>
    </row>
    <row r="206" spans="1:18" ht="18.75">
      <c r="A206" s="1020"/>
      <c r="B206" s="755"/>
      <c r="C206" s="756"/>
      <c r="D206" s="756"/>
      <c r="E206" s="756"/>
      <c r="F206" s="756"/>
      <c r="G206" s="756"/>
      <c r="H206" s="756"/>
      <c r="I206" s="756"/>
      <c r="J206" s="756"/>
      <c r="K206" s="756"/>
      <c r="L206" s="756"/>
      <c r="M206" s="756"/>
      <c r="N206" s="756"/>
      <c r="O206" s="756"/>
      <c r="P206" s="757"/>
      <c r="Q206" s="758"/>
      <c r="R206" s="638"/>
    </row>
    <row r="207" spans="1:18" ht="18.75">
      <c r="A207" s="1020"/>
      <c r="B207" s="759"/>
      <c r="C207" s="760"/>
      <c r="D207" s="760"/>
      <c r="E207" s="760"/>
      <c r="F207" s="760"/>
      <c r="G207" s="760"/>
      <c r="H207" s="760"/>
      <c r="I207" s="760"/>
      <c r="J207" s="760"/>
      <c r="K207" s="760" t="s">
        <v>437</v>
      </c>
      <c r="L207" s="760" t="s">
        <v>553</v>
      </c>
      <c r="M207" s="760"/>
      <c r="N207" s="760"/>
      <c r="O207" s="760"/>
      <c r="P207" s="761" t="s">
        <v>554</v>
      </c>
      <c r="Q207" s="758"/>
      <c r="R207" s="638"/>
    </row>
    <row r="208" spans="1:18" ht="18.75">
      <c r="A208" s="1020"/>
      <c r="B208" s="759" t="s">
        <v>419</v>
      </c>
      <c r="C208" s="760" t="str">
        <f>C151</f>
        <v>EVO 150X70</v>
      </c>
      <c r="D208" s="760"/>
      <c r="E208" s="760"/>
      <c r="F208" s="760"/>
      <c r="G208" s="760"/>
      <c r="H208" s="760"/>
      <c r="I208" s="760"/>
      <c r="J208" s="760"/>
      <c r="K208" s="762">
        <v>3</v>
      </c>
      <c r="L208" s="762">
        <v>2</v>
      </c>
      <c r="M208" s="760"/>
      <c r="N208" s="760"/>
      <c r="O208" s="760"/>
      <c r="P208" s="761"/>
      <c r="Q208" s="758"/>
      <c r="R208" s="638"/>
    </row>
    <row r="209" spans="1:18" ht="18.75">
      <c r="A209" s="1020"/>
      <c r="B209" s="759" t="s">
        <v>555</v>
      </c>
      <c r="C209" s="763">
        <f>D110</f>
        <v>350</v>
      </c>
      <c r="D209" s="760"/>
      <c r="E209" s="760"/>
      <c r="F209" s="760"/>
      <c r="G209" s="760"/>
      <c r="H209" s="760"/>
      <c r="I209" s="760"/>
      <c r="J209" s="760"/>
      <c r="K209" s="762">
        <v>4</v>
      </c>
      <c r="L209" s="762">
        <v>2</v>
      </c>
      <c r="M209" s="760"/>
      <c r="N209" s="760"/>
      <c r="O209" s="760"/>
      <c r="P209" s="761"/>
      <c r="Q209" s="758"/>
      <c r="R209" s="638"/>
    </row>
    <row r="210" spans="1:18" ht="18.75">
      <c r="A210" s="1020"/>
      <c r="B210" s="759" t="s">
        <v>545</v>
      </c>
      <c r="C210" s="763">
        <f>F110</f>
        <v>350</v>
      </c>
      <c r="D210" s="760"/>
      <c r="E210" s="760"/>
      <c r="F210" s="760"/>
      <c r="G210" s="760"/>
      <c r="H210" s="760"/>
      <c r="I210" s="760"/>
      <c r="J210" s="760"/>
      <c r="K210" s="762">
        <v>5</v>
      </c>
      <c r="L210" s="762">
        <v>3</v>
      </c>
      <c r="M210" s="760">
        <f>IF(C211&lt;3,2,IF(C211&lt;4,2,IF(C211&lt;5,2,IF(C211&lt;6,3,IF(C211&lt;7,3,IF(C211&lt;8,3,IF(C211&lt;8,4,M216)))))))</f>
        <v>3</v>
      </c>
      <c r="N210" s="760"/>
      <c r="O210" s="760"/>
      <c r="P210" s="761"/>
      <c r="Q210" s="758"/>
      <c r="R210" s="638"/>
    </row>
    <row r="211" spans="1:18" ht="18.75">
      <c r="A211" s="1020"/>
      <c r="B211" s="759" t="s">
        <v>437</v>
      </c>
      <c r="C211" s="760">
        <f>H71</f>
        <v>5</v>
      </c>
      <c r="D211" s="760" t="s">
        <v>439</v>
      </c>
      <c r="E211" s="760">
        <v>2</v>
      </c>
      <c r="F211" s="760"/>
      <c r="G211" s="760"/>
      <c r="H211" s="760"/>
      <c r="I211" s="760"/>
      <c r="J211" s="760"/>
      <c r="K211" s="762">
        <v>6</v>
      </c>
      <c r="L211" s="762">
        <v>3</v>
      </c>
      <c r="M211" s="760"/>
      <c r="N211" s="760"/>
      <c r="O211" s="760"/>
      <c r="P211" s="761"/>
      <c r="Q211" s="758"/>
      <c r="R211" s="638"/>
    </row>
    <row r="212" spans="1:18" ht="18.75">
      <c r="A212" s="1020"/>
      <c r="B212" s="759"/>
      <c r="C212" s="760"/>
      <c r="D212" s="760"/>
      <c r="E212" s="760"/>
      <c r="F212" s="760"/>
      <c r="G212" s="760"/>
      <c r="H212" s="760"/>
      <c r="I212" s="760"/>
      <c r="J212" s="760"/>
      <c r="K212" s="762">
        <v>7</v>
      </c>
      <c r="L212" s="762">
        <v>3</v>
      </c>
      <c r="M212" s="760"/>
      <c r="N212" s="760"/>
      <c r="O212" s="760"/>
      <c r="P212" s="761"/>
      <c r="Q212" s="758"/>
      <c r="R212" s="638"/>
    </row>
    <row r="213" spans="1:18" ht="18.75">
      <c r="A213" s="1020"/>
      <c r="B213" s="759"/>
      <c r="C213" s="760"/>
      <c r="D213" s="760"/>
      <c r="E213" s="760"/>
      <c r="F213" s="760"/>
      <c r="G213" s="760"/>
      <c r="H213" s="760"/>
      <c r="I213" s="760"/>
      <c r="J213" s="760"/>
      <c r="K213" s="764">
        <v>8</v>
      </c>
      <c r="L213" s="764">
        <v>4</v>
      </c>
      <c r="M213" s="760"/>
      <c r="N213" s="760"/>
      <c r="O213" s="760"/>
      <c r="P213" s="761">
        <f>IF(C211&lt;8,M210,IF(C211&lt;15,M216,IF(C211&lt;21,M222,"-------")))</f>
        <v>3</v>
      </c>
      <c r="Q213" s="758"/>
      <c r="R213" s="638"/>
    </row>
    <row r="214" spans="1:18" ht="18.75">
      <c r="A214" s="1020"/>
      <c r="B214" s="759" t="s">
        <v>556</v>
      </c>
      <c r="C214" s="760">
        <f>P213</f>
        <v>3</v>
      </c>
      <c r="D214" s="760"/>
      <c r="E214" s="760"/>
      <c r="F214" s="760"/>
      <c r="G214" s="760"/>
      <c r="H214" s="760"/>
      <c r="I214" s="760"/>
      <c r="J214" s="760"/>
      <c r="K214" s="762">
        <v>9</v>
      </c>
      <c r="L214" s="762">
        <v>4</v>
      </c>
      <c r="M214" s="760"/>
      <c r="N214" s="760"/>
      <c r="O214" s="760"/>
      <c r="P214" s="761"/>
      <c r="Q214" s="758"/>
      <c r="R214" s="638"/>
    </row>
    <row r="215" spans="1:18" ht="18.75">
      <c r="A215" s="1020"/>
      <c r="B215" s="765" t="s">
        <v>557</v>
      </c>
      <c r="C215" s="766">
        <f>(((C209-(D125*2))/200)+1)*C214</f>
        <v>6.75</v>
      </c>
      <c r="D215" s="1088" t="s">
        <v>558</v>
      </c>
      <c r="E215" s="1088"/>
      <c r="F215" s="767">
        <f>ROUND(C215,0)</f>
        <v>7</v>
      </c>
      <c r="G215" s="760"/>
      <c r="H215" s="760"/>
      <c r="I215" s="760"/>
      <c r="J215" s="760"/>
      <c r="K215" s="762">
        <v>10</v>
      </c>
      <c r="L215" s="762">
        <v>4</v>
      </c>
      <c r="M215" s="760"/>
      <c r="N215" s="760"/>
      <c r="O215" s="760"/>
      <c r="P215" s="761"/>
      <c r="Q215" s="758"/>
      <c r="R215" s="638"/>
    </row>
    <row r="216" spans="1:18" ht="18.75">
      <c r="A216" s="1020"/>
      <c r="B216" s="765" t="s">
        <v>559</v>
      </c>
      <c r="C216" s="766">
        <f>F215/C214</f>
        <v>2.3333333333333335</v>
      </c>
      <c r="D216" s="1088" t="s">
        <v>558</v>
      </c>
      <c r="E216" s="1088"/>
      <c r="F216" s="767">
        <f>ROUND(C216,0)</f>
        <v>2</v>
      </c>
      <c r="G216" s="760"/>
      <c r="H216" s="760"/>
      <c r="I216" s="760"/>
      <c r="J216" s="760"/>
      <c r="K216" s="762">
        <v>11</v>
      </c>
      <c r="L216" s="762">
        <v>5</v>
      </c>
      <c r="M216" s="760">
        <f>IF(C211&lt;9,4,IF(C211&lt;10,4,IF(C211&lt;11,4,IF(C211&lt;12,5,IF(C211&lt;13,5,IF(C211&lt;14,5,IF(C211&lt;15,5,M222)))))))</f>
        <v>4</v>
      </c>
      <c r="N216" s="760"/>
      <c r="O216" s="760"/>
      <c r="P216" s="761"/>
      <c r="Q216" s="758"/>
      <c r="R216" s="638"/>
    </row>
    <row r="217" spans="1:18" ht="18.75">
      <c r="A217" s="1020"/>
      <c r="B217" s="765" t="s">
        <v>560</v>
      </c>
      <c r="C217" s="767">
        <f>F216*C214</f>
        <v>6</v>
      </c>
      <c r="D217" s="760"/>
      <c r="E217" s="760"/>
      <c r="F217" s="760"/>
      <c r="G217" s="760"/>
      <c r="H217" s="760"/>
      <c r="I217" s="760"/>
      <c r="J217" s="760"/>
      <c r="K217" s="762">
        <v>12</v>
      </c>
      <c r="L217" s="762">
        <v>5</v>
      </c>
      <c r="M217" s="760"/>
      <c r="N217" s="760"/>
      <c r="O217" s="760"/>
      <c r="P217" s="761"/>
      <c r="Q217" s="758"/>
      <c r="R217" s="638"/>
    </row>
    <row r="218" spans="1:18" ht="18.75">
      <c r="A218" s="1020"/>
      <c r="B218" s="759"/>
      <c r="C218" s="760"/>
      <c r="D218" s="760"/>
      <c r="E218" s="760"/>
      <c r="F218" s="760"/>
      <c r="G218" s="760"/>
      <c r="H218" s="760"/>
      <c r="I218" s="760"/>
      <c r="J218" s="760"/>
      <c r="K218" s="762">
        <v>13</v>
      </c>
      <c r="L218" s="762">
        <v>5</v>
      </c>
      <c r="M218" s="760"/>
      <c r="N218" s="760"/>
      <c r="O218" s="760"/>
      <c r="P218" s="761"/>
      <c r="Q218" s="758"/>
      <c r="R218" s="638"/>
    </row>
    <row r="219" spans="1:18" ht="18.75">
      <c r="A219" s="1020"/>
      <c r="B219" s="759"/>
      <c r="C219" s="760"/>
      <c r="D219" s="760"/>
      <c r="E219" s="760"/>
      <c r="F219" s="760"/>
      <c r="G219" s="760"/>
      <c r="H219" s="760"/>
      <c r="I219" s="760"/>
      <c r="J219" s="760"/>
      <c r="K219" s="764">
        <v>14</v>
      </c>
      <c r="L219" s="764">
        <v>5</v>
      </c>
      <c r="M219" s="760"/>
      <c r="N219" s="760"/>
      <c r="O219" s="760"/>
      <c r="P219" s="761"/>
      <c r="Q219" s="758"/>
      <c r="R219" s="638"/>
    </row>
    <row r="220" spans="1:18" ht="18.75">
      <c r="A220" s="1020"/>
      <c r="B220" s="759"/>
      <c r="C220" s="760"/>
      <c r="D220" s="760"/>
      <c r="E220" s="760"/>
      <c r="F220" s="760"/>
      <c r="G220" s="760"/>
      <c r="H220" s="760"/>
      <c r="I220" s="760"/>
      <c r="J220" s="760"/>
      <c r="K220" s="762">
        <v>15</v>
      </c>
      <c r="L220" s="762">
        <v>5</v>
      </c>
      <c r="M220" s="760"/>
      <c r="N220" s="760"/>
      <c r="O220" s="760"/>
      <c r="P220" s="761"/>
      <c r="Q220" s="758"/>
      <c r="R220" s="638"/>
    </row>
    <row r="221" spans="1:18" ht="18.75">
      <c r="A221" s="1020"/>
      <c r="B221" s="759"/>
      <c r="C221" s="760"/>
      <c r="D221" s="760"/>
      <c r="E221" s="760"/>
      <c r="F221" s="760"/>
      <c r="G221" s="760"/>
      <c r="H221" s="760"/>
      <c r="I221" s="760"/>
      <c r="J221" s="760"/>
      <c r="K221" s="762">
        <v>16</v>
      </c>
      <c r="L221" s="762">
        <v>6</v>
      </c>
      <c r="M221" s="760"/>
      <c r="N221" s="760"/>
      <c r="O221" s="760"/>
      <c r="P221" s="761"/>
      <c r="Q221" s="758"/>
      <c r="R221" s="638"/>
    </row>
    <row r="222" spans="1:18" ht="18.75">
      <c r="A222" s="1020"/>
      <c r="B222" s="759"/>
      <c r="C222" s="760"/>
      <c r="D222" s="760"/>
      <c r="E222" s="760"/>
      <c r="F222" s="760"/>
      <c r="G222" s="760"/>
      <c r="H222" s="760"/>
      <c r="I222" s="760"/>
      <c r="J222" s="760"/>
      <c r="K222" s="762">
        <v>17</v>
      </c>
      <c r="L222" s="762">
        <v>6</v>
      </c>
      <c r="M222" s="760">
        <f>IF(C211&lt;16,5,IF(C211&lt;17,6,IF(C211&lt;18,6,IF(C211&lt;19,6,IF(C211&lt;20,6,IF(C211&lt;21,6,"-------"))))))</f>
        <v>5</v>
      </c>
      <c r="N222" s="760"/>
      <c r="O222" s="760"/>
      <c r="P222" s="761"/>
      <c r="Q222" s="758"/>
      <c r="R222" s="638"/>
    </row>
    <row r="223" spans="1:18" ht="18.75">
      <c r="A223" s="1020"/>
      <c r="B223" s="759"/>
      <c r="C223" s="760"/>
      <c r="D223" s="760"/>
      <c r="E223" s="760"/>
      <c r="F223" s="760"/>
      <c r="G223" s="760"/>
      <c r="H223" s="760"/>
      <c r="I223" s="760"/>
      <c r="J223" s="760"/>
      <c r="K223" s="762">
        <v>18</v>
      </c>
      <c r="L223" s="762">
        <v>6</v>
      </c>
      <c r="M223" s="760"/>
      <c r="N223" s="760"/>
      <c r="O223" s="760"/>
      <c r="P223" s="761"/>
      <c r="Q223" s="758"/>
      <c r="R223" s="638"/>
    </row>
    <row r="224" spans="1:18" ht="18.75">
      <c r="A224" s="1020"/>
      <c r="B224" s="759"/>
      <c r="C224" s="760"/>
      <c r="D224" s="760"/>
      <c r="E224" s="760"/>
      <c r="F224" s="760"/>
      <c r="G224" s="760"/>
      <c r="H224" s="760"/>
      <c r="I224" s="760"/>
      <c r="J224" s="760"/>
      <c r="K224" s="762">
        <v>19</v>
      </c>
      <c r="L224" s="762">
        <v>6</v>
      </c>
      <c r="M224" s="760"/>
      <c r="N224" s="760"/>
      <c r="O224" s="760"/>
      <c r="P224" s="761"/>
      <c r="Q224" s="758"/>
      <c r="R224" s="638"/>
    </row>
    <row r="225" spans="1:18" ht="19.5" thickBot="1">
      <c r="A225" s="1020"/>
      <c r="B225" s="768"/>
      <c r="C225" s="769"/>
      <c r="D225" s="769"/>
      <c r="E225" s="769"/>
      <c r="F225" s="769"/>
      <c r="G225" s="769"/>
      <c r="H225" s="769"/>
      <c r="I225" s="769"/>
      <c r="J225" s="769"/>
      <c r="K225" s="770">
        <v>20</v>
      </c>
      <c r="L225" s="770">
        <v>6</v>
      </c>
      <c r="M225" s="769"/>
      <c r="N225" s="769"/>
      <c r="O225" s="769"/>
      <c r="P225" s="771"/>
      <c r="Q225" s="758"/>
      <c r="R225" s="638"/>
    </row>
    <row r="226" spans="1:18" ht="19.5" thickBot="1">
      <c r="A226" s="1020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80"/>
      <c r="R226" s="638"/>
    </row>
    <row r="227" spans="1:18" ht="18.75">
      <c r="A227" s="1020"/>
      <c r="B227" s="772" t="s">
        <v>419</v>
      </c>
      <c r="C227" s="773" t="s">
        <v>545</v>
      </c>
      <c r="D227" s="773" t="s">
        <v>561</v>
      </c>
      <c r="E227" s="773"/>
      <c r="F227" s="773"/>
      <c r="G227" s="773"/>
      <c r="H227" s="773"/>
      <c r="I227" s="773"/>
      <c r="J227" s="773"/>
      <c r="K227" s="773"/>
      <c r="L227" s="774"/>
      <c r="M227" s="527"/>
      <c r="N227" s="527"/>
      <c r="O227" s="527"/>
      <c r="P227" s="527"/>
      <c r="Q227" s="680"/>
      <c r="R227" s="638"/>
    </row>
    <row r="228" spans="1:18" ht="18.75">
      <c r="A228" s="1020"/>
      <c r="B228" s="775" t="str">
        <f>IF(B141=1,B136,IF(B141=2,B137,IF(B141=3,B138,IF(B141=4,B139,IF(B141=5,B140)))))</f>
        <v>EVO 150X70</v>
      </c>
      <c r="C228" s="776">
        <f>F110</f>
        <v>350</v>
      </c>
      <c r="D228" s="777" t="str">
        <f>IF(O142=1,O136,IF(O142=2,O137,IF(O142=3,O138,IF(O142=4,O139,IF(O142=5,O140,IF(O142=6,O141,"--------"))))))</f>
        <v>13cm</v>
      </c>
      <c r="E228" s="777"/>
      <c r="F228" s="777"/>
      <c r="G228" s="777"/>
      <c r="H228" s="777"/>
      <c r="I228" s="777"/>
      <c r="J228" s="777"/>
      <c r="K228" s="777"/>
      <c r="L228" s="778"/>
      <c r="M228" s="527"/>
      <c r="N228" s="527"/>
      <c r="O228" s="527"/>
      <c r="P228" s="527"/>
      <c r="Q228" s="680"/>
      <c r="R228" s="638"/>
    </row>
    <row r="229" spans="1:18" ht="18.75">
      <c r="A229" s="1020"/>
      <c r="B229" s="775"/>
      <c r="C229" s="777"/>
      <c r="D229" s="777"/>
      <c r="E229" s="777"/>
      <c r="F229" s="777"/>
      <c r="G229" s="777"/>
      <c r="H229" s="777"/>
      <c r="I229" s="777"/>
      <c r="J229" s="777"/>
      <c r="K229" s="777"/>
      <c r="L229" s="778"/>
      <c r="M229" s="527"/>
      <c r="N229" s="527"/>
      <c r="O229" s="527"/>
      <c r="P229" s="527"/>
      <c r="Q229" s="680"/>
      <c r="R229" s="638"/>
    </row>
    <row r="230" spans="1:18" ht="18.75">
      <c r="A230" s="1020"/>
      <c r="B230" s="775"/>
      <c r="C230" s="777"/>
      <c r="D230" s="777"/>
      <c r="E230" s="777"/>
      <c r="F230" s="777"/>
      <c r="G230" s="777"/>
      <c r="H230" s="777"/>
      <c r="I230" s="777"/>
      <c r="J230" s="777"/>
      <c r="K230" s="777"/>
      <c r="L230" s="778"/>
      <c r="M230" s="527"/>
      <c r="N230" s="527"/>
      <c r="O230" s="527"/>
      <c r="P230" s="527"/>
      <c r="Q230" s="680"/>
      <c r="R230" s="638"/>
    </row>
    <row r="231" spans="1:18" ht="18.75">
      <c r="A231" s="1020"/>
      <c r="B231" s="779"/>
      <c r="C231" s="780"/>
      <c r="D231" s="780"/>
      <c r="E231" s="780"/>
      <c r="F231" s="780"/>
      <c r="G231" s="780"/>
      <c r="H231" s="780"/>
      <c r="I231" s="780"/>
      <c r="J231" s="780"/>
      <c r="K231" s="780"/>
      <c r="L231" s="781"/>
      <c r="M231" s="527"/>
      <c r="N231" s="527"/>
      <c r="O231" s="527"/>
      <c r="P231" s="527"/>
      <c r="Q231" s="680"/>
      <c r="R231" s="638"/>
    </row>
    <row r="232" spans="1:18" ht="18.75">
      <c r="A232" s="1020"/>
      <c r="B232" s="775" t="s">
        <v>562</v>
      </c>
      <c r="C232" s="777"/>
      <c r="D232" s="777">
        <f>IF(O142=1,C228-32,IF(O142=2,C228-43,"-------"))</f>
        <v>318</v>
      </c>
      <c r="E232" s="777"/>
      <c r="F232" s="777"/>
      <c r="G232" s="777"/>
      <c r="H232" s="777"/>
      <c r="I232" s="777"/>
      <c r="J232" s="777"/>
      <c r="K232" s="777"/>
      <c r="L232" s="778"/>
      <c r="M232" s="527"/>
      <c r="N232" s="527"/>
      <c r="O232" s="527"/>
      <c r="P232" s="527"/>
      <c r="Q232" s="680"/>
      <c r="R232" s="638"/>
    </row>
    <row r="233" spans="1:18" ht="18.75">
      <c r="A233" s="1020"/>
      <c r="B233" s="775" t="s">
        <v>563</v>
      </c>
      <c r="C233" s="777"/>
      <c r="D233" s="777">
        <f>IF(O142=1,C228-35,IF(O142=3,C228-36,IF(O142=4,C228-32,"-------")))</f>
        <v>315</v>
      </c>
      <c r="E233" s="777"/>
      <c r="F233" s="777"/>
      <c r="G233" s="777"/>
      <c r="H233" s="777"/>
      <c r="I233" s="1089" t="s">
        <v>564</v>
      </c>
      <c r="J233" s="1089"/>
      <c r="K233" s="1089"/>
      <c r="L233" s="1090"/>
      <c r="M233" s="527"/>
      <c r="N233" s="527"/>
      <c r="O233" s="527"/>
      <c r="P233" s="527"/>
      <c r="Q233" s="680"/>
      <c r="R233" s="638"/>
    </row>
    <row r="234" spans="1:18" ht="18.75">
      <c r="A234" s="1020"/>
      <c r="B234" s="775" t="s">
        <v>565</v>
      </c>
      <c r="C234" s="777"/>
      <c r="D234" s="777">
        <f>IF(O142=1,C228-32,"-------")</f>
        <v>318</v>
      </c>
      <c r="E234" s="777"/>
      <c r="F234" s="777"/>
      <c r="G234" s="777">
        <f>IF(B141=1,D232,IF(B141=2,D233,IF(B141=3,D234,IF(B141=4,D235,IF(B141=5,D236)))))</f>
        <v>315</v>
      </c>
      <c r="H234" s="777"/>
      <c r="I234" s="1089"/>
      <c r="J234" s="1089"/>
      <c r="K234" s="1089"/>
      <c r="L234" s="1090"/>
      <c r="M234" s="527"/>
      <c r="N234" s="527"/>
      <c r="O234" s="527"/>
      <c r="P234" s="527"/>
      <c r="Q234" s="680"/>
      <c r="R234" s="638"/>
    </row>
    <row r="235" spans="1:18" ht="18.75">
      <c r="A235" s="1020"/>
      <c r="B235" s="775" t="s">
        <v>566</v>
      </c>
      <c r="C235" s="777"/>
      <c r="D235" s="777" t="str">
        <f>IF(O142=5,C228-35,IF(O142=6,C228-31,"-------"))</f>
        <v>-------</v>
      </c>
      <c r="E235" s="777"/>
      <c r="F235" s="777"/>
      <c r="G235" s="777"/>
      <c r="H235" s="777"/>
      <c r="I235" s="1089"/>
      <c r="J235" s="1089"/>
      <c r="K235" s="1089"/>
      <c r="L235" s="1090"/>
      <c r="M235" s="527"/>
      <c r="N235" s="527"/>
      <c r="O235" s="527"/>
      <c r="P235" s="527"/>
      <c r="Q235" s="680"/>
      <c r="R235" s="638"/>
    </row>
    <row r="236" spans="1:18" ht="18.75">
      <c r="A236" s="1020"/>
      <c r="B236" s="775" t="s">
        <v>567</v>
      </c>
      <c r="C236" s="777"/>
      <c r="D236" s="777">
        <f>C228-32</f>
        <v>318</v>
      </c>
      <c r="E236" s="777"/>
      <c r="F236" s="777"/>
      <c r="G236" s="777"/>
      <c r="H236" s="777"/>
      <c r="I236" s="777"/>
      <c r="J236" s="777"/>
      <c r="K236" s="777"/>
      <c r="L236" s="778"/>
      <c r="M236" s="527"/>
      <c r="N236" s="527"/>
      <c r="O236" s="527"/>
      <c r="P236" s="527"/>
      <c r="Q236" s="680"/>
      <c r="R236" s="638"/>
    </row>
    <row r="237" spans="1:18" ht="18.75">
      <c r="A237" s="1020"/>
      <c r="B237" s="782"/>
      <c r="C237" s="783"/>
      <c r="D237" s="783"/>
      <c r="E237" s="783"/>
      <c r="F237" s="783"/>
      <c r="G237" s="783"/>
      <c r="H237" s="783"/>
      <c r="I237" s="783"/>
      <c r="J237" s="783"/>
      <c r="K237" s="783"/>
      <c r="L237" s="784"/>
      <c r="M237" s="527"/>
      <c r="N237" s="527"/>
      <c r="O237" s="527"/>
      <c r="P237" s="527"/>
      <c r="Q237" s="680"/>
      <c r="R237" s="638"/>
    </row>
    <row r="238" spans="1:18" ht="18.75">
      <c r="A238" s="1020"/>
      <c r="B238" s="775"/>
      <c r="C238" s="777"/>
      <c r="D238" s="777"/>
      <c r="E238" s="777"/>
      <c r="F238" s="777"/>
      <c r="G238" s="777"/>
      <c r="H238" s="777"/>
      <c r="I238" s="777"/>
      <c r="J238" s="777"/>
      <c r="K238" s="777"/>
      <c r="L238" s="778"/>
      <c r="M238" s="527"/>
      <c r="N238" s="527"/>
      <c r="O238" s="527"/>
      <c r="P238" s="527"/>
      <c r="Q238" s="680"/>
      <c r="R238" s="638"/>
    </row>
    <row r="239" spans="1:18" ht="18.75">
      <c r="A239" s="1020"/>
      <c r="B239" s="779"/>
      <c r="C239" s="780"/>
      <c r="D239" s="780"/>
      <c r="E239" s="780"/>
      <c r="F239" s="780"/>
      <c r="G239" s="780"/>
      <c r="H239" s="780"/>
      <c r="I239" s="780"/>
      <c r="J239" s="780"/>
      <c r="K239" s="780"/>
      <c r="L239" s="781"/>
      <c r="M239" s="527"/>
      <c r="N239" s="527"/>
      <c r="O239" s="527"/>
      <c r="P239" s="527"/>
      <c r="Q239" s="680"/>
      <c r="R239" s="638"/>
    </row>
    <row r="240" spans="1:18" ht="18.75">
      <c r="A240" s="1020"/>
      <c r="B240" s="775" t="s">
        <v>562</v>
      </c>
      <c r="C240" s="777"/>
      <c r="D240" s="777">
        <f>IF(O142=1,C228,IF(O142=2,C228-11,"-------"))</f>
        <v>350</v>
      </c>
      <c r="E240" s="777"/>
      <c r="F240" s="777"/>
      <c r="G240" s="777"/>
      <c r="H240" s="777"/>
      <c r="I240" s="777"/>
      <c r="J240" s="777"/>
      <c r="K240" s="777"/>
      <c r="L240" s="778"/>
      <c r="M240" s="527"/>
      <c r="N240" s="527"/>
      <c r="O240" s="527"/>
      <c r="P240" s="527"/>
      <c r="Q240" s="680"/>
      <c r="R240" s="638"/>
    </row>
    <row r="241" spans="1:18" ht="18.75">
      <c r="A241" s="1020"/>
      <c r="B241" s="775" t="s">
        <v>563</v>
      </c>
      <c r="C241" s="777"/>
      <c r="D241" s="777">
        <f>IF(O142=3,C228-5,IF(O142=1,C228,IF(O142=4,C228,"-------")))</f>
        <v>350</v>
      </c>
      <c r="E241" s="777"/>
      <c r="F241" s="777"/>
      <c r="G241" s="777"/>
      <c r="H241" s="777"/>
      <c r="I241" s="1089" t="s">
        <v>568</v>
      </c>
      <c r="J241" s="1089"/>
      <c r="K241" s="1089"/>
      <c r="L241" s="1090"/>
      <c r="M241" s="527"/>
      <c r="N241" s="527"/>
      <c r="O241" s="527"/>
      <c r="P241" s="527"/>
      <c r="Q241" s="680"/>
      <c r="R241" s="638"/>
    </row>
    <row r="242" spans="1:18" ht="18.75">
      <c r="A242" s="1020"/>
      <c r="B242" s="775" t="s">
        <v>565</v>
      </c>
      <c r="C242" s="777"/>
      <c r="D242" s="777">
        <f>IF(O142=1,C228,"-------")</f>
        <v>350</v>
      </c>
      <c r="E242" s="777"/>
      <c r="F242" s="777"/>
      <c r="G242" s="777">
        <f>IF(B141=1,D240,IF(B141=2,D241,IF(B141=3,D242,IF(B141=4,D243,IF(B141=5,#REF!)))))</f>
        <v>350</v>
      </c>
      <c r="H242" s="777"/>
      <c r="I242" s="1089"/>
      <c r="J242" s="1089"/>
      <c r="K242" s="1089"/>
      <c r="L242" s="1090"/>
      <c r="M242" s="527"/>
      <c r="N242" s="527"/>
      <c r="O242" s="527"/>
      <c r="P242" s="527"/>
      <c r="Q242" s="680"/>
      <c r="R242" s="638"/>
    </row>
    <row r="243" spans="1:18" ht="18.75">
      <c r="A243" s="1020"/>
      <c r="B243" s="775" t="s">
        <v>566</v>
      </c>
      <c r="C243" s="777"/>
      <c r="D243" s="777" t="str">
        <f>IF(O142=5,C228-6,IF(O142=6,C228-2,"-------"))</f>
        <v>-------</v>
      </c>
      <c r="E243" s="777"/>
      <c r="F243" s="777"/>
      <c r="G243" s="777"/>
      <c r="H243" s="777"/>
      <c r="I243" s="1089"/>
      <c r="J243" s="1089"/>
      <c r="K243" s="1089"/>
      <c r="L243" s="1090"/>
      <c r="M243" s="527"/>
      <c r="N243" s="527"/>
      <c r="O243" s="527"/>
      <c r="P243" s="527"/>
      <c r="Q243" s="680"/>
      <c r="R243" s="638"/>
    </row>
    <row r="244" spans="1:18" ht="18.75">
      <c r="A244" s="1020"/>
      <c r="B244" s="775" t="s">
        <v>567</v>
      </c>
      <c r="C244" s="777"/>
      <c r="D244" s="777">
        <f>C228</f>
        <v>350</v>
      </c>
      <c r="E244" s="777"/>
      <c r="F244" s="777"/>
      <c r="G244" s="777"/>
      <c r="H244" s="777"/>
      <c r="I244" s="777"/>
      <c r="J244" s="777"/>
      <c r="K244" s="777"/>
      <c r="L244" s="778"/>
      <c r="M244" s="527"/>
      <c r="N244" s="527"/>
      <c r="O244" s="527"/>
      <c r="P244" s="527"/>
      <c r="Q244" s="680"/>
      <c r="R244" s="638"/>
    </row>
    <row r="245" spans="1:18" ht="19.5" thickBot="1">
      <c r="A245" s="1020"/>
      <c r="B245" s="785"/>
      <c r="C245" s="786"/>
      <c r="D245" s="786"/>
      <c r="E245" s="786"/>
      <c r="F245" s="786"/>
      <c r="G245" s="786"/>
      <c r="H245" s="786"/>
      <c r="I245" s="786"/>
      <c r="J245" s="786"/>
      <c r="K245" s="786"/>
      <c r="L245" s="787"/>
      <c r="M245" s="527"/>
      <c r="N245" s="527"/>
      <c r="O245" s="527"/>
      <c r="P245" s="527"/>
      <c r="Q245" s="680"/>
      <c r="R245" s="638"/>
    </row>
    <row r="246" spans="1:18">
      <c r="A246" s="1013"/>
      <c r="B246" s="1013"/>
      <c r="C246" s="1013"/>
      <c r="D246" s="1013"/>
      <c r="E246" s="1013"/>
      <c r="F246" s="1013"/>
      <c r="G246" s="1013"/>
      <c r="H246" s="1013"/>
      <c r="I246" s="1013"/>
      <c r="J246" s="1013"/>
      <c r="K246" s="1013"/>
      <c r="L246" s="1013"/>
      <c r="M246" s="1013"/>
      <c r="N246" s="1013"/>
      <c r="O246" s="1013"/>
      <c r="P246" s="1013"/>
      <c r="Q246" s="1013"/>
      <c r="R246" s="638"/>
    </row>
  </sheetData>
  <mergeCells count="76"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1</xdr:col>
                    <xdr:colOff>1771650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19050</xdr:rowOff>
                  </from>
                  <to>
                    <xdr:col>1</xdr:col>
                    <xdr:colOff>1771650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19050</xdr:rowOff>
                  </from>
                  <to>
                    <xdr:col>1</xdr:col>
                    <xdr:colOff>1771650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9525</xdr:rowOff>
                  </from>
                  <to>
                    <xdr:col>1</xdr:col>
                    <xdr:colOff>1781175</xdr:colOff>
                    <xdr:row>110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9525</xdr:rowOff>
                  </from>
                  <to>
                    <xdr:col>1</xdr:col>
                    <xdr:colOff>1781175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19050</xdr:rowOff>
                  </from>
                  <to>
                    <xdr:col>1</xdr:col>
                    <xdr:colOff>1781175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19050</xdr:rowOff>
                  </from>
                  <to>
                    <xdr:col>1</xdr:col>
                    <xdr:colOff>1781175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1781175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19050</xdr:rowOff>
                  </from>
                  <to>
                    <xdr:col>1</xdr:col>
                    <xdr:colOff>1781175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19050</xdr:rowOff>
                  </from>
                  <to>
                    <xdr:col>1</xdr:col>
                    <xdr:colOff>1771650</xdr:colOff>
                    <xdr:row>129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9525</xdr:rowOff>
                  </from>
                  <to>
                    <xdr:col>1</xdr:col>
                    <xdr:colOff>1771650</xdr:colOff>
                    <xdr:row>129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9525</xdr:rowOff>
                  </from>
                  <to>
                    <xdr:col>1</xdr:col>
                    <xdr:colOff>1771650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0</xdr:col>
                    <xdr:colOff>581025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666750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19050</xdr:rowOff>
                  </from>
                  <to>
                    <xdr:col>1</xdr:col>
                    <xdr:colOff>666750</xdr:colOff>
                    <xdr:row>118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9525</xdr:rowOff>
                  </from>
                  <to>
                    <xdr:col>1</xdr:col>
                    <xdr:colOff>1771650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9525</xdr:colOff>
                    <xdr:row>105</xdr:row>
                    <xdr:rowOff>9525</xdr:rowOff>
                  </from>
                  <to>
                    <xdr:col>5</xdr:col>
                    <xdr:colOff>9525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9525</xdr:colOff>
                    <xdr:row>106</xdr:row>
                    <xdr:rowOff>19050</xdr:rowOff>
                  </from>
                  <to>
                    <xdr:col>5</xdr:col>
                    <xdr:colOff>9525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9525</xdr:colOff>
                    <xdr:row>107</xdr:row>
                    <xdr:rowOff>19050</xdr:rowOff>
                  </from>
                  <to>
                    <xdr:col>5</xdr:col>
                    <xdr:colOff>9525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9525</xdr:rowOff>
                  </from>
                  <to>
                    <xdr:col>5</xdr:col>
                    <xdr:colOff>9525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9525</xdr:rowOff>
                  </from>
                  <to>
                    <xdr:col>5</xdr:col>
                    <xdr:colOff>9525</xdr:colOff>
                    <xdr:row>112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19050</xdr:rowOff>
                  </from>
                  <to>
                    <xdr:col>5</xdr:col>
                    <xdr:colOff>9525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19050</xdr:rowOff>
                  </from>
                  <to>
                    <xdr:col>5</xdr:col>
                    <xdr:colOff>9525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9525</xdr:rowOff>
                  </from>
                  <to>
                    <xdr:col>5</xdr:col>
                    <xdr:colOff>9525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19050</xdr:rowOff>
                  </from>
                  <to>
                    <xdr:col>5</xdr:col>
                    <xdr:colOff>9525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9525</xdr:colOff>
                    <xdr:row>129</xdr:row>
                    <xdr:rowOff>19050</xdr:rowOff>
                  </from>
                  <to>
                    <xdr:col>5</xdr:col>
                    <xdr:colOff>9525</xdr:colOff>
                    <xdr:row>130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9525</xdr:colOff>
                    <xdr:row>130</xdr:row>
                    <xdr:rowOff>9525</xdr:rowOff>
                  </from>
                  <to>
                    <xdr:col>5</xdr:col>
                    <xdr:colOff>9525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9525</xdr:colOff>
                    <xdr:row>131</xdr:row>
                    <xdr:rowOff>9525</xdr:rowOff>
                  </from>
                  <to>
                    <xdr:col>5</xdr:col>
                    <xdr:colOff>9525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9525</xdr:colOff>
                    <xdr:row>105</xdr:row>
                    <xdr:rowOff>9525</xdr:rowOff>
                  </from>
                  <to>
                    <xdr:col>8</xdr:col>
                    <xdr:colOff>571500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9525</xdr:rowOff>
                  </from>
                  <to>
                    <xdr:col>7</xdr:col>
                    <xdr:colOff>657225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19050</xdr:rowOff>
                  </from>
                  <to>
                    <xdr:col>7</xdr:col>
                    <xdr:colOff>657225</xdr:colOff>
                    <xdr:row>119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9525</xdr:colOff>
                    <xdr:row>132</xdr:row>
                    <xdr:rowOff>9525</xdr:rowOff>
                  </from>
                  <to>
                    <xdr:col>5</xdr:col>
                    <xdr:colOff>9525</xdr:colOff>
                    <xdr:row>132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4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style="11" customWidth="1"/>
    <col min="2" max="3" width="9.140625" style="1"/>
    <col min="4" max="4" width="10" style="1" customWidth="1"/>
    <col min="5" max="7" width="9.140625" style="1"/>
    <col min="8" max="8" width="15.140625" style="1" customWidth="1"/>
    <col min="9" max="16384" width="9.140625" style="1"/>
  </cols>
  <sheetData>
    <row r="1" spans="1:19" ht="18" customHeight="1">
      <c r="J1" s="915" t="s">
        <v>382</v>
      </c>
      <c r="K1" s="915"/>
      <c r="L1" s="915"/>
      <c r="M1" s="915"/>
      <c r="N1" s="915"/>
      <c r="O1" s="915"/>
      <c r="P1" s="915"/>
      <c r="Q1" s="915"/>
      <c r="R1" s="915"/>
      <c r="S1" s="915"/>
    </row>
    <row r="2" spans="1:19" ht="18" customHeight="1">
      <c r="A2" s="11" t="s">
        <v>383</v>
      </c>
      <c r="B2" s="908">
        <f>Royal!C3</f>
        <v>0</v>
      </c>
      <c r="C2" s="909"/>
      <c r="D2" s="909"/>
      <c r="E2" s="909"/>
      <c r="F2" s="910"/>
      <c r="G2" s="1">
        <v>2</v>
      </c>
      <c r="J2" s="915"/>
      <c r="K2" s="915"/>
      <c r="L2" s="915"/>
      <c r="M2" s="915"/>
      <c r="N2" s="915"/>
      <c r="O2" s="915"/>
      <c r="P2" s="915"/>
      <c r="Q2" s="915"/>
      <c r="R2" s="915"/>
      <c r="S2" s="915"/>
    </row>
    <row r="3" spans="1:19" ht="18" customHeight="1">
      <c r="A3" s="11" t="s">
        <v>384</v>
      </c>
      <c r="F3" s="907" t="s">
        <v>385</v>
      </c>
      <c r="G3" s="907"/>
    </row>
    <row r="4" spans="1:19" ht="18" customHeight="1">
      <c r="A4" s="11" t="s">
        <v>386</v>
      </c>
      <c r="F4" s="911" t="s">
        <v>387</v>
      </c>
      <c r="G4" s="912"/>
      <c r="H4" s="912"/>
      <c r="I4" s="913"/>
      <c r="J4" s="10"/>
    </row>
    <row r="5" spans="1:19" ht="18" customHeight="1">
      <c r="A5" s="11" t="s">
        <v>388</v>
      </c>
      <c r="F5" s="914" t="s">
        <v>389</v>
      </c>
      <c r="G5" s="905"/>
      <c r="H5" s="905"/>
      <c r="I5" s="906"/>
      <c r="J5" s="10"/>
    </row>
    <row r="6" spans="1:19" ht="18" customHeight="1">
      <c r="A6" s="11" t="s">
        <v>390</v>
      </c>
      <c r="Q6" s="899"/>
      <c r="R6" s="899"/>
      <c r="S6" s="899"/>
    </row>
    <row r="7" spans="1:19" ht="18" customHeight="1">
      <c r="B7" s="180" t="s">
        <v>198</v>
      </c>
      <c r="C7" s="181">
        <f>تسعير!AA33</f>
        <v>400</v>
      </c>
      <c r="D7" s="182" t="s">
        <v>230</v>
      </c>
      <c r="E7" s="183">
        <f>تسعير!X31</f>
        <v>400</v>
      </c>
    </row>
    <row r="8" spans="1:19" ht="18" customHeight="1">
      <c r="F8" s="1">
        <v>5</v>
      </c>
    </row>
    <row r="9" spans="1:19" ht="18" customHeight="1">
      <c r="A9" s="11" t="s">
        <v>391</v>
      </c>
    </row>
    <row r="10" spans="1:19" ht="18" customHeight="1">
      <c r="A10" s="11" t="s">
        <v>392</v>
      </c>
    </row>
    <row r="11" spans="1:19" ht="18" customHeight="1">
      <c r="A11" s="11" t="s">
        <v>393</v>
      </c>
      <c r="B11" s="894" t="s">
        <v>394</v>
      </c>
      <c r="C11" s="895"/>
      <c r="D11" s="905" t="s">
        <v>395</v>
      </c>
      <c r="E11" s="906"/>
    </row>
    <row r="12" spans="1:19" ht="18" customHeight="1">
      <c r="A12" s="11" t="s">
        <v>396</v>
      </c>
    </row>
    <row r="13" spans="1:19" ht="18" customHeight="1">
      <c r="A13" s="11" t="s">
        <v>397</v>
      </c>
    </row>
    <row r="14" spans="1:19" ht="18" customHeight="1"/>
    <row r="15" spans="1:19" ht="24.6" customHeight="1">
      <c r="A15" s="11" t="s">
        <v>398</v>
      </c>
      <c r="Q15" s="899"/>
      <c r="R15" s="899"/>
      <c r="S15" s="899"/>
    </row>
    <row r="16" spans="1:19" ht="18" customHeight="1">
      <c r="C16" s="907" t="s">
        <v>399</v>
      </c>
      <c r="D16" s="907"/>
      <c r="E16" s="907"/>
      <c r="F16" s="1" t="s">
        <v>400</v>
      </c>
    </row>
    <row r="17" spans="1:19" ht="18" customHeight="1">
      <c r="A17" s="907" t="s">
        <v>401</v>
      </c>
      <c r="B17" s="907"/>
      <c r="C17" s="907"/>
    </row>
    <row r="18" spans="1:19" ht="18" customHeight="1">
      <c r="A18" s="896" t="s">
        <v>402</v>
      </c>
      <c r="B18" s="897"/>
      <c r="C18" s="14">
        <f>'Format Φωτισμου (2)'!B9</f>
        <v>3</v>
      </c>
    </row>
    <row r="19" spans="1:19" ht="18" customHeight="1">
      <c r="A19" s="896" t="s">
        <v>403</v>
      </c>
      <c r="B19" s="897"/>
      <c r="C19" s="14">
        <f>'Format Φωτισμου (2)'!B12</f>
        <v>9</v>
      </c>
    </row>
    <row r="20" spans="1:19" ht="18" customHeight="1">
      <c r="A20" s="896" t="s">
        <v>404</v>
      </c>
      <c r="B20" s="897"/>
      <c r="C20" s="14">
        <f>C19/C18</f>
        <v>3</v>
      </c>
    </row>
    <row r="21" spans="1:19" ht="18" customHeight="1">
      <c r="A21" s="901" t="s">
        <v>405</v>
      </c>
      <c r="B21" s="902"/>
      <c r="C21" s="903">
        <v>20</v>
      </c>
      <c r="D21" s="904"/>
      <c r="E21" s="894" t="s">
        <v>406</v>
      </c>
      <c r="F21" s="895"/>
      <c r="G21" s="895"/>
      <c r="H21" s="14">
        <f>C21/C18</f>
        <v>6.666666666666667</v>
      </c>
      <c r="J21" s="900"/>
      <c r="K21" s="900"/>
      <c r="L21" s="900"/>
      <c r="M21" s="900"/>
      <c r="N21" s="900"/>
      <c r="O21" s="900"/>
      <c r="P21" s="900"/>
      <c r="Q21" s="900"/>
      <c r="R21" s="900"/>
      <c r="S21" s="900"/>
    </row>
    <row r="22" spans="1:19" ht="18" customHeight="1">
      <c r="A22" s="896" t="s">
        <v>407</v>
      </c>
      <c r="B22" s="897"/>
      <c r="C22" s="179">
        <v>50</v>
      </c>
      <c r="D22" s="184" t="s">
        <v>408</v>
      </c>
      <c r="J22" s="900"/>
      <c r="K22" s="900"/>
      <c r="L22" s="900"/>
      <c r="M22" s="900"/>
      <c r="N22" s="900"/>
      <c r="O22" s="900"/>
      <c r="P22" s="900"/>
      <c r="Q22" s="900"/>
      <c r="R22" s="900"/>
      <c r="S22" s="900"/>
    </row>
    <row r="23" spans="1:19" ht="18" customHeight="1">
      <c r="J23" s="900"/>
      <c r="K23" s="900"/>
      <c r="L23" s="900"/>
      <c r="M23" s="900"/>
      <c r="N23" s="900"/>
      <c r="O23" s="900"/>
      <c r="P23" s="900"/>
      <c r="Q23" s="900"/>
      <c r="R23" s="900"/>
      <c r="S23" s="900"/>
    </row>
    <row r="24" spans="1:19" ht="18" customHeight="1"/>
    <row r="25" spans="1:19" ht="18" customHeight="1">
      <c r="A25" s="11" t="s">
        <v>409</v>
      </c>
      <c r="J25" s="898"/>
      <c r="K25" s="898"/>
      <c r="L25" s="898"/>
      <c r="M25" s="898"/>
      <c r="N25" s="898"/>
      <c r="O25" s="898"/>
      <c r="P25" s="898"/>
      <c r="Q25" s="898"/>
      <c r="R25" s="15"/>
      <c r="S25" s="10"/>
    </row>
    <row r="26" spans="1:19" ht="18" customHeight="1">
      <c r="G26" s="1" t="s">
        <v>410</v>
      </c>
      <c r="H26" s="1" t="s">
        <v>411</v>
      </c>
    </row>
    <row r="27" spans="1:19" ht="18" customHeight="1">
      <c r="A27" s="11" t="s">
        <v>412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9"/>
      <c r="K27" s="899"/>
      <c r="L27" s="899"/>
      <c r="M27" s="899"/>
      <c r="N27" s="899"/>
      <c r="O27" s="899"/>
      <c r="P27" s="899"/>
      <c r="Q27" s="899"/>
      <c r="R27" s="899"/>
      <c r="S27" s="899"/>
    </row>
    <row r="28" spans="1:19" ht="18" customHeight="1">
      <c r="A28" s="11" t="s">
        <v>413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spans="1:1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spans="1:19" ht="18" customHeight="1">
      <c r="A30" s="11" t="s">
        <v>393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spans="1:19" ht="18" customHeight="1"/>
    <row r="32" spans="1:19" ht="18" customHeight="1"/>
    <row r="33" ht="18" customHeight="1"/>
    <row r="34" ht="18" customHeight="1"/>
  </sheetData>
  <sheetProtection password="C6E5" sheet="1" objects="1" scenarios="1" selectLockedCells="1" selectUnlockedCells="1"/>
  <mergeCells count="21"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D98"/>
  <sheetViews>
    <sheetView rightToLeft="1" topLeftCell="H4" zoomScale="70" zoomScaleNormal="70" workbookViewId="0">
      <selection activeCell="AA39" sqref="AA39:AB40"/>
    </sheetView>
  </sheetViews>
  <sheetFormatPr defaultColWidth="9.140625" defaultRowHeight="18.75"/>
  <cols>
    <col min="1" max="1" width="2.7109375" style="10" customWidth="1"/>
    <col min="2" max="5" width="8.7109375" style="10" customWidth="1"/>
    <col min="6" max="6" width="4.85546875" style="10" customWidth="1"/>
    <col min="7" max="7" width="8.28515625" style="10" customWidth="1"/>
    <col min="8" max="8" width="2.7109375" style="10" customWidth="1"/>
    <col min="9" max="12" width="8.7109375" style="10" customWidth="1"/>
    <col min="13" max="13" width="4.85546875" style="10" customWidth="1"/>
    <col min="14" max="14" width="9.140625" style="59"/>
    <col min="15" max="15" width="14.140625" style="59" customWidth="1"/>
    <col min="16" max="16" width="11.5703125" style="60" customWidth="1"/>
    <col min="17" max="17" width="8.28515625" style="60" customWidth="1"/>
    <col min="18" max="18" width="7.5703125" style="60" customWidth="1"/>
    <col min="19" max="19" width="11.28515625" style="60" customWidth="1"/>
    <col min="20" max="20" width="37.5703125" style="61" customWidth="1"/>
    <col min="21" max="21" width="10.7109375" style="60" customWidth="1"/>
    <col min="22" max="22" width="19" style="60" customWidth="1"/>
    <col min="23" max="23" width="18.140625" style="60" customWidth="1"/>
    <col min="24" max="24" width="25.5703125" style="60" customWidth="1"/>
    <col min="25" max="25" width="8.7109375" style="60" customWidth="1"/>
    <col min="26" max="26" width="10.7109375" style="60" customWidth="1"/>
    <col min="27" max="28" width="9.42578125" style="62" customWidth="1"/>
    <col min="29" max="30" width="9.140625" style="58" customWidth="1"/>
    <col min="31" max="52" width="9.140625" style="10" customWidth="1"/>
    <col min="53" max="16384" width="9.140625" style="10"/>
  </cols>
  <sheetData>
    <row r="1" spans="1:28" ht="40.5" customHeight="1">
      <c r="A1" s="994" t="s">
        <v>479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6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415</v>
      </c>
      <c r="Y1" s="136" t="e">
        <f>Royal!#REF!</f>
        <v>#REF!</v>
      </c>
      <c r="Z1" s="151" t="s">
        <v>416</v>
      </c>
      <c r="AA1" s="60"/>
      <c r="AB1" s="60"/>
    </row>
    <row r="2" spans="1:28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spans="1:28" ht="12.75" customHeight="1">
      <c r="A3" s="1009" t="s">
        <v>383</v>
      </c>
      <c r="B3" s="1009"/>
      <c r="C3" s="1009"/>
      <c r="D3" s="1011">
        <f>تسجيل1!B2</f>
        <v>0</v>
      </c>
      <c r="E3" s="1011"/>
      <c r="F3" s="1011"/>
      <c r="G3" s="1011"/>
      <c r="H3" s="1011"/>
      <c r="I3" s="1011"/>
      <c r="J3" s="1011"/>
      <c r="K3" s="1011"/>
      <c r="L3" s="1011"/>
      <c r="M3" s="997" t="s">
        <v>417</v>
      </c>
      <c r="N3" s="997"/>
      <c r="O3" s="89"/>
      <c r="P3" s="90"/>
      <c r="Q3" s="90"/>
      <c r="R3" s="90"/>
      <c r="Z3" s="151"/>
      <c r="AA3" s="60"/>
      <c r="AB3" s="60"/>
    </row>
    <row r="4" spans="1:28" ht="13.5" customHeight="1">
      <c r="A4" s="1010"/>
      <c r="B4" s="1010"/>
      <c r="C4" s="1010"/>
      <c r="D4" s="1012"/>
      <c r="E4" s="1012"/>
      <c r="F4" s="1012"/>
      <c r="G4" s="1011"/>
      <c r="H4" s="1011"/>
      <c r="I4" s="1012"/>
      <c r="J4" s="1012"/>
      <c r="K4" s="1012"/>
      <c r="L4" s="1012"/>
      <c r="M4" s="998"/>
      <c r="N4" s="998"/>
      <c r="O4" s="91"/>
      <c r="P4" s="92"/>
      <c r="Q4" s="92"/>
      <c r="R4" s="92"/>
      <c r="Z4" s="151"/>
      <c r="AA4" s="60"/>
      <c r="AB4" s="60"/>
    </row>
    <row r="5" spans="1:28" ht="13.5" customHeight="1">
      <c r="A5" s="999" t="e">
        <f>Y1</f>
        <v>#REF!</v>
      </c>
      <c r="B5" s="1000"/>
      <c r="C5" s="1001"/>
      <c r="D5" s="1002" t="s">
        <v>416</v>
      </c>
      <c r="E5" s="1003"/>
      <c r="F5" s="1004"/>
      <c r="G5" s="63"/>
      <c r="H5" s="63"/>
      <c r="I5" s="999">
        <f>W1</f>
        <v>292000</v>
      </c>
      <c r="J5" s="1000"/>
      <c r="K5" s="1001"/>
      <c r="L5" s="1002" t="s">
        <v>418</v>
      </c>
      <c r="M5" s="1003"/>
      <c r="N5" s="1004"/>
      <c r="O5" s="93"/>
      <c r="P5" s="92"/>
      <c r="Q5" s="92"/>
      <c r="R5" s="92"/>
      <c r="Z5" s="151"/>
      <c r="AA5" s="60"/>
      <c r="AB5" s="60"/>
    </row>
    <row r="6" spans="1:28" ht="16.5" customHeight="1">
      <c r="A6" s="941" t="s">
        <v>419</v>
      </c>
      <c r="B6" s="942"/>
      <c r="C6" s="943"/>
      <c r="D6" s="935" t="s">
        <v>420</v>
      </c>
      <c r="E6" s="1005" t="s">
        <v>390</v>
      </c>
      <c r="F6" s="1006"/>
      <c r="G6" s="978"/>
      <c r="H6" s="978"/>
      <c r="I6" s="1006"/>
      <c r="J6" s="1007"/>
      <c r="K6" s="1008">
        <f>تسجيل2!C7</f>
        <v>400</v>
      </c>
      <c r="L6" s="1008"/>
      <c r="M6" s="94" t="s">
        <v>421</v>
      </c>
      <c r="N6" s="95">
        <f>تسجيل2!E7</f>
        <v>400</v>
      </c>
      <c r="O6" s="96" t="s">
        <v>51</v>
      </c>
      <c r="P6" s="97"/>
      <c r="Q6" s="97"/>
      <c r="R6" s="97"/>
      <c r="Z6" s="151"/>
      <c r="AA6" s="60"/>
      <c r="AB6" s="60"/>
    </row>
    <row r="7" spans="1:28" ht="21.75">
      <c r="A7" s="941"/>
      <c r="B7" s="942"/>
      <c r="C7" s="943"/>
      <c r="D7" s="935"/>
      <c r="E7" s="977" t="s">
        <v>422</v>
      </c>
      <c r="F7" s="978"/>
      <c r="G7" s="978"/>
      <c r="H7" s="978"/>
      <c r="I7" s="978"/>
      <c r="J7" s="979"/>
      <c r="K7" s="980">
        <f>K6*N6/10000</f>
        <v>16</v>
      </c>
      <c r="L7" s="980"/>
      <c r="M7" s="980"/>
      <c r="N7" s="98" t="s">
        <v>423</v>
      </c>
      <c r="O7" s="99">
        <f>AA41/K7</f>
        <v>2907.2003302590206</v>
      </c>
      <c r="S7" s="60" t="s">
        <v>51</v>
      </c>
      <c r="T7" s="61" t="s">
        <v>424</v>
      </c>
      <c r="Z7" s="151"/>
      <c r="AA7" s="60"/>
      <c r="AB7" s="60"/>
    </row>
    <row r="8" spans="1:28">
      <c r="A8" s="944"/>
      <c r="B8" s="945"/>
      <c r="C8" s="946"/>
      <c r="D8" s="936"/>
      <c r="E8" s="981" t="s">
        <v>425</v>
      </c>
      <c r="F8" s="982"/>
      <c r="G8" s="982"/>
      <c r="H8" s="982"/>
      <c r="I8" s="982"/>
      <c r="J8" s="983"/>
      <c r="K8" s="984">
        <f>K6-1</f>
        <v>399</v>
      </c>
      <c r="L8" s="984"/>
      <c r="M8" s="100" t="s">
        <v>426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IF((تسعير!T31=Sheet2!A6),Sheet2!B16,Sheet2!B58)</f>
        <v>200</v>
      </c>
      <c r="T8" s="137">
        <f>((K8*N8)/10000)*1.2</f>
        <v>17.811360000000001</v>
      </c>
      <c r="U8" s="138">
        <f>T8*S8</f>
        <v>3562.2719999999999</v>
      </c>
      <c r="Z8" s="151"/>
      <c r="AA8" s="60"/>
      <c r="AB8" s="60"/>
    </row>
    <row r="9" spans="1:28">
      <c r="V9" s="90"/>
      <c r="Z9" s="151"/>
      <c r="AA9" s="60"/>
      <c r="AB9" s="60"/>
    </row>
    <row r="10" spans="1:28" ht="30" customHeight="1">
      <c r="A10" s="985" t="s">
        <v>427</v>
      </c>
      <c r="B10" s="985"/>
      <c r="C10" s="985"/>
      <c r="D10" s="985"/>
      <c r="E10" s="985"/>
      <c r="F10" s="985"/>
      <c r="G10" s="986" t="s">
        <v>371</v>
      </c>
      <c r="H10" s="986"/>
      <c r="I10" s="986" t="s">
        <v>428</v>
      </c>
      <c r="J10" s="986"/>
      <c r="K10" s="104"/>
      <c r="L10" s="987" t="s">
        <v>412</v>
      </c>
      <c r="M10" s="987"/>
      <c r="N10" s="987"/>
      <c r="O10" s="105"/>
      <c r="P10" s="97"/>
      <c r="Q10" s="97"/>
      <c r="R10" s="97"/>
      <c r="S10" s="90" t="s">
        <v>429</v>
      </c>
      <c r="T10" s="90" t="s">
        <v>430</v>
      </c>
      <c r="U10" s="90" t="s">
        <v>431</v>
      </c>
      <c r="V10" s="90" t="s">
        <v>432</v>
      </c>
      <c r="W10" s="60" t="s">
        <v>433</v>
      </c>
      <c r="X10" s="60" t="s">
        <v>17</v>
      </c>
      <c r="Z10" s="151"/>
      <c r="AA10" s="60"/>
      <c r="AB10" s="60"/>
    </row>
    <row r="11" spans="1:28" ht="20.100000000000001" customHeight="1">
      <c r="A11" s="988" t="s">
        <v>434</v>
      </c>
      <c r="B11" s="989"/>
      <c r="C11" s="989"/>
      <c r="D11" s="989"/>
      <c r="E11" s="989"/>
      <c r="F11" s="990"/>
      <c r="G11" s="991">
        <f>L11</f>
        <v>2</v>
      </c>
      <c r="H11" s="991"/>
      <c r="I11" s="992">
        <f>'Format διαστασης οδηγου (2)'!F8</f>
        <v>365</v>
      </c>
      <c r="J11" s="992"/>
      <c r="K11" s="106"/>
      <c r="L11" s="987">
        <f>IF((تسعير!T31=Sheet2!A6),2,IF(Format!A7=1,تسجيل2!H27,IF(Format!A7=2,تسجيل2!H27,IF(Format!A7=3,تسجيل2!H27,IF(Format!A7=4,تسجيل2!H27,IF(Format!A7=5,تسجيل2!H27,"-------"))))))</f>
        <v>2</v>
      </c>
      <c r="M11" s="987"/>
      <c r="N11" s="987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4.4562770562770604</v>
      </c>
      <c r="X11" s="141">
        <f>($W$1/1000)*W11*V11</f>
        <v>9759.2467532467635</v>
      </c>
      <c r="Z11" s="151"/>
      <c r="AA11" s="60"/>
      <c r="AB11" s="60"/>
    </row>
    <row r="12" spans="1:28" ht="20.100000000000001" customHeight="1">
      <c r="A12" s="965" t="s">
        <v>435</v>
      </c>
      <c r="B12" s="965"/>
      <c r="C12" s="965"/>
      <c r="D12" s="965"/>
      <c r="E12" s="965"/>
      <c r="F12" s="965"/>
      <c r="G12" s="966">
        <f>IF(L11&gt;2,4,IF(L11=2,2))</f>
        <v>2</v>
      </c>
      <c r="H12" s="966"/>
      <c r="I12" s="96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1.9950000000000001</v>
      </c>
      <c r="U12" s="103">
        <f t="shared" ref="U12:U21" si="0">CEILING(T12,0.25)</f>
        <v>2</v>
      </c>
      <c r="V12" s="103">
        <f t="shared" ref="V12:V20" si="1">G12*S12</f>
        <v>8</v>
      </c>
      <c r="W12" s="140">
        <v>1.8637873754152801</v>
      </c>
      <c r="X12" s="141">
        <f>($W$1/1000)*W12*V12</f>
        <v>4353.8073089700938</v>
      </c>
      <c r="Z12" s="151"/>
      <c r="AA12" s="60"/>
      <c r="AB12" s="60"/>
    </row>
    <row r="13" spans="1:28" ht="20.100000000000001" customHeight="1">
      <c r="A13" s="965" t="s">
        <v>436</v>
      </c>
      <c r="B13" s="965"/>
      <c r="C13" s="965"/>
      <c r="D13" s="965"/>
      <c r="E13" s="965"/>
      <c r="F13" s="965"/>
      <c r="G13" s="966" t="str">
        <f>IF(L11&lt;=3,"0",(L11-3)*2)</f>
        <v>0</v>
      </c>
      <c r="H13" s="966"/>
      <c r="I13" s="967">
        <f>IF(G13="-------","-------",L17-5)</f>
        <v>386</v>
      </c>
      <c r="J13" s="967"/>
      <c r="K13" s="106"/>
      <c r="L13" s="976" t="s">
        <v>437</v>
      </c>
      <c r="M13" s="976"/>
      <c r="N13" s="976"/>
      <c r="O13" s="108"/>
      <c r="P13" s="103">
        <f t="shared" ref="P13:P20" si="2">IF(I13&lt;=300,3,0)</f>
        <v>0</v>
      </c>
      <c r="Q13" s="103">
        <f t="shared" ref="Q13:Q20" si="3">IF(I13&gt;300,3.5,0)</f>
        <v>3.5</v>
      </c>
      <c r="R13" s="103">
        <f t="shared" ref="R13:R20" si="4">IF(I13&gt;350,4,0)</f>
        <v>4</v>
      </c>
      <c r="S13" s="103">
        <f>IF((تسعير!$T$31=Sheet2!$A$6),ROUND(I13/100,0),MAX(P13:R13))</f>
        <v>4</v>
      </c>
      <c r="T13" s="139">
        <f t="shared" ref="T13:T20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1.8637873754152801</v>
      </c>
      <c r="X13" s="141">
        <f t="shared" ref="X13:X20" si="6">($W$1/1000)*W13*V13</f>
        <v>0</v>
      </c>
      <c r="Z13" s="151"/>
      <c r="AA13" s="60"/>
      <c r="AB13" s="60"/>
    </row>
    <row r="14" spans="1:28" ht="20.100000000000001" customHeight="1">
      <c r="A14" s="965" t="s">
        <v>438</v>
      </c>
      <c r="B14" s="965"/>
      <c r="C14" s="965"/>
      <c r="D14" s="965"/>
      <c r="E14" s="965"/>
      <c r="F14" s="965"/>
      <c r="G14" s="966">
        <f>IF(L11&gt;2,2*L14,IF(L11=2,L14))</f>
        <v>5</v>
      </c>
      <c r="H14" s="966"/>
      <c r="I14" s="967">
        <f>I12</f>
        <v>399</v>
      </c>
      <c r="J14" s="967"/>
      <c r="K14" s="106"/>
      <c r="L14" s="109">
        <f>تسجيل2!H28</f>
        <v>5</v>
      </c>
      <c r="M14" s="110" t="s">
        <v>439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4.9874999999999998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spans="1:28" ht="20.100000000000001" customHeight="1">
      <c r="A15" s="965" t="s">
        <v>440</v>
      </c>
      <c r="B15" s="965"/>
      <c r="C15" s="965"/>
      <c r="D15" s="965"/>
      <c r="E15" s="965"/>
      <c r="F15" s="965"/>
      <c r="G15" s="966" t="str">
        <f>IF(L11&lt;=3,"0",(L11-3)*L14)</f>
        <v>0</v>
      </c>
      <c r="H15" s="966"/>
      <c r="I15" s="967">
        <f>IF(G15="-------","---------",I13)</f>
        <v>386</v>
      </c>
      <c r="J15" s="96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spans="1:28" ht="20.100000000000001" customHeight="1">
      <c r="A16" s="965" t="s">
        <v>441</v>
      </c>
      <c r="B16" s="965"/>
      <c r="C16" s="965"/>
      <c r="D16" s="965"/>
      <c r="E16" s="965"/>
      <c r="F16" s="965"/>
      <c r="G16" s="966">
        <v>1</v>
      </c>
      <c r="H16" s="966"/>
      <c r="I16" s="96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7"/>
      <c r="K16" s="106"/>
      <c r="L16" s="960" t="s">
        <v>442</v>
      </c>
      <c r="M16" s="960"/>
      <c r="N16" s="960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0.99375000000000002</v>
      </c>
      <c r="U16" s="103">
        <f>CEILING(T16,0.5)</f>
        <v>1</v>
      </c>
      <c r="V16" s="103">
        <f t="shared" si="1"/>
        <v>4</v>
      </c>
      <c r="W16" s="140">
        <v>1.3948717948717999</v>
      </c>
      <c r="X16" s="141">
        <f t="shared" si="6"/>
        <v>1629.2102564102622</v>
      </c>
      <c r="Z16" s="151"/>
      <c r="AA16" s="60"/>
      <c r="AB16" s="60"/>
    </row>
    <row r="17" spans="1:28" ht="20.100000000000001" customHeight="1">
      <c r="A17" s="965" t="s">
        <v>443</v>
      </c>
      <c r="B17" s="965"/>
      <c r="C17" s="965"/>
      <c r="D17" s="965"/>
      <c r="E17" s="965"/>
      <c r="F17" s="965"/>
      <c r="G17" s="966" t="str">
        <f>IF(L11=2,"0",1)</f>
        <v>0</v>
      </c>
      <c r="H17" s="966"/>
      <c r="I17" s="967">
        <f>IF(G17="-------","-------",IF(Format!A7=1,(L17+3),IF(Format!A7=2,(L17+3.5),IF(Format!A7=3,(L17+3),IF(Format!A7=4,(L17+4.25),IF(Format!A7=5,(L17+5),"--------"))))))</f>
        <v>394.5</v>
      </c>
      <c r="J17" s="967"/>
      <c r="K17" s="106"/>
      <c r="L17" s="975">
        <f>IF(Format!A7=1,(K6-2-6)/(L11-1),IF(Format!A7=2,(K6-2-7)/(L11-1),IF(Format!A7=3,(K6-2-6)/(L11-1),IF(Format!A7=4,(K6-2-8.5)/(L11-1),IF(Format!A7=5,(K6-2-10)/(L11-1),"--------")))))</f>
        <v>391</v>
      </c>
      <c r="M17" s="975"/>
      <c r="N17" s="975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1.3948717948717999</v>
      </c>
      <c r="X17" s="141">
        <f t="shared" si="6"/>
        <v>0</v>
      </c>
      <c r="Z17" s="151"/>
      <c r="AA17" s="60"/>
      <c r="AB17" s="60"/>
    </row>
    <row r="18" spans="1:28" ht="20.100000000000001" customHeight="1">
      <c r="A18" s="965" t="s">
        <v>444</v>
      </c>
      <c r="B18" s="965"/>
      <c r="C18" s="965"/>
      <c r="D18" s="965"/>
      <c r="E18" s="965"/>
      <c r="F18" s="965"/>
      <c r="G18" s="966" t="str">
        <f>IF(L11&lt;=3,"0",(L11-3))</f>
        <v>0</v>
      </c>
      <c r="H18" s="966"/>
      <c r="I18" s="967">
        <f>IF(G18="-------","-------",L17)</f>
        <v>391</v>
      </c>
      <c r="J18" s="96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1.3948717948717999</v>
      </c>
      <c r="X18" s="141">
        <f t="shared" si="6"/>
        <v>0</v>
      </c>
      <c r="Z18" s="151"/>
      <c r="AA18" s="60"/>
      <c r="AB18" s="60"/>
    </row>
    <row r="19" spans="1:28" ht="20.100000000000001" customHeight="1">
      <c r="A19" s="965" t="str">
        <f>IF(Format!H4=1,"Balloon","-------")</f>
        <v>-------</v>
      </c>
      <c r="B19" s="965"/>
      <c r="C19" s="965"/>
      <c r="D19" s="965"/>
      <c r="E19" s="965"/>
      <c r="F19" s="965"/>
      <c r="G19" s="966" t="str">
        <f>IF([1]Format!H4=1,'[1]تقطيع البرجولة'!L14,"0")</f>
        <v>0</v>
      </c>
      <c r="H19" s="966"/>
      <c r="I19" s="967">
        <f>IF(G19="-------","-------",K6-2.5)</f>
        <v>397.5</v>
      </c>
      <c r="J19" s="967"/>
      <c r="K19" s="106"/>
      <c r="L19" s="968" t="s">
        <v>393</v>
      </c>
      <c r="M19" s="969"/>
      <c r="N19" s="970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spans="1:28" ht="20.100000000000001" customHeight="1">
      <c r="A20" s="971" t="s">
        <v>445</v>
      </c>
      <c r="B20" s="972"/>
      <c r="C20" s="972"/>
      <c r="D20" s="972"/>
      <c r="E20" s="972"/>
      <c r="F20" s="973"/>
      <c r="G20" s="971">
        <f>(G12+G13)/2</f>
        <v>1</v>
      </c>
      <c r="H20" s="972"/>
      <c r="I20" s="967">
        <f>L17-7</f>
        <v>384</v>
      </c>
      <c r="J20" s="967"/>
      <c r="K20" s="106"/>
      <c r="L20" s="114" t="s">
        <v>371</v>
      </c>
      <c r="M20" s="974" t="s">
        <v>446</v>
      </c>
      <c r="N20" s="974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spans="1:28" ht="20.100000000000001" customHeight="1">
      <c r="A21" s="957" t="s">
        <v>447</v>
      </c>
      <c r="B21" s="957"/>
      <c r="C21" s="957"/>
      <c r="D21" s="957"/>
      <c r="E21" s="957"/>
      <c r="F21" s="957"/>
      <c r="G21" s="958">
        <f>L11</f>
        <v>2</v>
      </c>
      <c r="H21" s="958"/>
      <c r="I21" s="959">
        <f>(I11*2)+45</f>
        <v>775</v>
      </c>
      <c r="J21" s="959"/>
      <c r="K21" s="106"/>
      <c r="L21" s="112">
        <f>IF(Format!E7=1,"-------",IF(Format!E7=5,"-------",تسجيل2!H30))</f>
        <v>2</v>
      </c>
      <c r="M21" s="960" t="str">
        <f>IF(L21="-------","-------",تسجيل2!D11)</f>
        <v>4Χ220- 1Χ250</v>
      </c>
      <c r="N21" s="960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spans="1:28" ht="20.10000000000000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spans="1:28" ht="20.100000000000001" customHeight="1">
      <c r="A23" s="961" t="s">
        <v>448</v>
      </c>
      <c r="B23" s="962"/>
      <c r="C23" s="962"/>
      <c r="D23" s="962"/>
      <c r="E23" s="963"/>
      <c r="F23" s="67" t="s">
        <v>449</v>
      </c>
      <c r="G23" s="68"/>
      <c r="H23" s="961" t="s">
        <v>450</v>
      </c>
      <c r="I23" s="962"/>
      <c r="J23" s="962"/>
      <c r="K23" s="962"/>
      <c r="L23" s="963"/>
      <c r="M23" s="67" t="s">
        <v>371</v>
      </c>
      <c r="N23" s="119"/>
      <c r="O23" s="119"/>
      <c r="P23" s="120"/>
      <c r="Q23" s="120"/>
      <c r="R23" s="120"/>
      <c r="S23" s="146"/>
      <c r="T23" s="147" t="s">
        <v>451</v>
      </c>
      <c r="U23" s="146" t="s">
        <v>452</v>
      </c>
      <c r="V23" s="146" t="s">
        <v>453</v>
      </c>
      <c r="W23" s="146" t="s">
        <v>454</v>
      </c>
      <c r="X23" s="146" t="s">
        <v>452</v>
      </c>
      <c r="Y23" s="146" t="s">
        <v>453</v>
      </c>
      <c r="Z23" s="160"/>
      <c r="AA23" s="146">
        <v>1</v>
      </c>
      <c r="AB23" s="146">
        <v>2</v>
      </c>
    </row>
    <row r="24" spans="1:28" ht="20.100000000000001" customHeight="1">
      <c r="A24" s="69">
        <v>1</v>
      </c>
      <c r="B24" s="964" t="s">
        <v>455</v>
      </c>
      <c r="C24" s="964"/>
      <c r="D24" s="964"/>
      <c r="E24" s="964"/>
      <c r="F24" s="70">
        <f>L11</f>
        <v>2</v>
      </c>
      <c r="G24" s="71"/>
      <c r="H24" s="69">
        <v>16</v>
      </c>
      <c r="I24" s="964" t="s">
        <v>398</v>
      </c>
      <c r="J24" s="964"/>
      <c r="K24" s="964"/>
      <c r="L24" s="96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t="shared" ref="T24:T38" si="7">B24</f>
        <v>بالتة تثبيت البروفيل في الحائط</v>
      </c>
      <c r="U24" s="148"/>
      <c r="V24" s="148">
        <v>130</v>
      </c>
      <c r="W24" s="60" t="str">
        <f t="shared" ref="W24:W38" si="8">I24</f>
        <v xml:space="preserve">ماتور </v>
      </c>
      <c r="X24" s="148"/>
      <c r="Y24" s="148">
        <f>IF((تسعير!T31=Sheet2!A6),Sheet2!B57,IF((N6&lt;600),Sheet2!B33,IF(N6&gt;=600,Sheet2!B55,0)))</f>
        <v>8000</v>
      </c>
      <c r="Z24" s="151"/>
      <c r="AA24" s="60">
        <f>V24*F24</f>
        <v>260</v>
      </c>
      <c r="AB24" s="60">
        <f t="shared" ref="AB24:AB38" si="9">Y24*M24</f>
        <v>8000</v>
      </c>
    </row>
    <row r="25" spans="1:28" ht="20.100000000000001" customHeight="1">
      <c r="A25" s="72">
        <v>2</v>
      </c>
      <c r="B25" s="950" t="s">
        <v>456</v>
      </c>
      <c r="C25" s="950"/>
      <c r="D25" s="950"/>
      <c r="E25" s="950"/>
      <c r="F25" s="73">
        <f>L11</f>
        <v>2</v>
      </c>
      <c r="G25" s="71"/>
      <c r="H25" s="72">
        <v>17</v>
      </c>
      <c r="I25" s="950" t="s">
        <v>39</v>
      </c>
      <c r="J25" s="950"/>
      <c r="K25" s="950"/>
      <c r="L25" s="950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 xml:space="preserve">ريموت كنترول </v>
      </c>
      <c r="X25" s="148"/>
      <c r="Y25" s="148">
        <f>Sheet2!B34</f>
        <v>2000</v>
      </c>
      <c r="Z25" s="151"/>
      <c r="AA25" s="60">
        <f t="shared" ref="AA25:AA38" si="10">V25*F25</f>
        <v>44</v>
      </c>
      <c r="AB25" s="60">
        <f t="shared" si="9"/>
        <v>2000</v>
      </c>
    </row>
    <row r="26" spans="1:28" ht="20.100000000000001" customHeight="1">
      <c r="A26" s="72">
        <v>3</v>
      </c>
      <c r="B26" s="950" t="s">
        <v>457</v>
      </c>
      <c r="C26" s="950"/>
      <c r="D26" s="950"/>
      <c r="E26" s="950"/>
      <c r="F26" s="73">
        <f>M24</f>
        <v>1</v>
      </c>
      <c r="G26" s="71"/>
      <c r="H26" s="72">
        <v>18</v>
      </c>
      <c r="I26" s="950" t="s">
        <v>458</v>
      </c>
      <c r="J26" s="950"/>
      <c r="K26" s="950"/>
      <c r="L26" s="950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spans="1:28" ht="20.100000000000001" customHeight="1">
      <c r="A27" s="72">
        <v>4</v>
      </c>
      <c r="B27" s="947" t="s">
        <v>459</v>
      </c>
      <c r="C27" s="948"/>
      <c r="D27" s="948"/>
      <c r="E27" s="949"/>
      <c r="F27" s="73">
        <v>4</v>
      </c>
      <c r="G27" s="71"/>
      <c r="H27" s="72">
        <v>19</v>
      </c>
      <c r="I27" s="950" t="s">
        <v>460</v>
      </c>
      <c r="J27" s="950"/>
      <c r="K27" s="950"/>
      <c r="L27" s="950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spans="1:28" ht="20.100000000000001" customHeight="1">
      <c r="A28" s="72">
        <v>5</v>
      </c>
      <c r="B28" s="947" t="s">
        <v>461</v>
      </c>
      <c r="C28" s="948"/>
      <c r="D28" s="948"/>
      <c r="E28" s="949"/>
      <c r="F28" s="73">
        <f>L14</f>
        <v>5</v>
      </c>
      <c r="G28" s="71"/>
      <c r="H28" s="72">
        <v>20</v>
      </c>
      <c r="I28" s="950" t="s">
        <v>462</v>
      </c>
      <c r="J28" s="950"/>
      <c r="K28" s="950"/>
      <c r="L28" s="950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spans="1:28" ht="20.100000000000001" customHeight="1">
      <c r="A29" s="72">
        <v>6</v>
      </c>
      <c r="B29" s="947" t="s">
        <v>463</v>
      </c>
      <c r="C29" s="948"/>
      <c r="D29" s="948"/>
      <c r="E29" s="949"/>
      <c r="F29" s="73">
        <f>L11*2</f>
        <v>4</v>
      </c>
      <c r="G29" s="71"/>
      <c r="H29" s="72">
        <v>21</v>
      </c>
      <c r="I29" s="950" t="s">
        <v>40</v>
      </c>
      <c r="J29" s="950"/>
      <c r="K29" s="950"/>
      <c r="L29" s="950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spans="1:28" ht="20.100000000000001" customHeight="1">
      <c r="A30" s="72">
        <v>7</v>
      </c>
      <c r="B30" s="947" t="s">
        <v>464</v>
      </c>
      <c r="C30" s="948"/>
      <c r="D30" s="948"/>
      <c r="E30" s="949"/>
      <c r="F30" s="73">
        <f>L14*L11</f>
        <v>10</v>
      </c>
      <c r="G30" s="71"/>
      <c r="H30" s="72">
        <v>22</v>
      </c>
      <c r="I30" s="950" t="s">
        <v>41</v>
      </c>
      <c r="J30" s="950"/>
      <c r="K30" s="950"/>
      <c r="L30" s="950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spans="1:28" ht="20.100000000000001" customHeight="1">
      <c r="A31" s="72">
        <v>8</v>
      </c>
      <c r="B31" s="947" t="s">
        <v>465</v>
      </c>
      <c r="C31" s="948"/>
      <c r="D31" s="948"/>
      <c r="E31" s="949"/>
      <c r="F31" s="73">
        <f>(L14+N14)*2</f>
        <v>14</v>
      </c>
      <c r="G31" s="71"/>
      <c r="H31" s="72">
        <v>23</v>
      </c>
      <c r="I31" s="950" t="s">
        <v>466</v>
      </c>
      <c r="J31" s="950"/>
      <c r="K31" s="950"/>
      <c r="L31" s="950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 xml:space="preserve"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spans="1:28" ht="20.100000000000001" customHeight="1">
      <c r="A32" s="72">
        <v>9</v>
      </c>
      <c r="B32" s="947" t="s">
        <v>467</v>
      </c>
      <c r="C32" s="948"/>
      <c r="D32" s="948"/>
      <c r="E32" s="949"/>
      <c r="F32" s="73">
        <f>(L14+N14)*2</f>
        <v>14</v>
      </c>
      <c r="G32" s="71"/>
      <c r="H32" s="72">
        <v>24</v>
      </c>
      <c r="I32" s="950" t="s">
        <v>468</v>
      </c>
      <c r="J32" s="950"/>
      <c r="K32" s="950"/>
      <c r="L32" s="950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 xml:space="preserve"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spans="1:28" s="58" customFormat="1" ht="20.100000000000001" customHeight="1">
      <c r="A33" s="72">
        <v>10</v>
      </c>
      <c r="B33" s="947" t="s">
        <v>469</v>
      </c>
      <c r="C33" s="948"/>
      <c r="D33" s="948"/>
      <c r="E33" s="949"/>
      <c r="F33" s="73">
        <f>L11*3</f>
        <v>6</v>
      </c>
      <c r="G33" s="71"/>
      <c r="H33" s="72">
        <v>25</v>
      </c>
      <c r="I33" s="950" t="s">
        <v>470</v>
      </c>
      <c r="J33" s="950"/>
      <c r="K33" s="950"/>
      <c r="L33" s="950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 xml:space="preserve"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spans="1:28" s="58" customFormat="1" ht="20.100000000000001" customHeight="1">
      <c r="A34" s="72">
        <v>11</v>
      </c>
      <c r="B34" s="947" t="s">
        <v>471</v>
      </c>
      <c r="C34" s="948"/>
      <c r="D34" s="948"/>
      <c r="E34" s="949"/>
      <c r="F34" s="73">
        <f>L11*3</f>
        <v>6</v>
      </c>
      <c r="G34" s="71"/>
      <c r="H34" s="72">
        <v>26</v>
      </c>
      <c r="I34" s="950" t="s">
        <v>42</v>
      </c>
      <c r="J34" s="950"/>
      <c r="K34" s="950"/>
      <c r="L34" s="950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spans="1:28" s="58" customFormat="1" ht="20.100000000000001" customHeight="1">
      <c r="A35" s="72">
        <v>12</v>
      </c>
      <c r="B35" s="947" t="s">
        <v>472</v>
      </c>
      <c r="C35" s="948"/>
      <c r="D35" s="948"/>
      <c r="E35" s="949"/>
      <c r="F35" s="73" t="str">
        <f>IF(L11&gt;2,(L11-2)*2,"0")</f>
        <v>0</v>
      </c>
      <c r="G35" s="74"/>
      <c r="H35" s="72">
        <v>27</v>
      </c>
      <c r="I35" s="950" t="s">
        <v>43</v>
      </c>
      <c r="J35" s="950"/>
      <c r="K35" s="950"/>
      <c r="L35" s="950"/>
      <c r="M35" s="73">
        <f>M34</f>
        <v>0</v>
      </c>
      <c r="N35" s="119"/>
      <c r="O35" s="119"/>
      <c r="P35" s="121"/>
      <c r="Q35" s="121"/>
      <c r="R35" s="121"/>
      <c r="S35" s="121">
        <v>0.38500000000000001</v>
      </c>
      <c r="T35" s="61" t="str">
        <f t="shared" si="7"/>
        <v xml:space="preserve"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spans="1:28" s="58" customFormat="1" ht="20.100000000000001" customHeight="1">
      <c r="A36" s="72">
        <v>13</v>
      </c>
      <c r="B36" s="947" t="s">
        <v>473</v>
      </c>
      <c r="C36" s="948"/>
      <c r="D36" s="948"/>
      <c r="E36" s="949"/>
      <c r="F36" s="73" t="str">
        <f>IF(L11&gt;2,(L11-2)*L14,"0")</f>
        <v>0</v>
      </c>
      <c r="G36" s="74"/>
      <c r="H36" s="72">
        <v>28</v>
      </c>
      <c r="I36" s="950" t="s">
        <v>474</v>
      </c>
      <c r="J36" s="950"/>
      <c r="K36" s="950"/>
      <c r="L36" s="950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 xml:space="preserve">وصلة مداد صغير </v>
      </c>
      <c r="U36" s="148"/>
      <c r="V36" s="148">
        <v>30</v>
      </c>
      <c r="W36" s="60" t="str">
        <f t="shared" si="8"/>
        <v xml:space="preserve"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spans="1:28" s="58" customFormat="1" ht="20.100000000000001" customHeight="1">
      <c r="A37" s="72">
        <v>14</v>
      </c>
      <c r="B37" s="947" t="s">
        <v>475</v>
      </c>
      <c r="C37" s="948"/>
      <c r="D37" s="948"/>
      <c r="E37" s="949"/>
      <c r="F37" s="73">
        <f>M24</f>
        <v>1</v>
      </c>
      <c r="G37" s="74"/>
      <c r="H37" s="72">
        <v>29</v>
      </c>
      <c r="I37" s="950" t="s">
        <v>476</v>
      </c>
      <c r="J37" s="950"/>
      <c r="K37" s="950"/>
      <c r="L37" s="950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spans="1:28" s="58" customFormat="1" ht="18.600000000000001" customHeight="1">
      <c r="A38" s="72">
        <v>15</v>
      </c>
      <c r="B38" s="950" t="s">
        <v>44</v>
      </c>
      <c r="C38" s="950"/>
      <c r="D38" s="950"/>
      <c r="E38" s="950"/>
      <c r="F38" s="73">
        <f>تسجيل1!C21</f>
        <v>20</v>
      </c>
      <c r="G38" s="74"/>
      <c r="H38" s="72">
        <v>30</v>
      </c>
      <c r="I38" s="950" t="s">
        <v>477</v>
      </c>
      <c r="J38" s="950"/>
      <c r="K38" s="950"/>
      <c r="L38" s="950"/>
      <c r="M38" s="73">
        <f>IF((تسعير!T31=Sheet2!A6),0,(I11*4)/100)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spans="1:28" s="58" customFormat="1" ht="15.6" customHeigh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7">
        <f>SUM(AA24:AB38)</f>
        <v>18356.099999999999</v>
      </c>
      <c r="AB39" s="937"/>
    </row>
    <row r="40" spans="1:28" s="58" customFormat="1" ht="20.45" customHeight="1">
      <c r="A40" s="951" t="s">
        <v>478</v>
      </c>
      <c r="B40" s="952"/>
      <c r="C40" s="952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7"/>
      <c r="AB40" s="937"/>
    </row>
    <row r="41" spans="1:28" s="58" customFormat="1" ht="18.75" customHeight="1">
      <c r="A41" s="938" t="str">
        <f>IF(Format!I5=1,"-------",IF(Format!I5=2,Format!I3,Format!I4))</f>
        <v xml:space="preserve">صونفي </v>
      </c>
      <c r="B41" s="939"/>
      <c r="C41" s="940"/>
      <c r="D41" s="81"/>
      <c r="E41" s="81"/>
      <c r="F41" s="76"/>
      <c r="G41" s="68"/>
      <c r="H41" s="75"/>
      <c r="I41" s="81"/>
      <c r="J41" s="81"/>
      <c r="K41" s="81"/>
      <c r="L41" s="953" t="s">
        <v>386</v>
      </c>
      <c r="M41" s="954"/>
      <c r="N41" s="955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6">
        <f>AA39+X22+U8</f>
        <v>46515.205284144329</v>
      </c>
      <c r="AB41" s="956"/>
    </row>
    <row r="42" spans="1:28" s="58" customFormat="1" ht="13.9" customHeight="1">
      <c r="A42" s="938"/>
      <c r="B42" s="939"/>
      <c r="C42" s="940"/>
      <c r="D42" s="10"/>
      <c r="E42" s="10"/>
      <c r="F42" s="10"/>
      <c r="G42" s="10"/>
      <c r="H42" s="10"/>
      <c r="I42" s="10"/>
      <c r="J42" s="10"/>
      <c r="K42" s="10"/>
      <c r="L42" s="916" t="str">
        <f>IF(Format!B5=1,Format!B2,IF(Format!B5=2,Format!B3,تسجيل1!F4))</f>
        <v>بيج  Ral 1013</v>
      </c>
      <c r="M42" s="917"/>
      <c r="N42" s="918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spans="1:28" s="58" customFormat="1" ht="15" customHeight="1">
      <c r="A43" s="919" t="str">
        <f>IF(Format!P5=1,"Τηλεχειρισμος",IF(Format!P5=2,"-------","Διακοπτης"))</f>
        <v>Τηλεχειρισμος</v>
      </c>
      <c r="B43" s="920"/>
      <c r="C43" s="921"/>
      <c r="D43" s="10"/>
      <c r="E43" s="10"/>
      <c r="F43" s="10"/>
      <c r="G43" s="10"/>
      <c r="H43" s="10"/>
      <c r="I43" s="10"/>
      <c r="J43" s="10"/>
      <c r="K43" s="10"/>
      <c r="L43" s="922" t="s">
        <v>388</v>
      </c>
      <c r="M43" s="923"/>
      <c r="N43" s="924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spans="1:28" s="58" customFormat="1" ht="18.600000000000001" customHeigh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5" t="str">
        <f>IF(Format!C8=1,Format!C2,IF(Format!C8=2,Format!C3,IF(Format!C8=3,Format!C4,IF(Format!C8=4,Format!C5,IF(Format!C8=5,Format!C6,تسجيل1!F5)))))</f>
        <v>بيج  Ral 1013</v>
      </c>
      <c r="M44" s="926"/>
      <c r="N44" s="927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 spans="1:28">
      <c r="S45" s="151"/>
      <c r="T45" s="154"/>
      <c r="Z45" s="151"/>
      <c r="AA45" s="60"/>
      <c r="AB45" s="60"/>
    </row>
    <row r="46" spans="1:28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 spans="1:28">
      <c r="T47" s="158"/>
      <c r="U47" s="159"/>
      <c r="V47" s="159"/>
      <c r="W47" s="159"/>
      <c r="X47" s="159"/>
      <c r="Y47" s="159"/>
      <c r="Z47" s="159"/>
    </row>
    <row r="48" spans="1:2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pans="1:28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pans="1:28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pans="1:28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pans="1:28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pans="1:28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pans="1:28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pans="1:28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pans="1:28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pans="1:28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pans="1:2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pans="1:28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pans="1:28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pans="1:28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pans="1:28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pans="1:28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pans="1:28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pans="1:28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pans="1:28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pans="1:2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pans="1:28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pans="1:28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pans="1:28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pans="1:28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pans="1:28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pans="1:28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pans="1:28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pans="1:28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pans="1:28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pans="1:2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pans="1:28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pans="1:28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pans="1:28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pans="1:28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pans="1:28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pans="1:28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pans="1:28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pans="1:28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pans="1:2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pans="1:28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pans="1:28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pans="1:28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pans="1:28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pans="1:28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pans="1:28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pans="1:28" s="58" customFormat="1">
      <c r="A96" s="928" t="str">
        <f>A3</f>
        <v xml:space="preserve">اسم العميل </v>
      </c>
      <c r="B96" s="929"/>
      <c r="C96" s="929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pans="1:28" s="58" customFormat="1">
      <c r="A97" s="166"/>
      <c r="B97" s="167"/>
      <c r="C97" s="167"/>
      <c r="D97" s="167"/>
      <c r="E97" s="168" t="str">
        <f>E8</f>
        <v xml:space="preserve"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0">
        <f>N8</f>
        <v>372</v>
      </c>
      <c r="N97" s="931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pans="1:28" s="58" customFormat="1">
      <c r="A98" s="170"/>
      <c r="B98" s="171"/>
      <c r="C98" s="171"/>
      <c r="D98" s="171"/>
      <c r="E98" s="170" t="str">
        <f>L43</f>
        <v xml:space="preserve">لون البي في سي </v>
      </c>
      <c r="F98" s="171"/>
      <c r="G98" s="171"/>
      <c r="H98" s="171"/>
      <c r="I98" s="178"/>
      <c r="J98" s="932" t="str">
        <f>L44</f>
        <v>بيج  Ral 1013</v>
      </c>
      <c r="K98" s="933"/>
      <c r="L98" s="933"/>
      <c r="M98" s="933"/>
      <c r="N98" s="934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 count="105"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style="10" customWidth="1"/>
    <col min="2" max="2" width="18" style="10" customWidth="1"/>
    <col min="3" max="3" width="17.28515625" style="10" customWidth="1"/>
    <col min="4" max="4" width="14.7109375" style="10" customWidth="1"/>
    <col min="5" max="5" width="15.85546875" style="10" customWidth="1"/>
    <col min="6" max="6" width="10" style="10" customWidth="1"/>
    <col min="7" max="9" width="9.140625" style="10"/>
    <col min="10" max="10" width="7.42578125" style="10" customWidth="1"/>
    <col min="11" max="11" width="9.5703125" style="10" customWidth="1"/>
    <col min="12" max="12" width="11.7109375" style="10" customWidth="1"/>
    <col min="13" max="13" width="9.140625" style="10"/>
    <col min="14" max="14" width="23.28515625" style="1" customWidth="1"/>
    <col min="15" max="15" width="22.28515625" style="10" customWidth="1"/>
    <col min="16" max="16" width="13.7109375" style="10" customWidth="1"/>
    <col min="17" max="16384" width="9.140625" style="10"/>
  </cols>
  <sheetData>
    <row r="1" spans="1:16">
      <c r="A1" s="20" t="s">
        <v>419</v>
      </c>
      <c r="B1" s="20" t="s">
        <v>386</v>
      </c>
      <c r="C1" s="20" t="s">
        <v>388</v>
      </c>
      <c r="D1" s="20" t="s">
        <v>391</v>
      </c>
      <c r="E1" s="20" t="s">
        <v>392</v>
      </c>
      <c r="F1" s="20" t="s">
        <v>396</v>
      </c>
      <c r="G1" s="20" t="s">
        <v>401</v>
      </c>
      <c r="H1" s="20" t="s">
        <v>480</v>
      </c>
      <c r="I1" s="20" t="s">
        <v>398</v>
      </c>
      <c r="J1" s="1109" t="s">
        <v>481</v>
      </c>
      <c r="K1" s="1110"/>
      <c r="L1" s="1110"/>
      <c r="M1" s="1111"/>
      <c r="N1" s="20" t="s">
        <v>482</v>
      </c>
      <c r="O1" s="20" t="s">
        <v>398</v>
      </c>
      <c r="P1" s="20" t="s">
        <v>483</v>
      </c>
    </row>
    <row r="2" spans="1:16">
      <c r="A2" s="21" t="s">
        <v>484</v>
      </c>
      <c r="B2" s="21" t="s">
        <v>485</v>
      </c>
      <c r="C2" s="21" t="s">
        <v>485</v>
      </c>
      <c r="D2" s="21" t="s">
        <v>486</v>
      </c>
      <c r="E2" s="21" t="s">
        <v>487</v>
      </c>
      <c r="F2" s="21" t="s">
        <v>488</v>
      </c>
      <c r="G2" s="21" t="s">
        <v>488</v>
      </c>
      <c r="H2" s="21" t="s">
        <v>488</v>
      </c>
      <c r="I2" s="21" t="s">
        <v>487</v>
      </c>
      <c r="J2" s="4" t="s">
        <v>412</v>
      </c>
      <c r="K2" s="1" t="s">
        <v>413</v>
      </c>
      <c r="L2" s="1" t="s">
        <v>489</v>
      </c>
      <c r="M2" s="18" t="s">
        <v>393</v>
      </c>
      <c r="N2" s="21" t="s">
        <v>490</v>
      </c>
      <c r="O2" s="21" t="s">
        <v>491</v>
      </c>
      <c r="P2" s="21" t="s">
        <v>488</v>
      </c>
    </row>
    <row r="3" spans="1:16">
      <c r="A3" s="21" t="s">
        <v>492</v>
      </c>
      <c r="B3" s="21" t="s">
        <v>493</v>
      </c>
      <c r="C3" s="21" t="s">
        <v>493</v>
      </c>
      <c r="D3" s="21" t="s">
        <v>494</v>
      </c>
      <c r="E3" s="21" t="s">
        <v>495</v>
      </c>
      <c r="F3" s="21" t="s">
        <v>487</v>
      </c>
      <c r="G3" s="21" t="s">
        <v>487</v>
      </c>
      <c r="H3" s="21" t="s">
        <v>487</v>
      </c>
      <c r="I3" s="21" t="s">
        <v>496</v>
      </c>
      <c r="J3" s="49">
        <v>-2</v>
      </c>
      <c r="K3" s="10">
        <v>-5</v>
      </c>
      <c r="L3" s="10">
        <v>-5</v>
      </c>
      <c r="M3" s="18">
        <v>-2</v>
      </c>
      <c r="N3" s="21" t="s">
        <v>497</v>
      </c>
      <c r="O3" s="21" t="s">
        <v>498</v>
      </c>
      <c r="P3" s="21" t="s">
        <v>487</v>
      </c>
    </row>
    <row r="4" spans="1:16">
      <c r="A4" s="21" t="s">
        <v>499</v>
      </c>
      <c r="B4" s="21" t="s">
        <v>500</v>
      </c>
      <c r="C4" s="21" t="s">
        <v>501</v>
      </c>
      <c r="D4" s="21">
        <v>1</v>
      </c>
      <c r="E4" s="21" t="s">
        <v>502</v>
      </c>
      <c r="F4" s="21">
        <v>1</v>
      </c>
      <c r="G4" s="21">
        <v>1</v>
      </c>
      <c r="H4" s="21">
        <v>2</v>
      </c>
      <c r="I4" s="21" t="s">
        <v>503</v>
      </c>
      <c r="J4" s="49">
        <v>-1</v>
      </c>
      <c r="K4" s="10">
        <v>-4</v>
      </c>
      <c r="L4" s="10">
        <v>-4</v>
      </c>
      <c r="M4" s="18">
        <v>-1</v>
      </c>
      <c r="N4" s="21" t="s">
        <v>504</v>
      </c>
      <c r="O4" s="21">
        <v>1</v>
      </c>
      <c r="P4" s="21" t="s">
        <v>505</v>
      </c>
    </row>
    <row r="5" spans="1:16">
      <c r="A5" s="21" t="s">
        <v>506</v>
      </c>
      <c r="B5" s="21">
        <v>1</v>
      </c>
      <c r="C5" s="21" t="s">
        <v>507</v>
      </c>
      <c r="D5" s="21"/>
      <c r="E5" s="21" t="s">
        <v>508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509</v>
      </c>
      <c r="O5" s="21"/>
      <c r="P5" s="21">
        <v>1</v>
      </c>
    </row>
    <row r="6" spans="1:16">
      <c r="A6" s="21" t="s">
        <v>510</v>
      </c>
      <c r="B6" s="21"/>
      <c r="C6" s="21" t="s">
        <v>511</v>
      </c>
      <c r="D6" s="21"/>
      <c r="E6" s="21" t="s">
        <v>512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513</v>
      </c>
      <c r="O6" s="21"/>
      <c r="P6" s="21"/>
    </row>
    <row r="7" spans="1:16">
      <c r="A7" s="21">
        <v>2</v>
      </c>
      <c r="B7" s="21"/>
      <c r="C7" s="21" t="s">
        <v>500</v>
      </c>
      <c r="D7" s="21"/>
      <c r="E7" s="21" t="s">
        <v>514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515</v>
      </c>
      <c r="O7" s="50"/>
      <c r="P7" s="21"/>
    </row>
    <row r="8" spans="1:16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 spans="1:16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 spans="1:16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 spans="1:16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 spans="1:16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 spans="1:16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 spans="1:16">
      <c r="A16" s="1"/>
      <c r="B16" s="1"/>
      <c r="C16" s="1"/>
      <c r="D16" s="1"/>
      <c r="E16" s="1"/>
      <c r="F16" s="1"/>
      <c r="G16" s="1"/>
      <c r="H16" s="1"/>
      <c r="I16" s="1"/>
    </row>
    <row r="17" spans="1:24">
      <c r="A17" s="23" t="s">
        <v>516</v>
      </c>
      <c r="B17" s="24" t="str">
        <f>IF(A7=1,A2,IF(A7=2,A3,IF(A7=3,A4,IF(A7=4,A5,IF(A7=5,A6,IF(A7=6,A7,IF(A7=7,A8,IF(A7=8,A9,IF(A7=9,A10,IF(A7=10,A11,IF(A7=11,A12,IF(A7=12,A13,A14))))))))))))</f>
        <v>EVO 150X70</v>
      </c>
      <c r="C17" s="1112" t="s">
        <v>517</v>
      </c>
      <c r="D17" s="1113"/>
      <c r="E17" s="1113"/>
      <c r="F17" s="1114"/>
      <c r="G17" s="1"/>
      <c r="H17" s="1"/>
      <c r="I17" s="1"/>
    </row>
    <row r="18" spans="1:24">
      <c r="A18" s="26" t="s">
        <v>518</v>
      </c>
      <c r="B18" s="27">
        <f>تسجيل2!C7</f>
        <v>400</v>
      </c>
      <c r="C18" s="28" t="s">
        <v>519</v>
      </c>
      <c r="D18" s="28"/>
      <c r="E18" s="28"/>
      <c r="F18" s="25"/>
      <c r="G18" s="1"/>
      <c r="H18" s="1"/>
      <c r="I18" s="1"/>
    </row>
    <row r="19" spans="1:24">
      <c r="A19" s="29" t="s">
        <v>520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 spans="1:24">
      <c r="A20" s="1"/>
      <c r="B20" s="1"/>
      <c r="C20" s="1"/>
      <c r="D20" s="1"/>
      <c r="E20" s="1"/>
      <c r="F20" s="1"/>
      <c r="G20" s="1"/>
      <c r="H20" s="1"/>
      <c r="I20" s="1"/>
    </row>
    <row r="21" spans="1:24">
      <c r="A21" s="1"/>
      <c r="B21" s="1"/>
      <c r="C21" s="1"/>
      <c r="D21" s="1"/>
      <c r="E21" s="1"/>
      <c r="F21" s="1"/>
      <c r="G21" s="1"/>
      <c r="H21" s="1"/>
      <c r="I21" s="1"/>
    </row>
    <row r="22" spans="1:24">
      <c r="A22" s="1"/>
      <c r="B22" s="1"/>
      <c r="C22" s="1"/>
      <c r="D22" s="1"/>
      <c r="E22" s="1"/>
      <c r="F22" s="1"/>
      <c r="G22" s="1"/>
      <c r="H22" s="1"/>
      <c r="I22" s="1"/>
    </row>
    <row r="23" spans="1:24">
      <c r="A23" s="1"/>
      <c r="B23" s="1"/>
      <c r="C23" s="1"/>
      <c r="D23" s="1"/>
      <c r="E23" s="1"/>
      <c r="F23" s="1"/>
      <c r="G23" s="1"/>
      <c r="H23" s="1"/>
      <c r="I23" s="1"/>
    </row>
    <row r="24" spans="1:24">
      <c r="A24" s="1"/>
      <c r="B24" s="1"/>
      <c r="C24" s="1"/>
      <c r="D24" s="1"/>
      <c r="E24" s="1"/>
      <c r="F24" s="1"/>
      <c r="G24" s="1"/>
      <c r="H24" s="1"/>
      <c r="I24" s="1"/>
    </row>
    <row r="25" spans="1:24">
      <c r="A25" s="1"/>
      <c r="B25" s="1"/>
      <c r="C25" s="1"/>
      <c r="D25" s="1"/>
      <c r="E25" s="1"/>
      <c r="F25" s="1"/>
      <c r="G25" s="1"/>
      <c r="H25" s="1"/>
      <c r="I25" s="1"/>
    </row>
    <row r="29" spans="1:24">
      <c r="A29" s="1115" t="s">
        <v>521</v>
      </c>
      <c r="B29" s="1116"/>
      <c r="C29" s="1116"/>
      <c r="D29" s="1116"/>
      <c r="E29" s="1116"/>
      <c r="F29" s="1116"/>
      <c r="G29" s="1116"/>
      <c r="H29" s="1117"/>
      <c r="I29" s="1115" t="s">
        <v>522</v>
      </c>
      <c r="J29" s="1116"/>
      <c r="K29" s="1116"/>
      <c r="L29" s="1116"/>
      <c r="M29" s="1116"/>
      <c r="N29" s="1116"/>
      <c r="O29" s="1116"/>
      <c r="P29" s="1117"/>
      <c r="Q29" s="1115" t="s">
        <v>523</v>
      </c>
      <c r="R29" s="1116"/>
      <c r="S29" s="1116"/>
      <c r="T29" s="1116"/>
      <c r="U29" s="1116"/>
      <c r="V29" s="1116"/>
      <c r="W29" s="1116"/>
      <c r="X29" s="1117"/>
    </row>
    <row r="30" spans="1:24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 spans="1:24">
      <c r="A31" s="1103" t="s">
        <v>524</v>
      </c>
      <c r="B31" s="1104"/>
      <c r="C31" s="36">
        <f>B19</f>
        <v>400</v>
      </c>
      <c r="D31" s="34" t="s">
        <v>525</v>
      </c>
      <c r="E31" s="36">
        <f>H34</f>
        <v>5</v>
      </c>
      <c r="F31" s="34"/>
      <c r="G31" s="34"/>
      <c r="H31" s="35"/>
      <c r="I31" s="1103" t="s">
        <v>524</v>
      </c>
      <c r="J31" s="1104"/>
      <c r="K31" s="36">
        <f>B19</f>
        <v>400</v>
      </c>
      <c r="L31" s="34" t="s">
        <v>525</v>
      </c>
      <c r="M31" s="36">
        <f>P34</f>
        <v>5</v>
      </c>
      <c r="N31" s="15"/>
      <c r="O31" s="34"/>
      <c r="P31" s="35"/>
      <c r="Q31" s="1105" t="s">
        <v>524</v>
      </c>
      <c r="R31" s="1106"/>
      <c r="S31" s="57">
        <f>B19</f>
        <v>400</v>
      </c>
      <c r="T31" s="47" t="s">
        <v>526</v>
      </c>
      <c r="U31" s="57">
        <f>INT((S31-4)/25)+1</f>
        <v>16</v>
      </c>
      <c r="V31" s="47"/>
      <c r="W31" s="47"/>
      <c r="X31" s="48"/>
    </row>
    <row r="32" spans="1:24">
      <c r="A32" s="1107" t="s">
        <v>525</v>
      </c>
      <c r="B32" s="1108"/>
      <c r="C32" s="1108"/>
      <c r="D32" s="34"/>
      <c r="E32" s="34"/>
      <c r="F32" s="38"/>
      <c r="G32" s="34"/>
      <c r="H32" s="35"/>
      <c r="I32" s="1107" t="s">
        <v>527</v>
      </c>
      <c r="J32" s="1108"/>
      <c r="K32" s="1108"/>
      <c r="L32" s="34"/>
      <c r="M32" s="34"/>
      <c r="N32" s="54"/>
      <c r="O32" s="34"/>
      <c r="P32" s="35"/>
    </row>
    <row r="33" spans="1:16">
      <c r="A33" s="39" t="s">
        <v>528</v>
      </c>
      <c r="B33" s="40" t="s">
        <v>529</v>
      </c>
      <c r="C33" s="40" t="s">
        <v>530</v>
      </c>
      <c r="D33" s="34"/>
      <c r="E33" s="40" t="s">
        <v>528</v>
      </c>
      <c r="F33" s="40" t="s">
        <v>529</v>
      </c>
      <c r="G33" s="40" t="s">
        <v>530</v>
      </c>
      <c r="H33" s="35"/>
      <c r="I33" s="39" t="s">
        <v>528</v>
      </c>
      <c r="J33" s="40" t="s">
        <v>529</v>
      </c>
      <c r="K33" s="40" t="s">
        <v>530</v>
      </c>
      <c r="L33" s="34"/>
      <c r="M33" s="40" t="s">
        <v>528</v>
      </c>
      <c r="N33" s="37" t="s">
        <v>529</v>
      </c>
      <c r="O33" s="40" t="s">
        <v>530</v>
      </c>
      <c r="P33" s="35"/>
    </row>
    <row r="34" spans="1:16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531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531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 spans="1:16">
      <c r="A35" s="39">
        <v>2</v>
      </c>
      <c r="B35" s="43">
        <f>C34+1</f>
        <v>153</v>
      </c>
      <c r="C35" s="43">
        <v>215</v>
      </c>
      <c r="D35" s="41">
        <f t="shared" ref="D35:D52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t="shared" ref="L35:L52" si="1">K35+1</f>
        <v>242</v>
      </c>
      <c r="M35" s="34"/>
      <c r="N35" s="15"/>
      <c r="O35" s="34"/>
      <c r="P35" s="42"/>
    </row>
    <row r="36" spans="1:16">
      <c r="A36" s="33">
        <v>3</v>
      </c>
      <c r="B36" s="43">
        <f t="shared" ref="B36:B52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t="shared" ref="J36:J52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 spans="1:16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 spans="1:16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 spans="1:16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532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532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 spans="1:16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 spans="1:16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 spans="1:16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 spans="1:16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 spans="1:16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533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533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 spans="1:16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 spans="1:1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 spans="1:16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 spans="1:16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534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534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 spans="1:16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 spans="1:16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 spans="1:16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 spans="1:16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535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535</v>
      </c>
    </row>
    <row r="53" spans="1:16">
      <c r="A53" s="34"/>
      <c r="B53" s="34"/>
      <c r="C53" s="34"/>
      <c r="D53" s="34"/>
      <c r="E53" s="34"/>
      <c r="F53" s="34"/>
      <c r="G53" s="34"/>
      <c r="H53" s="34"/>
    </row>
    <row r="54" spans="1:16">
      <c r="A54" s="34"/>
      <c r="B54" s="34"/>
      <c r="C54" s="34"/>
      <c r="D54" s="34"/>
      <c r="E54" s="34"/>
      <c r="F54" s="34"/>
      <c r="G54" s="34"/>
      <c r="H54" s="34"/>
    </row>
    <row r="79" spans="1:8">
      <c r="A79" s="34"/>
      <c r="B79" s="34"/>
      <c r="C79" s="34"/>
      <c r="D79" s="34"/>
      <c r="E79" s="34"/>
      <c r="F79" s="34"/>
      <c r="G79" s="34"/>
      <c r="H79" s="34"/>
    </row>
    <row r="80" spans="1:8">
      <c r="A80" s="34"/>
      <c r="B80" s="34"/>
      <c r="C80" s="34"/>
      <c r="D80" s="34"/>
      <c r="E80" s="34"/>
      <c r="F80" s="34"/>
      <c r="G80" s="34"/>
      <c r="H80" s="34"/>
    </row>
    <row r="82" spans="1:8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 count="10"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style="10"/>
    <col min="3" max="3" width="25.85546875" style="10" customWidth="1"/>
    <col min="4" max="4" width="11.42578125" style="1" customWidth="1"/>
    <col min="5" max="5" width="11.7109375" style="1" customWidth="1"/>
    <col min="6" max="6" width="12" style="1" customWidth="1"/>
    <col min="7" max="7" width="10.5703125" style="1" customWidth="1"/>
    <col min="8" max="9" width="9.140625" style="10"/>
    <col min="10" max="10" width="12" style="10" customWidth="1"/>
    <col min="11" max="11" width="9.140625" style="1"/>
    <col min="12" max="16384" width="9.140625" style="10"/>
  </cols>
  <sheetData>
    <row r="1" spans="1:18">
      <c r="A1" s="1118" t="s">
        <v>536</v>
      </c>
      <c r="B1" s="1119"/>
      <c r="C1" s="17"/>
      <c r="D1" s="3" t="s">
        <v>537</v>
      </c>
      <c r="E1" s="3" t="s">
        <v>538</v>
      </c>
      <c r="F1" s="3" t="s">
        <v>539</v>
      </c>
      <c r="G1" s="3" t="s">
        <v>540</v>
      </c>
      <c r="H1" s="7" t="s">
        <v>541</v>
      </c>
    </row>
    <row r="2" spans="1:18">
      <c r="A2" s="1120"/>
      <c r="B2" s="1121"/>
      <c r="C2" s="10" t="s">
        <v>542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 spans="1:18">
      <c r="A3" s="1120"/>
      <c r="B3" s="1121"/>
      <c r="C3" s="10" t="s">
        <v>543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 spans="1:18">
      <c r="A4" s="1120"/>
      <c r="B4" s="1121"/>
      <c r="C4" s="10" t="s">
        <v>544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 spans="1:18">
      <c r="A5" s="1120"/>
      <c r="B5" s="1121"/>
      <c r="H5" s="18"/>
      <c r="K5" s="1" t="s">
        <v>545</v>
      </c>
      <c r="L5" s="10" t="s">
        <v>546</v>
      </c>
    </row>
    <row r="6" spans="1:18">
      <c r="A6" s="1120"/>
      <c r="B6" s="1121"/>
      <c r="C6" s="10" t="s">
        <v>547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548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 spans="1:18">
      <c r="A7" s="1122"/>
      <c r="B7" s="1123"/>
      <c r="C7" s="19" t="s">
        <v>549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 spans="1:18">
      <c r="A10" s="1124" t="s">
        <v>550</v>
      </c>
      <c r="B10" s="1125"/>
      <c r="C10" s="17"/>
      <c r="D10" s="3" t="s">
        <v>537</v>
      </c>
      <c r="E10" s="3" t="s">
        <v>538</v>
      </c>
      <c r="F10" s="3" t="s">
        <v>539</v>
      </c>
      <c r="G10" s="3" t="s">
        <v>540</v>
      </c>
      <c r="H10" s="7" t="s">
        <v>541</v>
      </c>
    </row>
    <row r="11" spans="1:18">
      <c r="A11" s="1126"/>
      <c r="B11" s="1127"/>
      <c r="C11" s="10" t="s">
        <v>542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 spans="1:18">
      <c r="A12" s="1126"/>
      <c r="B12" s="1127"/>
      <c r="C12" s="10" t="s">
        <v>543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 spans="1:18">
      <c r="A13" s="1126"/>
      <c r="B13" s="1127"/>
      <c r="C13" s="10" t="s">
        <v>544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545</v>
      </c>
      <c r="L13" s="10" t="s">
        <v>546</v>
      </c>
    </row>
    <row r="14" spans="1:18">
      <c r="A14" s="1126"/>
      <c r="B14" s="1127"/>
      <c r="H14" s="18"/>
      <c r="J14" s="10" t="s">
        <v>548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 spans="1:18">
      <c r="A15" s="1126"/>
      <c r="B15" s="1127"/>
      <c r="C15" s="10" t="s">
        <v>547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520</v>
      </c>
      <c r="R15" s="10" t="s">
        <v>551</v>
      </c>
    </row>
    <row r="16" spans="1:18">
      <c r="A16" s="1128"/>
      <c r="B16" s="1129"/>
      <c r="C16" s="19" t="s">
        <v>549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 spans="1:12">
      <c r="A19" s="1130" t="s">
        <v>552</v>
      </c>
      <c r="B19" s="1131"/>
      <c r="C19" s="17"/>
      <c r="D19" s="3" t="s">
        <v>537</v>
      </c>
      <c r="E19" s="3" t="s">
        <v>538</v>
      </c>
      <c r="F19" s="3" t="s">
        <v>539</v>
      </c>
      <c r="G19" s="3" t="s">
        <v>540</v>
      </c>
      <c r="H19" s="7" t="s">
        <v>541</v>
      </c>
    </row>
    <row r="20" spans="1:12">
      <c r="A20" s="1132"/>
      <c r="B20" s="1133"/>
      <c r="C20" s="10" t="s">
        <v>542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 spans="1:12">
      <c r="A21" s="1132"/>
      <c r="B21" s="1133"/>
      <c r="C21" s="10" t="s">
        <v>543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 spans="1:12">
      <c r="A22" s="1132"/>
      <c r="B22" s="1133"/>
      <c r="C22" s="10" t="s">
        <v>544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545</v>
      </c>
      <c r="L22" s="10" t="s">
        <v>546</v>
      </c>
    </row>
    <row r="23" spans="1:12">
      <c r="A23" s="1132"/>
      <c r="B23" s="1133"/>
      <c r="H23" s="18"/>
      <c r="J23" s="10" t="s">
        <v>548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 spans="1:12">
      <c r="A24" s="1132"/>
      <c r="B24" s="1133"/>
      <c r="C24" s="10" t="s">
        <v>547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 spans="1:12">
      <c r="A25" s="1134"/>
      <c r="B25" s="1135"/>
      <c r="C25" s="19" t="s">
        <v>549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 count="3">
    <mergeCell ref="A1:B7"/>
    <mergeCell ref="A10:B16"/>
    <mergeCell ref="A19:B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style="10" customWidth="1"/>
    <col min="2" max="2" width="12" style="1" customWidth="1"/>
    <col min="3" max="9" width="9.140625" style="10"/>
    <col min="10" max="10" width="9.5703125" style="10" customWidth="1"/>
    <col min="11" max="11" width="20.5703125" style="10" customWidth="1"/>
    <col min="12" max="12" width="9.140625" style="1"/>
    <col min="13" max="14" width="9.140625" style="10"/>
    <col min="15" max="15" width="32.5703125" style="10" customWidth="1"/>
    <col min="16" max="16384" width="9.140625" style="10"/>
  </cols>
  <sheetData>
    <row r="1" spans="1:15">
      <c r="A1" s="1"/>
    </row>
    <row r="2" spans="1:15">
      <c r="A2" s="1"/>
      <c r="J2" s="1" t="s">
        <v>437</v>
      </c>
      <c r="K2" s="1" t="s">
        <v>553</v>
      </c>
      <c r="O2" s="1" t="s">
        <v>554</v>
      </c>
    </row>
    <row r="3" spans="1:15">
      <c r="A3" s="1" t="s">
        <v>419</v>
      </c>
      <c r="B3" s="1" t="str">
        <f>'Format (2)'!B17</f>
        <v>EVO 150X70</v>
      </c>
      <c r="J3" s="15">
        <v>3</v>
      </c>
      <c r="K3" s="15">
        <v>2</v>
      </c>
    </row>
    <row r="4" spans="1:15">
      <c r="A4" s="1" t="s">
        <v>555</v>
      </c>
      <c r="B4" s="1">
        <f>تسجيل2!C7</f>
        <v>400</v>
      </c>
      <c r="J4" s="15">
        <v>4</v>
      </c>
      <c r="K4" s="15">
        <v>2</v>
      </c>
    </row>
    <row r="5" spans="1:15">
      <c r="A5" s="1" t="s">
        <v>545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 spans="1:15">
      <c r="A6" s="1" t="s">
        <v>437</v>
      </c>
      <c r="B6" s="1">
        <f>'Cutting Ro-2'!L14</f>
        <v>5</v>
      </c>
      <c r="C6" s="1" t="s">
        <v>439</v>
      </c>
      <c r="D6" s="11">
        <v>2</v>
      </c>
      <c r="J6" s="15">
        <v>6</v>
      </c>
      <c r="K6" s="15">
        <v>3</v>
      </c>
    </row>
    <row r="7" spans="1:15">
      <c r="A7" s="1"/>
      <c r="J7" s="15">
        <v>7</v>
      </c>
      <c r="K7" s="15">
        <v>3</v>
      </c>
    </row>
    <row r="8" spans="1:15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 spans="1:15">
      <c r="A9" s="1" t="s">
        <v>556</v>
      </c>
      <c r="B9" s="1">
        <f>O8</f>
        <v>3</v>
      </c>
      <c r="J9" s="15">
        <v>9</v>
      </c>
      <c r="K9" s="15">
        <v>4</v>
      </c>
    </row>
    <row r="10" spans="1:15">
      <c r="A10" s="12" t="s">
        <v>557</v>
      </c>
      <c r="B10" s="13">
        <f>(((B4-(تسجيل2!C22*2))/200)+1)*B9</f>
        <v>7.5</v>
      </c>
      <c r="C10" s="895" t="s">
        <v>558</v>
      </c>
      <c r="D10" s="895"/>
      <c r="E10" s="14">
        <f>ROUND(B10,0)</f>
        <v>8</v>
      </c>
      <c r="J10" s="15">
        <v>10</v>
      </c>
      <c r="K10" s="15">
        <v>4</v>
      </c>
    </row>
    <row r="11" spans="1:15">
      <c r="A11" s="12" t="s">
        <v>559</v>
      </c>
      <c r="B11" s="13">
        <f>E10/B9</f>
        <v>2.6666666666666665</v>
      </c>
      <c r="C11" s="895" t="s">
        <v>558</v>
      </c>
      <c r="D11" s="895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 spans="1:15">
      <c r="A12" s="12" t="s">
        <v>560</v>
      </c>
      <c r="B12" s="14">
        <f>E11*B9</f>
        <v>9</v>
      </c>
      <c r="J12" s="15">
        <v>12</v>
      </c>
      <c r="K12" s="15">
        <v>5</v>
      </c>
    </row>
    <row r="13" spans="1:15">
      <c r="J13" s="15">
        <v>13</v>
      </c>
      <c r="K13" s="15">
        <v>5</v>
      </c>
    </row>
    <row r="14" spans="1:15">
      <c r="J14" s="16">
        <v>14</v>
      </c>
      <c r="K14" s="16">
        <v>5</v>
      </c>
    </row>
    <row r="15" spans="1:15">
      <c r="J15" s="15">
        <v>15</v>
      </c>
      <c r="K15" s="15">
        <v>5</v>
      </c>
    </row>
    <row r="16" spans="1:15">
      <c r="J16" s="15">
        <v>16</v>
      </c>
      <c r="K16" s="15">
        <v>6</v>
      </c>
    </row>
    <row r="17" spans="10:12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 spans="10:12">
      <c r="J18" s="15">
        <v>18</v>
      </c>
      <c r="K18" s="15">
        <v>6</v>
      </c>
    </row>
    <row r="19" spans="10:12">
      <c r="J19" s="15">
        <v>19</v>
      </c>
      <c r="K19" s="15">
        <v>6</v>
      </c>
    </row>
    <row r="20" spans="10:12">
      <c r="J20" s="15">
        <v>20</v>
      </c>
      <c r="K20" s="15">
        <v>6</v>
      </c>
    </row>
  </sheetData>
  <sheetProtection password="C6E5" sheet="1" objects="1" scenarios="1" selectLockedCells="1" selectUnlockedCells="1"/>
  <mergeCells count="2">
    <mergeCell ref="C10:D10"/>
    <mergeCell ref="C11:D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style="1" customWidth="1"/>
    <col min="2" max="2" width="12.140625" style="1" customWidth="1"/>
    <col min="3" max="3" width="23.28515625" style="1" customWidth="1"/>
    <col min="4" max="16384" width="9.140625" style="1"/>
  </cols>
  <sheetData>
    <row r="1" spans="1:11">
      <c r="A1" s="1" t="s">
        <v>419</v>
      </c>
      <c r="B1" s="1" t="s">
        <v>545</v>
      </c>
      <c r="C1" s="1" t="s">
        <v>561</v>
      </c>
    </row>
    <row r="2" spans="1:11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 spans="1:11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 spans="1:11">
      <c r="A6" s="4" t="s">
        <v>562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 spans="1:11">
      <c r="A7" s="4" t="s">
        <v>563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6" t="s">
        <v>564</v>
      </c>
      <c r="I7" s="1136"/>
      <c r="J7" s="1136"/>
      <c r="K7" s="1137"/>
    </row>
    <row r="8" spans="1:11">
      <c r="A8" s="4" t="s">
        <v>565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6"/>
      <c r="I8" s="1136"/>
      <c r="J8" s="1136"/>
      <c r="K8" s="1137"/>
    </row>
    <row r="9" spans="1:11">
      <c r="A9" s="4" t="s">
        <v>566</v>
      </c>
      <c r="C9" s="1" t="str">
        <f>IF('Format (2)'!N8=5,'Format διαστασης οδηγου (2)'!B2-35,IF('Format (2)'!N8=6,'Format διαστασης οδηγου (2)'!B2-31,"-------"))</f>
        <v>-------</v>
      </c>
      <c r="H9" s="1136"/>
      <c r="I9" s="1136"/>
      <c r="J9" s="1136"/>
      <c r="K9" s="1137"/>
    </row>
    <row r="10" spans="1:11">
      <c r="A10" s="4" t="s">
        <v>567</v>
      </c>
      <c r="C10" s="1">
        <f>B2-32</f>
        <v>368</v>
      </c>
      <c r="K10" s="8"/>
    </row>
    <row r="11" spans="1: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 spans="1:11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 spans="1:11">
      <c r="A14" s="4" t="s">
        <v>562</v>
      </c>
      <c r="C14" s="1">
        <f>IF('Format (2)'!N8=1,B2,IF('Format (2)'!N8=2,'Format διαστασης οδηγου (2)'!B2-11,"-------"))</f>
        <v>400</v>
      </c>
      <c r="K14" s="8"/>
    </row>
    <row r="15" spans="1:11">
      <c r="A15" s="4" t="s">
        <v>563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6" t="s">
        <v>568</v>
      </c>
      <c r="I15" s="1136"/>
      <c r="J15" s="1136"/>
      <c r="K15" s="1137"/>
    </row>
    <row r="16" spans="1:11">
      <c r="A16" s="4" t="s">
        <v>565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6"/>
      <c r="I16" s="1136"/>
      <c r="J16" s="1136"/>
      <c r="K16" s="1137"/>
    </row>
    <row r="17" spans="1:11">
      <c r="A17" s="4" t="s">
        <v>566</v>
      </c>
      <c r="C17" s="1" t="str">
        <f>IF('Format (2)'!N8=5,'Format διαστασης οδηγου (2)'!B2-6,IF('Format (2)'!N8=6,'Format διαστασης οδηγου (2)'!B2-2,"-------"))</f>
        <v>-------</v>
      </c>
      <c r="H17" s="1136"/>
      <c r="I17" s="1136"/>
      <c r="J17" s="1136"/>
      <c r="K17" s="1137"/>
    </row>
    <row r="18" spans="1:11">
      <c r="A18" s="4" t="s">
        <v>567</v>
      </c>
      <c r="C18" s="1">
        <f>B2</f>
        <v>400</v>
      </c>
      <c r="K18" s="8"/>
    </row>
    <row r="19" spans="1:11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 count="2">
    <mergeCell ref="H7:K9"/>
    <mergeCell ref="H15:K1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style="10" customWidth="1"/>
    <col min="2" max="2" width="18" style="10" customWidth="1"/>
    <col min="3" max="3" width="17.28515625" style="10" customWidth="1"/>
    <col min="4" max="4" width="14.7109375" style="10" customWidth="1"/>
    <col min="5" max="5" width="15.85546875" style="10" customWidth="1"/>
    <col min="6" max="6" width="10" style="10" customWidth="1"/>
    <col min="7" max="9" width="9.140625" style="10"/>
    <col min="10" max="10" width="7.42578125" style="10" customWidth="1"/>
    <col min="11" max="11" width="9.5703125" style="10" customWidth="1"/>
    <col min="12" max="12" width="11.7109375" style="10" customWidth="1"/>
    <col min="13" max="13" width="9.140625" style="10"/>
    <col min="14" max="14" width="23.28515625" style="1" customWidth="1"/>
    <col min="15" max="15" width="22.28515625" style="10" customWidth="1"/>
    <col min="16" max="16" width="13.7109375" style="10" customWidth="1"/>
    <col min="17" max="16384" width="9.140625" style="10"/>
  </cols>
  <sheetData>
    <row r="1" spans="1:16">
      <c r="A1" s="20" t="s">
        <v>419</v>
      </c>
      <c r="B1" s="20" t="s">
        <v>386</v>
      </c>
      <c r="C1" s="20" t="s">
        <v>388</v>
      </c>
      <c r="D1" s="20" t="s">
        <v>391</v>
      </c>
      <c r="E1" s="20" t="s">
        <v>392</v>
      </c>
      <c r="F1" s="20" t="s">
        <v>396</v>
      </c>
      <c r="G1" s="20" t="s">
        <v>401</v>
      </c>
      <c r="H1" s="20" t="s">
        <v>480</v>
      </c>
      <c r="I1" s="20" t="s">
        <v>398</v>
      </c>
      <c r="J1" s="1109" t="s">
        <v>481</v>
      </c>
      <c r="K1" s="1110"/>
      <c r="L1" s="1110"/>
      <c r="M1" s="1111"/>
      <c r="N1" s="20" t="s">
        <v>482</v>
      </c>
      <c r="O1" s="20" t="s">
        <v>398</v>
      </c>
      <c r="P1" s="20" t="s">
        <v>483</v>
      </c>
    </row>
    <row r="2" spans="1:16">
      <c r="A2" s="21" t="s">
        <v>484</v>
      </c>
      <c r="B2" s="21" t="s">
        <v>485</v>
      </c>
      <c r="C2" s="21" t="s">
        <v>485</v>
      </c>
      <c r="D2" s="21" t="s">
        <v>486</v>
      </c>
      <c r="E2" s="21" t="s">
        <v>487</v>
      </c>
      <c r="F2" s="21" t="s">
        <v>488</v>
      </c>
      <c r="G2" s="21" t="s">
        <v>488</v>
      </c>
      <c r="H2" s="21" t="s">
        <v>488</v>
      </c>
      <c r="I2" s="21" t="s">
        <v>487</v>
      </c>
      <c r="J2" s="4" t="s">
        <v>412</v>
      </c>
      <c r="K2" s="1" t="s">
        <v>413</v>
      </c>
      <c r="L2" s="1" t="s">
        <v>489</v>
      </c>
      <c r="M2" s="18" t="s">
        <v>393</v>
      </c>
      <c r="N2" s="21" t="s">
        <v>490</v>
      </c>
      <c r="O2" s="21" t="s">
        <v>491</v>
      </c>
      <c r="P2" s="21" t="s">
        <v>488</v>
      </c>
    </row>
    <row r="3" spans="1:16">
      <c r="A3" s="21" t="s">
        <v>492</v>
      </c>
      <c r="B3" s="21" t="s">
        <v>493</v>
      </c>
      <c r="C3" s="21" t="s">
        <v>493</v>
      </c>
      <c r="D3" s="21" t="s">
        <v>494</v>
      </c>
      <c r="E3" s="21" t="s">
        <v>495</v>
      </c>
      <c r="F3" s="21" t="s">
        <v>487</v>
      </c>
      <c r="G3" s="21" t="s">
        <v>487</v>
      </c>
      <c r="H3" s="21" t="s">
        <v>487</v>
      </c>
      <c r="I3" s="21" t="s">
        <v>496</v>
      </c>
      <c r="J3" s="49">
        <v>-2</v>
      </c>
      <c r="K3" s="10">
        <v>-5</v>
      </c>
      <c r="L3" s="10">
        <v>-5</v>
      </c>
      <c r="M3" s="18">
        <v>-2</v>
      </c>
      <c r="N3" s="21" t="s">
        <v>497</v>
      </c>
      <c r="O3" s="21" t="s">
        <v>498</v>
      </c>
      <c r="P3" s="21" t="s">
        <v>487</v>
      </c>
    </row>
    <row r="4" spans="1:16">
      <c r="A4" s="21" t="s">
        <v>499</v>
      </c>
      <c r="B4" s="21" t="s">
        <v>500</v>
      </c>
      <c r="C4" s="21" t="s">
        <v>501</v>
      </c>
      <c r="D4" s="21">
        <v>1</v>
      </c>
      <c r="E4" s="21" t="s">
        <v>502</v>
      </c>
      <c r="F4" s="21">
        <v>1</v>
      </c>
      <c r="G4" s="21">
        <v>1</v>
      </c>
      <c r="H4" s="21">
        <v>2</v>
      </c>
      <c r="I4" s="21" t="s">
        <v>503</v>
      </c>
      <c r="J4" s="49">
        <v>-1</v>
      </c>
      <c r="K4" s="10">
        <v>-4</v>
      </c>
      <c r="L4" s="10">
        <v>-4</v>
      </c>
      <c r="M4" s="18">
        <v>-1</v>
      </c>
      <c r="N4" s="21" t="s">
        <v>504</v>
      </c>
      <c r="O4" s="21">
        <v>1</v>
      </c>
      <c r="P4" s="21" t="s">
        <v>505</v>
      </c>
    </row>
    <row r="5" spans="1:16">
      <c r="A5" s="21" t="s">
        <v>506</v>
      </c>
      <c r="B5" s="21">
        <v>1</v>
      </c>
      <c r="C5" s="21" t="s">
        <v>507</v>
      </c>
      <c r="D5" s="21"/>
      <c r="E5" s="21" t="s">
        <v>508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509</v>
      </c>
      <c r="O5" s="21"/>
      <c r="P5" s="21">
        <v>1</v>
      </c>
    </row>
    <row r="6" spans="1:16">
      <c r="A6" s="21" t="s">
        <v>510</v>
      </c>
      <c r="B6" s="21"/>
      <c r="C6" s="21" t="s">
        <v>511</v>
      </c>
      <c r="D6" s="21"/>
      <c r="E6" s="21" t="s">
        <v>512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513</v>
      </c>
      <c r="O6" s="21"/>
      <c r="P6" s="21"/>
    </row>
    <row r="7" spans="1:16">
      <c r="A7" s="21">
        <v>2</v>
      </c>
      <c r="B7" s="21"/>
      <c r="C7" s="21" t="s">
        <v>500</v>
      </c>
      <c r="D7" s="21"/>
      <c r="E7" s="21" t="s">
        <v>514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515</v>
      </c>
      <c r="O7" s="50"/>
      <c r="P7" s="21"/>
    </row>
    <row r="8" spans="1:16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 spans="1:16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 spans="1:16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 spans="1:16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 spans="1:16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 spans="1:16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 spans="1:16">
      <c r="A16" s="1"/>
      <c r="B16" s="1"/>
      <c r="C16" s="1"/>
      <c r="D16" s="1"/>
      <c r="E16" s="1"/>
      <c r="F16" s="1"/>
      <c r="G16" s="1"/>
      <c r="H16" s="1"/>
      <c r="I16" s="1"/>
    </row>
    <row r="17" spans="1:24">
      <c r="A17" s="23" t="s">
        <v>516</v>
      </c>
      <c r="B17" s="24" t="str">
        <f>IF(A7=1,A2,IF(A7=2,A3,IF(A7=3,A4,IF(A7=4,A5,IF(A7=5,A6,IF(A7=6,A7,IF(A7=7,A8,IF(A7=8,A9,IF(A7=9,A10,IF(A7=10,A11,IF(A7=11,A12,IF(A7=12,A13,A14))))))))))))</f>
        <v>EVO 150X70</v>
      </c>
      <c r="C17" s="1112" t="s">
        <v>517</v>
      </c>
      <c r="D17" s="1113"/>
      <c r="E17" s="1113"/>
      <c r="F17" s="1114"/>
      <c r="G17" s="1"/>
      <c r="H17" s="1"/>
      <c r="I17" s="1"/>
    </row>
    <row r="18" spans="1:24">
      <c r="A18" s="26" t="s">
        <v>518</v>
      </c>
      <c r="B18" s="27">
        <f>تسجيل1!C7</f>
        <v>400</v>
      </c>
      <c r="C18" s="28" t="s">
        <v>519</v>
      </c>
      <c r="D18" s="28"/>
      <c r="E18" s="28"/>
      <c r="F18" s="25"/>
      <c r="G18" s="1"/>
      <c r="H18" s="1"/>
      <c r="I18" s="1"/>
    </row>
    <row r="19" spans="1:24">
      <c r="A19" s="29" t="s">
        <v>520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 spans="1:24">
      <c r="A20" s="1"/>
      <c r="B20" s="1"/>
      <c r="C20" s="1"/>
      <c r="D20" s="1"/>
      <c r="E20" s="1"/>
      <c r="F20" s="1"/>
      <c r="G20" s="1"/>
      <c r="H20" s="1"/>
      <c r="I20" s="1"/>
    </row>
    <row r="21" spans="1:24">
      <c r="A21" s="1"/>
      <c r="B21" s="1"/>
      <c r="C21" s="1"/>
      <c r="D21" s="1"/>
      <c r="E21" s="1"/>
      <c r="F21" s="1"/>
      <c r="G21" s="1"/>
      <c r="H21" s="1"/>
      <c r="I21" s="1"/>
    </row>
    <row r="22" spans="1:24">
      <c r="A22" s="1"/>
      <c r="B22" s="1"/>
      <c r="C22" s="1"/>
      <c r="D22" s="1"/>
      <c r="E22" s="1"/>
      <c r="F22" s="1"/>
      <c r="G22" s="1"/>
      <c r="H22" s="1"/>
      <c r="I22" s="1"/>
    </row>
    <row r="23" spans="1:24">
      <c r="A23" s="1"/>
      <c r="B23" s="1"/>
      <c r="C23" s="1"/>
      <c r="D23" s="1"/>
      <c r="E23" s="1"/>
      <c r="F23" s="1"/>
      <c r="G23" s="1"/>
      <c r="H23" s="1"/>
      <c r="I23" s="1"/>
    </row>
    <row r="24" spans="1:24">
      <c r="A24" s="1"/>
      <c r="B24" s="1"/>
      <c r="C24" s="1"/>
      <c r="D24" s="1"/>
      <c r="E24" s="1"/>
      <c r="F24" s="1"/>
      <c r="G24" s="1"/>
      <c r="H24" s="1"/>
      <c r="I24" s="1"/>
    </row>
    <row r="25" spans="1:24">
      <c r="A25" s="1"/>
      <c r="B25" s="1"/>
      <c r="C25" s="1"/>
      <c r="D25" s="1"/>
      <c r="E25" s="1"/>
      <c r="F25" s="1"/>
      <c r="G25" s="1"/>
      <c r="H25" s="1"/>
      <c r="I25" s="1"/>
    </row>
    <row r="29" spans="1:24">
      <c r="A29" s="1115" t="s">
        <v>521</v>
      </c>
      <c r="B29" s="1116"/>
      <c r="C29" s="1116"/>
      <c r="D29" s="1116"/>
      <c r="E29" s="1116"/>
      <c r="F29" s="1116"/>
      <c r="G29" s="1116"/>
      <c r="H29" s="1117"/>
      <c r="I29" s="1115" t="s">
        <v>522</v>
      </c>
      <c r="J29" s="1116"/>
      <c r="K29" s="1116"/>
      <c r="L29" s="1116"/>
      <c r="M29" s="1116"/>
      <c r="N29" s="1116"/>
      <c r="O29" s="1116"/>
      <c r="P29" s="1117"/>
      <c r="Q29" s="1115" t="s">
        <v>523</v>
      </c>
      <c r="R29" s="1116"/>
      <c r="S29" s="1116"/>
      <c r="T29" s="1116"/>
      <c r="U29" s="1116"/>
      <c r="V29" s="1116"/>
      <c r="W29" s="1116"/>
      <c r="X29" s="1117"/>
    </row>
    <row r="30" spans="1:24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 spans="1:24">
      <c r="A31" s="1103" t="s">
        <v>524</v>
      </c>
      <c r="B31" s="1104"/>
      <c r="C31" s="36">
        <f>B19</f>
        <v>400</v>
      </c>
      <c r="D31" s="34" t="s">
        <v>525</v>
      </c>
      <c r="E31" s="36">
        <f>H34</f>
        <v>5</v>
      </c>
      <c r="F31" s="34"/>
      <c r="G31" s="34"/>
      <c r="H31" s="35"/>
      <c r="I31" s="1103" t="s">
        <v>524</v>
      </c>
      <c r="J31" s="1104"/>
      <c r="K31" s="36">
        <f>B19</f>
        <v>400</v>
      </c>
      <c r="L31" s="34" t="s">
        <v>525</v>
      </c>
      <c r="M31" s="36">
        <f>P34</f>
        <v>5</v>
      </c>
      <c r="N31" s="15"/>
      <c r="O31" s="34"/>
      <c r="P31" s="35"/>
      <c r="Q31" s="1105" t="s">
        <v>524</v>
      </c>
      <c r="R31" s="1106"/>
      <c r="S31" s="57">
        <f>B19</f>
        <v>400</v>
      </c>
      <c r="T31" s="47" t="s">
        <v>526</v>
      </c>
      <c r="U31" s="57">
        <f>INT((S31-4)/25)+1</f>
        <v>16</v>
      </c>
      <c r="V31" s="47"/>
      <c r="W31" s="47"/>
      <c r="X31" s="48"/>
    </row>
    <row r="32" spans="1:24">
      <c r="A32" s="1107" t="s">
        <v>525</v>
      </c>
      <c r="B32" s="1108"/>
      <c r="C32" s="1108"/>
      <c r="D32" s="34"/>
      <c r="E32" s="34"/>
      <c r="F32" s="38"/>
      <c r="G32" s="34"/>
      <c r="H32" s="35"/>
      <c r="I32" s="1107" t="s">
        <v>527</v>
      </c>
      <c r="J32" s="1108"/>
      <c r="K32" s="1108"/>
      <c r="L32" s="34"/>
      <c r="M32" s="34"/>
      <c r="N32" s="54"/>
      <c r="O32" s="34"/>
      <c r="P32" s="35"/>
    </row>
    <row r="33" spans="1:16">
      <c r="A33" s="39" t="s">
        <v>528</v>
      </c>
      <c r="B33" s="40" t="s">
        <v>529</v>
      </c>
      <c r="C33" s="40" t="s">
        <v>530</v>
      </c>
      <c r="D33" s="34"/>
      <c r="E33" s="40" t="s">
        <v>528</v>
      </c>
      <c r="F33" s="40" t="s">
        <v>529</v>
      </c>
      <c r="G33" s="40" t="s">
        <v>530</v>
      </c>
      <c r="H33" s="35"/>
      <c r="I33" s="39" t="s">
        <v>528</v>
      </c>
      <c r="J33" s="40" t="s">
        <v>529</v>
      </c>
      <c r="K33" s="40" t="s">
        <v>530</v>
      </c>
      <c r="L33" s="34"/>
      <c r="M33" s="40" t="s">
        <v>528</v>
      </c>
      <c r="N33" s="37" t="s">
        <v>529</v>
      </c>
      <c r="O33" s="40" t="s">
        <v>530</v>
      </c>
      <c r="P33" s="35"/>
    </row>
    <row r="34" spans="1:16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531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531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 spans="1:16">
      <c r="A35" s="39">
        <v>2</v>
      </c>
      <c r="B35" s="43">
        <f>C34+1</f>
        <v>153</v>
      </c>
      <c r="C35" s="43">
        <v>215</v>
      </c>
      <c r="D35" s="41">
        <f t="shared" ref="D35:D52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t="shared" ref="L35:L52" si="1">K35+1</f>
        <v>242</v>
      </c>
      <c r="M35" s="34"/>
      <c r="N35" s="15"/>
      <c r="O35" s="34"/>
      <c r="P35" s="42"/>
    </row>
    <row r="36" spans="1:16">
      <c r="A36" s="33">
        <v>3</v>
      </c>
      <c r="B36" s="43">
        <f t="shared" ref="B36:B52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t="shared" ref="J36:J52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 spans="1:16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 spans="1:16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 spans="1:16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532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532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 spans="1:16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 spans="1:16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 spans="1:16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 spans="1:16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 spans="1:16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533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533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 spans="1:16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 spans="1:1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 spans="1:16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 spans="1:16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534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534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 spans="1:16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 spans="1:16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 spans="1:16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 spans="1:16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535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535</v>
      </c>
    </row>
    <row r="53" spans="1:16">
      <c r="A53" s="34"/>
      <c r="B53" s="34"/>
      <c r="C53" s="34"/>
      <c r="D53" s="34"/>
      <c r="E53" s="34"/>
      <c r="F53" s="34"/>
      <c r="G53" s="34"/>
      <c r="H53" s="34"/>
    </row>
    <row r="54" spans="1:16">
      <c r="A54" s="34"/>
      <c r="B54" s="34"/>
      <c r="C54" s="34"/>
      <c r="D54" s="34"/>
      <c r="E54" s="34"/>
      <c r="F54" s="34"/>
      <c r="G54" s="34"/>
      <c r="H54" s="34"/>
    </row>
    <row r="79" spans="1:8">
      <c r="A79" s="34"/>
      <c r="B79" s="34"/>
      <c r="C79" s="34"/>
      <c r="D79" s="34"/>
      <c r="E79" s="34"/>
      <c r="F79" s="34"/>
      <c r="G79" s="34"/>
      <c r="H79" s="34"/>
    </row>
    <row r="80" spans="1:8">
      <c r="A80" s="34"/>
      <c r="B80" s="34"/>
      <c r="C80" s="34"/>
      <c r="D80" s="34"/>
      <c r="E80" s="34"/>
      <c r="F80" s="34"/>
      <c r="G80" s="34"/>
      <c r="H80" s="34"/>
    </row>
    <row r="82" spans="1:8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 count="10"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I1" zoomScale="40" zoomScaleNormal="40" zoomScaleSheetLayoutView="70" zoomScalePageLayoutView="25" workbookViewId="0">
      <selection activeCell="T31" sqref="T3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style="405" customWidth="1"/>
    <col min="13" max="13" width="5.140625" style="405" customWidth="1"/>
    <col min="14" max="16" width="20.5703125" style="405" customWidth="1"/>
    <col min="17" max="17" width="6.140625" style="405" customWidth="1"/>
    <col min="18" max="18" width="61.5703125" style="405" customWidth="1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2" width="23" customWidth="1"/>
    <col min="33" max="33" width="27.7109375" customWidth="1"/>
    <col min="34" max="34" width="33.7109375" bestFit="1" customWidth="1"/>
    <col min="35" max="37" width="23" customWidth="1"/>
    <col min="38" max="38" width="31.7109375" customWidth="1"/>
    <col min="39" max="39" width="33.85546875" customWidth="1"/>
    <col min="40" max="40" width="31.28515625" customWidth="1"/>
    <col min="41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style="406" customWidth="1"/>
    <col min="56" max="66" width="24.5703125" customWidth="1"/>
  </cols>
  <sheetData>
    <row r="1" spans="1:72" ht="45.75" customHeight="1">
      <c r="A1" s="805"/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32"/>
      <c r="S1" s="408" t="s">
        <v>47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48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49</v>
      </c>
      <c r="BE1" s="408"/>
      <c r="BF1" s="846"/>
      <c r="BG1" s="846"/>
      <c r="BH1" s="846"/>
      <c r="BI1" s="846"/>
      <c r="BJ1" s="846"/>
      <c r="BK1" s="846"/>
      <c r="BL1" s="846"/>
      <c r="BM1" s="846"/>
      <c r="BN1" s="846"/>
    </row>
    <row r="2" spans="1:72" ht="45" customHeight="1" thickBot="1">
      <c r="A2" s="805"/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  <c r="Q2" s="805"/>
      <c r="R2" s="832"/>
      <c r="S2" s="410" t="s">
        <v>50</v>
      </c>
      <c r="T2" s="411">
        <f>IF((V14="ok"),Royal!G84,"R")</f>
        <v>174192.19579442163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24" t="s">
        <v>50</v>
      </c>
      <c r="AG2" s="84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45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50</v>
      </c>
      <c r="AT2" s="465">
        <f ca="1">IF((AV14="OK"),wavy1!R72,"R")</f>
        <v>95543.565000000002</v>
      </c>
      <c r="AU2" s="412"/>
      <c r="AV2" s="407"/>
      <c r="AW2" s="407"/>
      <c r="AX2" s="407"/>
      <c r="AY2" s="407"/>
      <c r="AZ2" s="407"/>
      <c r="BA2" s="407"/>
      <c r="BB2" s="407"/>
      <c r="BD2" s="479" t="s">
        <v>50</v>
      </c>
      <c r="BE2" s="479">
        <f>IF((BG14="OK"),wavy2!R72,"R")</f>
        <v>142788.1086666667</v>
      </c>
      <c r="BF2" s="846"/>
      <c r="BG2" s="846"/>
      <c r="BH2" s="846"/>
      <c r="BI2" s="846"/>
      <c r="BJ2" s="846"/>
      <c r="BK2" s="846"/>
      <c r="BL2" s="846"/>
      <c r="BM2" s="846"/>
      <c r="BN2" s="846"/>
    </row>
    <row r="3" spans="1:72" ht="54.75" customHeight="1">
      <c r="A3" s="805"/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805"/>
      <c r="O3" s="805"/>
      <c r="P3" s="805"/>
      <c r="Q3" s="805"/>
      <c r="R3" s="832"/>
      <c r="S3" s="517" t="s">
        <v>51</v>
      </c>
      <c r="T3" s="413">
        <f>T2/(AA10*X8)*10000</f>
        <v>10887.012237151352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24"/>
      <c r="AG3" s="845"/>
      <c r="AH3" s="845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51</v>
      </c>
      <c r="AT3" s="466">
        <f ca="1">AT2/(AV10*BA12)*10000</f>
        <v>7643.4852000000001</v>
      </c>
      <c r="AU3" s="412"/>
      <c r="AV3" s="414"/>
      <c r="AW3" s="407"/>
      <c r="AX3" s="407"/>
      <c r="AY3" s="407"/>
      <c r="AZ3" s="407"/>
      <c r="BA3" s="407"/>
      <c r="BB3" s="407"/>
      <c r="BD3" s="480" t="s">
        <v>51</v>
      </c>
      <c r="BE3" s="487">
        <f>BE2/(BG10*BL12)*10000</f>
        <v>4079.6602476190487</v>
      </c>
      <c r="BF3" s="846"/>
      <c r="BG3" s="846"/>
      <c r="BH3" s="846"/>
      <c r="BI3" s="846"/>
      <c r="BJ3" s="846"/>
      <c r="BK3" s="846"/>
      <c r="BL3" s="846"/>
      <c r="BM3" s="846"/>
      <c r="BN3" s="846"/>
    </row>
    <row r="4" spans="1:72" ht="55.5" customHeight="1">
      <c r="A4" s="805"/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32"/>
      <c r="S4" s="519" t="s">
        <v>52</v>
      </c>
      <c r="T4" s="520" t="s">
        <v>53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24"/>
      <c r="AG4" s="845"/>
      <c r="AH4" s="845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52</v>
      </c>
      <c r="AT4" s="416" t="s">
        <v>53</v>
      </c>
      <c r="AU4" s="417"/>
      <c r="AV4" s="417"/>
      <c r="AW4" s="417"/>
      <c r="AX4" s="417"/>
      <c r="AY4" s="417"/>
      <c r="AZ4" s="417"/>
      <c r="BA4" s="417"/>
      <c r="BB4" s="407"/>
      <c r="BD4" s="481" t="s">
        <v>52</v>
      </c>
      <c r="BE4" s="487" t="s">
        <v>89</v>
      </c>
      <c r="BF4" s="847"/>
      <c r="BG4" s="848"/>
      <c r="BH4" s="848"/>
      <c r="BI4" s="848"/>
      <c r="BJ4" s="848"/>
      <c r="BK4" s="848"/>
      <c r="BL4" s="848"/>
      <c r="BM4" s="848"/>
      <c r="BN4" s="844"/>
    </row>
    <row r="5" spans="1:72" ht="55.5" customHeight="1" thickBot="1">
      <c r="A5" s="805"/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805"/>
      <c r="O5" s="805"/>
      <c r="P5" s="805"/>
      <c r="Q5" s="805"/>
      <c r="R5" s="832"/>
      <c r="S5" s="519" t="s">
        <v>1</v>
      </c>
      <c r="T5" s="521" t="s">
        <v>787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</v>
      </c>
      <c r="AT5" s="529" t="s">
        <v>788</v>
      </c>
      <c r="AU5" s="417"/>
      <c r="AV5" s="417"/>
      <c r="AW5" s="417"/>
      <c r="AX5" s="417"/>
      <c r="AY5" s="417"/>
      <c r="AZ5" s="417"/>
      <c r="BA5" s="417"/>
      <c r="BB5" s="405"/>
      <c r="BD5" s="482" t="s">
        <v>1</v>
      </c>
      <c r="BE5" s="530" t="s">
        <v>787</v>
      </c>
      <c r="BF5" s="847"/>
      <c r="BG5" s="848"/>
      <c r="BH5" s="848"/>
      <c r="BI5" s="848"/>
      <c r="BJ5" s="848"/>
      <c r="BK5" s="848"/>
      <c r="BL5" s="848"/>
      <c r="BM5" s="848"/>
      <c r="BN5" s="844"/>
      <c r="BT5">
        <v>0</v>
      </c>
    </row>
    <row r="6" spans="1:72" ht="55.5" customHeight="1" thickTop="1" thickBot="1">
      <c r="A6" s="805"/>
      <c r="B6" s="805"/>
      <c r="C6" s="805"/>
      <c r="D6" s="805"/>
      <c r="E6" s="805"/>
      <c r="F6" s="805"/>
      <c r="G6" s="805"/>
      <c r="H6" s="805"/>
      <c r="I6" s="805"/>
      <c r="J6" s="805"/>
      <c r="K6" s="805"/>
      <c r="L6" s="805"/>
      <c r="M6" s="805"/>
      <c r="N6" s="805"/>
      <c r="O6" s="805"/>
      <c r="P6" s="805"/>
      <c r="Q6" s="805"/>
      <c r="R6" s="832"/>
      <c r="S6" s="519" t="s">
        <v>2</v>
      </c>
      <c r="T6" s="520" t="s">
        <v>11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56</v>
      </c>
      <c r="AJ6" s="458" t="s">
        <v>57</v>
      </c>
      <c r="AK6" s="459" t="s">
        <v>58</v>
      </c>
      <c r="AL6" s="458" t="s">
        <v>59</v>
      </c>
      <c r="AM6" s="458" t="s">
        <v>60</v>
      </c>
      <c r="AN6" s="460" t="s">
        <v>61</v>
      </c>
      <c r="AO6" s="849" t="s">
        <v>62</v>
      </c>
      <c r="AP6" s="850"/>
      <c r="AQ6" s="407"/>
      <c r="AR6" s="406"/>
      <c r="AS6" s="420" t="s">
        <v>2</v>
      </c>
      <c r="AT6" s="421" t="s">
        <v>6</v>
      </c>
      <c r="AU6" s="467"/>
      <c r="AV6" s="467"/>
      <c r="AW6" s="467"/>
      <c r="AX6" s="467"/>
      <c r="AY6" s="467"/>
      <c r="AZ6" s="467"/>
      <c r="BA6" s="467"/>
      <c r="BB6" s="467"/>
      <c r="BD6" s="482" t="s">
        <v>2</v>
      </c>
      <c r="BE6" s="487" t="s">
        <v>11</v>
      </c>
      <c r="BF6" s="467"/>
      <c r="BG6" s="467"/>
      <c r="BH6" s="467"/>
      <c r="BI6" s="467"/>
      <c r="BJ6" s="467"/>
      <c r="BK6" s="467"/>
      <c r="BL6" s="467"/>
      <c r="BM6" s="467"/>
      <c r="BN6" s="844"/>
    </row>
    <row r="7" spans="1:72" ht="18.75" customHeight="1" thickBot="1">
      <c r="A7" s="805"/>
      <c r="B7" s="805"/>
      <c r="C7" s="805"/>
      <c r="D7" s="805"/>
      <c r="E7" s="805"/>
      <c r="F7" s="805"/>
      <c r="G7" s="805"/>
      <c r="H7" s="805"/>
      <c r="I7" s="805"/>
      <c r="J7" s="805"/>
      <c r="K7" s="805"/>
      <c r="L7" s="805"/>
      <c r="M7" s="805"/>
      <c r="N7" s="805"/>
      <c r="O7" s="805"/>
      <c r="P7" s="805"/>
      <c r="Q7" s="805"/>
      <c r="R7" s="83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44"/>
    </row>
    <row r="8" spans="1:72" ht="55.5" customHeight="1">
      <c r="A8" s="407"/>
      <c r="B8" s="807"/>
      <c r="C8" s="807"/>
      <c r="D8" s="807"/>
      <c r="E8" s="407"/>
      <c r="F8" s="809"/>
      <c r="G8" s="809"/>
      <c r="H8" s="809"/>
      <c r="I8" s="805"/>
      <c r="J8" s="806"/>
      <c r="K8" s="806"/>
      <c r="L8" s="806"/>
      <c r="M8" s="805"/>
      <c r="N8" s="808"/>
      <c r="O8" s="808"/>
      <c r="P8" s="808"/>
      <c r="Q8" s="407"/>
      <c r="R8" s="832"/>
      <c r="S8" s="810"/>
      <c r="T8" s="810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63</v>
      </c>
      <c r="AJ8" s="462" t="s">
        <v>270</v>
      </c>
      <c r="AK8" s="462">
        <v>3</v>
      </c>
      <c r="AL8" s="462" t="s">
        <v>6</v>
      </c>
      <c r="AM8" s="462" t="s">
        <v>65</v>
      </c>
      <c r="AN8" s="463" t="s">
        <v>66</v>
      </c>
      <c r="AO8" s="851"/>
      <c r="AP8" s="852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44"/>
    </row>
    <row r="9" spans="1:72" ht="55.5" customHeight="1" thickBot="1">
      <c r="A9" s="407"/>
      <c r="B9" s="807"/>
      <c r="C9" s="807"/>
      <c r="D9" s="807"/>
      <c r="E9" s="407"/>
      <c r="F9" s="809"/>
      <c r="G9" s="809"/>
      <c r="H9" s="809"/>
      <c r="I9" s="805"/>
      <c r="J9" s="806"/>
      <c r="K9" s="806"/>
      <c r="L9" s="806"/>
      <c r="M9" s="805"/>
      <c r="N9" s="808"/>
      <c r="O9" s="808"/>
      <c r="P9" s="808"/>
      <c r="Q9" s="407"/>
      <c r="R9" s="832"/>
      <c r="S9" s="811"/>
      <c r="T9" s="811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67</v>
      </c>
      <c r="AT9" s="416" t="s">
        <v>91</v>
      </c>
      <c r="AU9" s="467"/>
      <c r="AV9" s="467"/>
      <c r="AW9" s="467"/>
      <c r="AX9" s="467"/>
      <c r="AY9" s="467"/>
      <c r="AZ9" s="467"/>
      <c r="BA9" s="467"/>
      <c r="BB9" s="467"/>
      <c r="BD9" s="415" t="s">
        <v>67</v>
      </c>
      <c r="BE9" s="416" t="s">
        <v>91</v>
      </c>
      <c r="BF9" s="467"/>
      <c r="BG9" s="467"/>
      <c r="BH9" s="467"/>
      <c r="BI9" s="467"/>
      <c r="BJ9" s="467"/>
      <c r="BK9" s="467"/>
      <c r="BL9" s="467"/>
      <c r="BM9" s="467"/>
      <c r="BN9" s="844"/>
    </row>
    <row r="10" spans="1:72" ht="55.5" customHeight="1" thickBot="1">
      <c r="A10" s="407"/>
      <c r="B10" s="807"/>
      <c r="C10" s="807"/>
      <c r="D10" s="807"/>
      <c r="E10" s="407"/>
      <c r="F10" s="809"/>
      <c r="G10" s="809"/>
      <c r="H10" s="809"/>
      <c r="I10" s="805"/>
      <c r="J10" s="806"/>
      <c r="K10" s="806"/>
      <c r="L10" s="806"/>
      <c r="M10" s="805"/>
      <c r="N10" s="808"/>
      <c r="O10" s="808"/>
      <c r="P10" s="808"/>
      <c r="Q10" s="407"/>
      <c r="R10" s="832"/>
      <c r="S10" s="518" t="s">
        <v>592</v>
      </c>
      <c r="T10" s="416" t="s">
        <v>593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6" t="s">
        <v>69</v>
      </c>
      <c r="AF10" s="826"/>
      <c r="AG10" s="826"/>
      <c r="AH10" s="826"/>
      <c r="AI10" s="826"/>
      <c r="AJ10" s="826"/>
      <c r="AK10" s="826"/>
      <c r="AL10" s="826"/>
      <c r="AM10" s="826"/>
      <c r="AN10" s="826"/>
      <c r="AO10" s="826"/>
      <c r="AP10" s="826"/>
      <c r="AQ10" s="826"/>
      <c r="AR10" s="406"/>
      <c r="AS10" s="415" t="s">
        <v>0</v>
      </c>
      <c r="AT10" s="416" t="s">
        <v>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0</v>
      </c>
      <c r="BE10" s="416" t="s">
        <v>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44"/>
    </row>
    <row r="11" spans="1:72" ht="18.75" customHeight="1" thickBo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44"/>
    </row>
    <row r="12" spans="1:72" s="405" customFormat="1" ht="42" customHeight="1" thickBot="1">
      <c r="A12" s="407"/>
      <c r="B12" s="806"/>
      <c r="C12" s="806"/>
      <c r="D12" s="806"/>
      <c r="E12" s="407"/>
      <c r="F12" s="813"/>
      <c r="G12" s="813"/>
      <c r="H12" s="813"/>
      <c r="I12" s="805"/>
      <c r="J12" s="806"/>
      <c r="K12" s="806"/>
      <c r="L12" s="806"/>
      <c r="M12" s="805"/>
      <c r="N12" s="812"/>
      <c r="O12" s="812"/>
      <c r="P12" s="812"/>
      <c r="Q12" s="407"/>
      <c r="R12" s="832"/>
      <c r="S12" s="519" t="s">
        <v>70</v>
      </c>
      <c r="T12" s="489" t="s">
        <v>12</v>
      </c>
      <c r="AC12" s="600"/>
      <c r="AD12" s="632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632"/>
      <c r="AS12" s="430" t="s">
        <v>70</v>
      </c>
      <c r="AT12" s="426" t="s">
        <v>7</v>
      </c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70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44"/>
    </row>
    <row r="13" spans="1:72" s="405" customFormat="1" ht="55.5" customHeight="1" thickBot="1">
      <c r="A13" s="407"/>
      <c r="B13" s="806"/>
      <c r="C13" s="806"/>
      <c r="D13" s="806"/>
      <c r="E13" s="407"/>
      <c r="F13" s="813"/>
      <c r="G13" s="813"/>
      <c r="H13" s="813"/>
      <c r="I13" s="805"/>
      <c r="J13" s="806"/>
      <c r="K13" s="806"/>
      <c r="L13" s="806"/>
      <c r="M13" s="805"/>
      <c r="N13" s="812"/>
      <c r="O13" s="812"/>
      <c r="P13" s="812"/>
      <c r="Q13" s="407"/>
      <c r="R13" s="832"/>
      <c r="S13" s="523" t="s">
        <v>71</v>
      </c>
      <c r="T13" s="488"/>
      <c r="AC13" s="407"/>
      <c r="AD13" s="632"/>
      <c r="AE13" s="407"/>
      <c r="AF13" s="854" t="s">
        <v>50</v>
      </c>
      <c r="AG13" s="853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25604.318700000003</v>
      </c>
      <c r="AH13" s="853"/>
      <c r="AI13" s="414"/>
      <c r="AJ13" s="414"/>
      <c r="AK13" s="414"/>
      <c r="AL13" s="838" t="s">
        <v>702</v>
      </c>
      <c r="AM13" s="838"/>
      <c r="AN13" s="838"/>
      <c r="AO13" s="407"/>
      <c r="AP13" s="407"/>
      <c r="AQ13" s="407"/>
      <c r="AR13" s="632"/>
      <c r="AS13" s="430" t="s">
        <v>71</v>
      </c>
      <c r="AT13" s="430"/>
      <c r="AU13" s="467"/>
      <c r="AV13" s="467"/>
      <c r="AW13" s="467"/>
      <c r="AX13" s="467"/>
      <c r="AY13" s="467"/>
      <c r="AZ13" s="467"/>
      <c r="BA13" s="467" t="s">
        <v>72</v>
      </c>
      <c r="BB13" s="467"/>
      <c r="BC13" s="406"/>
      <c r="BD13" s="484" t="s">
        <v>71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44"/>
    </row>
    <row r="14" spans="1:72" s="405" customFormat="1" ht="55.5" customHeight="1" thickBot="1">
      <c r="A14" s="407"/>
      <c r="B14" s="806"/>
      <c r="C14" s="806"/>
      <c r="D14" s="806"/>
      <c r="E14" s="407"/>
      <c r="F14" s="813"/>
      <c r="G14" s="813"/>
      <c r="H14" s="813"/>
      <c r="I14" s="805"/>
      <c r="J14" s="806"/>
      <c r="K14" s="806"/>
      <c r="L14" s="806"/>
      <c r="M14" s="805"/>
      <c r="N14" s="812"/>
      <c r="O14" s="812"/>
      <c r="P14" s="812"/>
      <c r="Q14" s="407"/>
      <c r="R14" s="832"/>
      <c r="S14" s="524" t="s">
        <v>73</v>
      </c>
      <c r="T14" s="522"/>
      <c r="V14" s="836" t="str">
        <f>IF(T5="","برجاء ادخال طريقة الدهان",IF(T6="","برجاء ادخال لون الالومنيوم",IF(T12="","برجاء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7"/>
      <c r="X14" s="837"/>
      <c r="Y14" s="837"/>
      <c r="Z14" s="837"/>
      <c r="AA14" s="837"/>
      <c r="AB14" s="837"/>
      <c r="AC14" s="837"/>
      <c r="AD14" s="632"/>
      <c r="AE14" s="407"/>
      <c r="AF14" s="854"/>
      <c r="AG14" s="853"/>
      <c r="AH14" s="853"/>
      <c r="AI14" s="407"/>
      <c r="AJ14" s="407"/>
      <c r="AK14" s="407"/>
      <c r="AL14" s="838"/>
      <c r="AM14" s="838"/>
      <c r="AN14" s="838"/>
      <c r="AO14" s="407"/>
      <c r="AP14" s="407"/>
      <c r="AQ14" s="407"/>
      <c r="AR14" s="632"/>
      <c r="AS14" s="430" t="s">
        <v>73</v>
      </c>
      <c r="AT14" s="430"/>
      <c r="AV14" s="836" t="str">
        <f>IF(AT5="","برجاء ادخال طريقة الدهان",IF(AT6="","برجاء ادخال لون الالومنيوم",IF(AT12="","برجاء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7"/>
      <c r="AX14" s="837"/>
      <c r="AY14" s="837"/>
      <c r="AZ14" s="837"/>
      <c r="BA14" s="837"/>
      <c r="BB14" s="837"/>
      <c r="BC14" s="406"/>
      <c r="BD14" s="484" t="s">
        <v>73</v>
      </c>
      <c r="BE14" s="484"/>
      <c r="BF14" s="489" t="s">
        <v>7</v>
      </c>
      <c r="BG14" s="83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7"/>
      <c r="BI14" s="837"/>
      <c r="BJ14" s="837"/>
      <c r="BK14" s="837"/>
      <c r="BL14" s="837"/>
      <c r="BM14" s="837"/>
      <c r="BN14" s="528"/>
    </row>
    <row r="15" spans="1:72" s="405" customFormat="1" ht="18.75" customHeight="1" thickBot="1">
      <c r="A15" s="407"/>
      <c r="B15" s="805"/>
      <c r="C15" s="805"/>
      <c r="D15" s="805"/>
      <c r="E15" s="805"/>
      <c r="F15" s="805"/>
      <c r="G15" s="805"/>
      <c r="H15" s="805"/>
      <c r="I15" s="805"/>
      <c r="J15" s="805"/>
      <c r="K15" s="805"/>
      <c r="L15" s="805"/>
      <c r="M15" s="805"/>
      <c r="N15" s="805"/>
      <c r="O15" s="805"/>
      <c r="P15" s="805"/>
      <c r="Q15" s="407"/>
      <c r="R15" s="83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2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2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spans="1:72" s="405" customFormat="1" ht="39.75" customHeight="1" thickTop="1" thickBot="1">
      <c r="A16" s="805"/>
      <c r="B16" s="805"/>
      <c r="C16" s="805"/>
      <c r="D16" s="805"/>
      <c r="E16" s="805"/>
      <c r="F16" s="805"/>
      <c r="G16" s="805"/>
      <c r="H16" s="805"/>
      <c r="I16" s="805"/>
      <c r="J16" s="805"/>
      <c r="K16" s="805"/>
      <c r="L16" s="805"/>
      <c r="M16" s="805"/>
      <c r="N16" s="805"/>
      <c r="O16" s="805"/>
      <c r="P16" s="805"/>
      <c r="Q16" s="805"/>
      <c r="R16" s="83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2"/>
      <c r="AE16" s="407"/>
      <c r="AF16" s="407"/>
      <c r="AG16" s="407"/>
      <c r="AH16" s="407"/>
      <c r="AI16" s="458" t="s">
        <v>56</v>
      </c>
      <c r="AJ16" s="458" t="s">
        <v>57</v>
      </c>
      <c r="AK16" s="459" t="s">
        <v>58</v>
      </c>
      <c r="AL16" s="458" t="s">
        <v>59</v>
      </c>
      <c r="AM16" s="458" t="s">
        <v>60</v>
      </c>
      <c r="AN16" s="796" t="s">
        <v>62</v>
      </c>
      <c r="AO16" s="407"/>
      <c r="AP16" s="407"/>
      <c r="AQ16" s="407"/>
      <c r="AR16" s="632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spans="1:66" s="405" customFormat="1" ht="39.75" customHeight="1" thickTop="1" thickBot="1">
      <c r="A17" s="805"/>
      <c r="B17" s="805"/>
      <c r="C17" s="805"/>
      <c r="D17" s="805"/>
      <c r="E17" s="805"/>
      <c r="F17" s="805"/>
      <c r="G17" s="805"/>
      <c r="H17" s="805"/>
      <c r="I17" s="805"/>
      <c r="J17" s="805"/>
      <c r="K17" s="805"/>
      <c r="L17" s="805"/>
      <c r="M17" s="805"/>
      <c r="N17" s="805"/>
      <c r="O17" s="805"/>
      <c r="P17" s="805"/>
      <c r="Q17" s="805"/>
      <c r="R17" s="83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2"/>
      <c r="AE17" s="407"/>
      <c r="AF17" s="407"/>
      <c r="AG17" s="407"/>
      <c r="AH17" s="407"/>
      <c r="AI17" s="461" t="s">
        <v>63</v>
      </c>
      <c r="AJ17" s="462" t="s">
        <v>786</v>
      </c>
      <c r="AK17" s="462">
        <v>3</v>
      </c>
      <c r="AL17" s="462" t="s">
        <v>11</v>
      </c>
      <c r="AM17" s="462" t="s">
        <v>284</v>
      </c>
      <c r="AN17" s="797"/>
      <c r="AO17" s="407"/>
      <c r="AP17" s="407"/>
      <c r="AQ17" s="407"/>
      <c r="AR17" s="632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spans="1:66" s="405" customFormat="1" ht="39.75" customHeight="1">
      <c r="A18" s="805"/>
      <c r="B18" s="805"/>
      <c r="C18" s="805"/>
      <c r="D18" s="805"/>
      <c r="E18" s="805"/>
      <c r="F18" s="805"/>
      <c r="G18" s="805"/>
      <c r="H18" s="805"/>
      <c r="I18" s="805"/>
      <c r="J18" s="805"/>
      <c r="K18" s="805"/>
      <c r="L18" s="805"/>
      <c r="M18" s="805"/>
      <c r="N18" s="805"/>
      <c r="O18" s="805"/>
      <c r="P18" s="805"/>
      <c r="Q18" s="805"/>
      <c r="R18" s="83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2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32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spans="1:66" s="405" customFormat="1" ht="39.75" customHeight="1">
      <c r="A19" s="805"/>
      <c r="B19" s="805"/>
      <c r="C19" s="805"/>
      <c r="D19" s="805"/>
      <c r="E19" s="805"/>
      <c r="F19" s="805"/>
      <c r="G19" s="805"/>
      <c r="H19" s="805"/>
      <c r="I19" s="805"/>
      <c r="J19" s="805"/>
      <c r="K19" s="805"/>
      <c r="L19" s="805"/>
      <c r="M19" s="805"/>
      <c r="N19" s="805"/>
      <c r="O19" s="805"/>
      <c r="P19" s="805"/>
      <c r="Q19" s="805"/>
      <c r="R19" s="83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2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2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spans="1:66" s="405" customFormat="1" ht="39.75" customHeight="1">
      <c r="A20" s="805"/>
      <c r="B20" s="805"/>
      <c r="C20" s="805"/>
      <c r="D20" s="805"/>
      <c r="E20" s="805"/>
      <c r="F20" s="805"/>
      <c r="G20" s="805"/>
      <c r="H20" s="805"/>
      <c r="I20" s="805"/>
      <c r="J20" s="805"/>
      <c r="K20" s="805"/>
      <c r="L20" s="805"/>
      <c r="M20" s="805"/>
      <c r="N20" s="805"/>
      <c r="O20" s="805"/>
      <c r="P20" s="805"/>
      <c r="Q20" s="805"/>
      <c r="R20" s="83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2"/>
      <c r="AE20" s="826" t="s">
        <v>597</v>
      </c>
      <c r="AF20" s="826"/>
      <c r="AG20" s="826"/>
      <c r="AH20" s="826"/>
      <c r="AI20" s="826"/>
      <c r="AJ20" s="826"/>
      <c r="AK20" s="826"/>
      <c r="AL20" s="826"/>
      <c r="AM20" s="826"/>
      <c r="AN20" s="826"/>
      <c r="AO20" s="826"/>
      <c r="AP20" s="826"/>
      <c r="AQ20" s="826"/>
      <c r="AR20" s="632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spans="1:66" s="405" customFormat="1" ht="39.75" customHeight="1">
      <c r="A21" s="818"/>
      <c r="B21" s="818"/>
      <c r="C21" s="818"/>
      <c r="D21" s="818"/>
      <c r="E21" s="818"/>
      <c r="F21" s="818"/>
      <c r="G21" s="818"/>
      <c r="H21" s="818"/>
      <c r="I21" s="818"/>
      <c r="J21" s="818"/>
      <c r="K21" s="818"/>
      <c r="L21" s="818"/>
      <c r="M21" s="818"/>
      <c r="N21" s="818"/>
      <c r="O21" s="818"/>
      <c r="P21" s="818"/>
      <c r="Q21" s="818"/>
      <c r="R21" s="832"/>
      <c r="S21" s="819" t="s">
        <v>74</v>
      </c>
      <c r="T21" s="820"/>
      <c r="U21" s="407"/>
      <c r="V21" s="407"/>
      <c r="W21" s="407"/>
      <c r="X21" s="407"/>
      <c r="Y21" s="407"/>
      <c r="Z21" s="407"/>
      <c r="AA21" s="407"/>
      <c r="AB21" s="407"/>
      <c r="AC21" s="407"/>
      <c r="AD21" s="632"/>
      <c r="AE21" s="826"/>
      <c r="AF21" s="826"/>
      <c r="AG21" s="826"/>
      <c r="AH21" s="826"/>
      <c r="AI21" s="826"/>
      <c r="AJ21" s="826"/>
      <c r="AK21" s="826"/>
      <c r="AL21" s="826"/>
      <c r="AM21" s="826"/>
      <c r="AN21" s="826"/>
      <c r="AO21" s="826"/>
      <c r="AP21" s="826"/>
      <c r="AQ21" s="826"/>
      <c r="AR21" s="632"/>
      <c r="AS21" s="408" t="s">
        <v>75</v>
      </c>
      <c r="AT21" s="408"/>
      <c r="AU21" s="471"/>
      <c r="AV21"/>
      <c r="AW21" s="477"/>
      <c r="AX21"/>
      <c r="AY21"/>
      <c r="AZ21"/>
      <c r="BA21"/>
      <c r="BB21"/>
      <c r="BC21" s="406"/>
      <c r="BD21" s="408" t="s">
        <v>76</v>
      </c>
      <c r="BE21" s="408"/>
      <c r="BF21" s="471"/>
      <c r="BG21"/>
      <c r="BH21" s="477"/>
      <c r="BI21"/>
      <c r="BJ21"/>
      <c r="BK21"/>
      <c r="BL21"/>
      <c r="BM21"/>
      <c r="BN21" s="407"/>
    </row>
    <row r="22" spans="1:66" s="405" customFormat="1" ht="39.75" customHeight="1">
      <c r="A22" s="818"/>
      <c r="B22" s="818"/>
      <c r="C22" s="818"/>
      <c r="D22" s="818"/>
      <c r="E22" s="818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818"/>
      <c r="Q22" s="818"/>
      <c r="R22" s="832"/>
      <c r="S22" s="434" t="s">
        <v>50</v>
      </c>
      <c r="T22" s="435">
        <f>Royal2!G86</f>
        <v>199486.26855632639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2"/>
      <c r="AE22" s="633"/>
      <c r="AF22" s="633"/>
      <c r="AG22" s="633"/>
      <c r="AH22" s="634"/>
      <c r="AI22" s="633"/>
      <c r="AJ22" s="633"/>
      <c r="AK22" s="633"/>
      <c r="AL22" s="633"/>
      <c r="AM22" s="633"/>
      <c r="AN22" s="633"/>
      <c r="AO22" s="633"/>
      <c r="AP22" s="633"/>
      <c r="AQ22" s="633"/>
      <c r="AR22" s="632"/>
      <c r="AS22" s="464" t="s">
        <v>50</v>
      </c>
      <c r="AT22" s="465">
        <f ca="1">'بيرسا و لوفرز'!R69</f>
        <v>336416.92499999999</v>
      </c>
      <c r="AU22" s="472"/>
      <c r="AV22"/>
      <c r="AW22"/>
      <c r="AX22"/>
      <c r="AY22"/>
      <c r="AZ22"/>
      <c r="BA22"/>
      <c r="BB22"/>
      <c r="BC22" s="406"/>
      <c r="BD22" s="464" t="s">
        <v>50</v>
      </c>
      <c r="BE22" s="465">
        <f ca="1">'بيرسا و لوفرز'!R140</f>
        <v>324906.85933333338</v>
      </c>
      <c r="BF22" s="472"/>
      <c r="BG22"/>
      <c r="BH22"/>
      <c r="BI22"/>
      <c r="BJ22"/>
      <c r="BK22"/>
      <c r="BL22"/>
      <c r="BM22"/>
      <c r="BN22" s="407"/>
    </row>
    <row r="23" spans="1:66" s="405" customFormat="1" ht="39.75" customHeight="1">
      <c r="A23" s="818"/>
      <c r="B23" s="818"/>
      <c r="C23" s="818"/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32"/>
      <c r="S23" s="436" t="s">
        <v>51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24" t="s">
        <v>50</v>
      </c>
      <c r="AF23" s="824"/>
      <c r="AG23" s="825">
        <f>'شماسي و كانتليفر'!AE12</f>
        <v>22526.0625</v>
      </c>
      <c r="AH23" s="825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51</v>
      </c>
      <c r="AT23" s="466">
        <f ca="1">AT22/(AT33*AT34/10000)</f>
        <v>16491.025735294119</v>
      </c>
      <c r="AU23" s="472"/>
      <c r="AV23" s="473"/>
      <c r="AW23"/>
      <c r="AX23"/>
      <c r="AY23"/>
      <c r="AZ23"/>
      <c r="BA23"/>
      <c r="BB23"/>
      <c r="BC23" s="406"/>
      <c r="BD23" s="464" t="s">
        <v>51</v>
      </c>
      <c r="BE23" s="466">
        <f ca="1">BE22/(BE33*BE34/10000)</f>
        <v>15926.806830065363</v>
      </c>
      <c r="BF23" s="472"/>
      <c r="BG23" s="473"/>
      <c r="BH23"/>
      <c r="BI23"/>
      <c r="BJ23"/>
      <c r="BK23"/>
      <c r="BL23"/>
      <c r="BM23"/>
      <c r="BN23" s="407"/>
    </row>
    <row r="24" spans="1:66" s="405" customFormat="1" ht="39.75" customHeight="1" thickBot="1">
      <c r="A24" s="818"/>
      <c r="B24" s="818"/>
      <c r="C24" s="818"/>
      <c r="D24" s="818"/>
      <c r="E24" s="818"/>
      <c r="F24" s="818"/>
      <c r="G24" s="818"/>
      <c r="H24" s="818"/>
      <c r="I24" s="818"/>
      <c r="J24" s="818"/>
      <c r="K24" s="818"/>
      <c r="L24" s="818"/>
      <c r="M24" s="818"/>
      <c r="N24" s="818"/>
      <c r="O24" s="818"/>
      <c r="P24" s="818"/>
      <c r="Q24" s="818"/>
      <c r="R24" s="832"/>
      <c r="S24" s="432" t="s">
        <v>52</v>
      </c>
      <c r="T24" s="433" t="s">
        <v>53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24"/>
      <c r="AF24" s="824"/>
      <c r="AG24" s="825"/>
      <c r="AH24" s="825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52</v>
      </c>
      <c r="AT24" s="416" t="s">
        <v>114</v>
      </c>
      <c r="AU24"/>
      <c r="AV24"/>
      <c r="AW24"/>
      <c r="AX24"/>
      <c r="AY24"/>
      <c r="AZ24"/>
      <c r="BA24"/>
      <c r="BB24"/>
      <c r="BC24" s="406"/>
      <c r="BD24" s="418" t="s">
        <v>52</v>
      </c>
      <c r="BE24" s="416" t="s">
        <v>53</v>
      </c>
      <c r="BF24"/>
      <c r="BG24"/>
      <c r="BH24"/>
      <c r="BI24"/>
      <c r="BJ24"/>
      <c r="BK24"/>
      <c r="BL24"/>
      <c r="BM24"/>
      <c r="BN24" s="407"/>
    </row>
    <row r="25" spans="1:66" ht="39.75" customHeight="1" thickBot="1">
      <c r="A25" s="818"/>
      <c r="B25" s="818"/>
      <c r="C25" s="818"/>
      <c r="D25" s="818"/>
      <c r="E25" s="818"/>
      <c r="F25" s="818"/>
      <c r="G25" s="818"/>
      <c r="H25" s="818"/>
      <c r="I25" s="818"/>
      <c r="J25" s="818"/>
      <c r="K25" s="818"/>
      <c r="L25" s="818"/>
      <c r="M25" s="818"/>
      <c r="N25" s="818"/>
      <c r="O25" s="818"/>
      <c r="P25" s="818"/>
      <c r="Q25" s="818"/>
      <c r="R25" s="832"/>
      <c r="S25" s="437" t="s">
        <v>1</v>
      </c>
      <c r="T25" s="438" t="s">
        <v>787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1</v>
      </c>
      <c r="AT25" s="419" t="s">
        <v>787</v>
      </c>
      <c r="AW25" s="485">
        <f>AT34</f>
        <v>510</v>
      </c>
      <c r="BD25" s="418" t="s">
        <v>1</v>
      </c>
      <c r="BE25" s="419" t="s">
        <v>787</v>
      </c>
      <c r="BH25" s="485">
        <f>BE34</f>
        <v>510</v>
      </c>
      <c r="BN25" s="407"/>
    </row>
    <row r="26" spans="1:66" ht="39.75" customHeight="1">
      <c r="A26" s="818"/>
      <c r="B26" s="818"/>
      <c r="C26" s="818"/>
      <c r="D26" s="818"/>
      <c r="E26" s="818"/>
      <c r="F26" s="818"/>
      <c r="G26" s="818"/>
      <c r="H26" s="818"/>
      <c r="I26" s="818"/>
      <c r="J26" s="818"/>
      <c r="K26" s="818"/>
      <c r="L26" s="818"/>
      <c r="M26" s="818"/>
      <c r="N26" s="818"/>
      <c r="O26" s="818"/>
      <c r="P26" s="818"/>
      <c r="Q26" s="818"/>
      <c r="R26" s="832"/>
      <c r="S26" s="432" t="s">
        <v>2</v>
      </c>
      <c r="T26" s="439" t="s">
        <v>11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799" t="s">
        <v>56</v>
      </c>
      <c r="AH26" s="833" t="s">
        <v>80</v>
      </c>
      <c r="AI26" s="799" t="s">
        <v>59</v>
      </c>
      <c r="AJ26" s="799" t="s">
        <v>60</v>
      </c>
      <c r="AK26" s="799" t="s">
        <v>61</v>
      </c>
      <c r="AL26" s="801" t="s">
        <v>62</v>
      </c>
      <c r="AM26" s="801"/>
      <c r="AN26" s="407"/>
      <c r="AO26" s="407"/>
      <c r="AP26" s="407"/>
      <c r="AQ26" s="407"/>
      <c r="AR26" s="406"/>
      <c r="AS26" s="420" t="s">
        <v>2</v>
      </c>
      <c r="AT26" s="421" t="s">
        <v>11</v>
      </c>
      <c r="BD26" s="420" t="s">
        <v>2</v>
      </c>
      <c r="BE26" s="421" t="s">
        <v>6</v>
      </c>
      <c r="BN26" s="407"/>
    </row>
    <row r="27" spans="1:66" ht="39.75" customHeight="1">
      <c r="A27" s="818"/>
      <c r="B27" s="818"/>
      <c r="C27" s="818"/>
      <c r="D27" s="818"/>
      <c r="E27" s="818"/>
      <c r="F27" s="818"/>
      <c r="G27" s="818"/>
      <c r="H27" s="818"/>
      <c r="I27" s="818"/>
      <c r="J27" s="818"/>
      <c r="K27" s="818"/>
      <c r="L27" s="818"/>
      <c r="M27" s="818"/>
      <c r="N27" s="818"/>
      <c r="O27" s="818"/>
      <c r="P27" s="818"/>
      <c r="Q27" s="818"/>
      <c r="R27" s="83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00"/>
      <c r="AH27" s="834"/>
      <c r="AI27" s="800"/>
      <c r="AJ27" s="800"/>
      <c r="AK27" s="800"/>
      <c r="AL27" s="802"/>
      <c r="AM27" s="802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spans="1:66" ht="39.75" customHeight="1">
      <c r="A28" s="818"/>
      <c r="B28" s="818"/>
      <c r="C28" s="818"/>
      <c r="D28" s="818"/>
      <c r="E28" s="818"/>
      <c r="F28" s="818"/>
      <c r="G28" s="818"/>
      <c r="H28" s="818"/>
      <c r="I28" s="818"/>
      <c r="J28" s="818"/>
      <c r="K28" s="818"/>
      <c r="L28" s="818"/>
      <c r="M28" s="818"/>
      <c r="N28" s="818"/>
      <c r="O28" s="818"/>
      <c r="P28" s="818"/>
      <c r="Q28" s="818"/>
      <c r="R28" s="83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03" t="s">
        <v>313</v>
      </c>
      <c r="AH28" s="803" t="s">
        <v>81</v>
      </c>
      <c r="AI28" s="803" t="s">
        <v>11</v>
      </c>
      <c r="AJ28" s="803" t="s">
        <v>284</v>
      </c>
      <c r="AK28" s="803" t="s">
        <v>316</v>
      </c>
      <c r="AL28" s="814"/>
      <c r="AM28" s="81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spans="1:66" ht="39.75" customHeight="1">
      <c r="A29" s="818"/>
      <c r="B29" s="818"/>
      <c r="C29" s="818"/>
      <c r="D29" s="818"/>
      <c r="E29" s="818"/>
      <c r="F29" s="818"/>
      <c r="G29" s="818"/>
      <c r="H29" s="818"/>
      <c r="I29" s="818"/>
      <c r="J29" s="818"/>
      <c r="K29" s="818"/>
      <c r="L29" s="818"/>
      <c r="M29" s="818"/>
      <c r="N29" s="818"/>
      <c r="O29" s="818"/>
      <c r="P29" s="818"/>
      <c r="Q29" s="818"/>
      <c r="R29" s="83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04"/>
      <c r="AH29" s="804"/>
      <c r="AI29" s="804"/>
      <c r="AJ29" s="804"/>
      <c r="AK29" s="804"/>
      <c r="AL29" s="815"/>
      <c r="AM29" s="815"/>
      <c r="AN29" s="407"/>
      <c r="AO29" s="407"/>
      <c r="AP29" s="407"/>
      <c r="AQ29" s="407"/>
      <c r="AR29" s="406"/>
      <c r="AS29" s="415" t="s">
        <v>67</v>
      </c>
      <c r="AT29" s="475" t="s">
        <v>91</v>
      </c>
      <c r="BD29" s="415" t="s">
        <v>67</v>
      </c>
      <c r="BE29" s="475" t="s">
        <v>91</v>
      </c>
      <c r="BN29" s="407"/>
    </row>
    <row r="30" spans="1:66" ht="39.75" customHeight="1">
      <c r="A30" s="818"/>
      <c r="B30" s="818"/>
      <c r="C30" s="818"/>
      <c r="D30" s="818"/>
      <c r="E30" s="818"/>
      <c r="F30" s="818"/>
      <c r="G30" s="818"/>
      <c r="H30" s="818"/>
      <c r="I30" s="818"/>
      <c r="J30" s="818"/>
      <c r="K30" s="818"/>
      <c r="L30" s="818"/>
      <c r="M30" s="818"/>
      <c r="N30" s="818"/>
      <c r="O30" s="818"/>
      <c r="P30" s="818"/>
      <c r="Q30" s="818"/>
      <c r="R30" s="832"/>
      <c r="S30" s="432" t="s">
        <v>82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0</v>
      </c>
      <c r="AT30" s="475" t="s">
        <v>5</v>
      </c>
      <c r="AV30" s="476"/>
      <c r="AW30" s="477"/>
      <c r="AX30" s="477"/>
      <c r="AY30" s="477"/>
      <c r="AZ30" s="477"/>
      <c r="BD30" s="415" t="s">
        <v>0</v>
      </c>
      <c r="BE30" s="475" t="s">
        <v>5</v>
      </c>
      <c r="BG30" s="476"/>
      <c r="BH30" s="477"/>
      <c r="BI30" s="477"/>
      <c r="BJ30" s="477"/>
      <c r="BK30" s="477"/>
      <c r="BN30" s="407"/>
    </row>
    <row r="31" spans="1:66" ht="39.75" customHeight="1" thickBot="1">
      <c r="A31" s="818"/>
      <c r="B31" s="818"/>
      <c r="C31" s="818"/>
      <c r="D31" s="818"/>
      <c r="E31" s="818"/>
      <c r="F31" s="818"/>
      <c r="G31" s="818"/>
      <c r="H31" s="818"/>
      <c r="I31" s="818"/>
      <c r="J31" s="818"/>
      <c r="K31" s="818"/>
      <c r="L31" s="818"/>
      <c r="M31" s="818"/>
      <c r="N31" s="818"/>
      <c r="O31" s="818"/>
      <c r="P31" s="818"/>
      <c r="Q31" s="818"/>
      <c r="R31" s="832"/>
      <c r="S31" s="432" t="s">
        <v>592</v>
      </c>
      <c r="T31" s="583" t="s">
        <v>593</v>
      </c>
      <c r="U31" s="443" t="s">
        <v>5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2" t="s">
        <v>83</v>
      </c>
      <c r="AF31" s="822"/>
      <c r="AG31" s="822"/>
      <c r="AH31" s="822"/>
      <c r="AI31" s="822"/>
      <c r="AJ31" s="822"/>
      <c r="AK31" s="822"/>
      <c r="AL31" s="822"/>
      <c r="AM31" s="822"/>
      <c r="AN31" s="822"/>
      <c r="AO31" s="822"/>
      <c r="AP31" s="822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spans="1:66" ht="39.75" customHeight="1" thickBot="1">
      <c r="A32" s="818"/>
      <c r="B32" s="818"/>
      <c r="C32" s="818"/>
      <c r="D32" s="818"/>
      <c r="E32" s="818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32"/>
      <c r="S32" s="432" t="s">
        <v>70</v>
      </c>
      <c r="T32" s="445" t="s">
        <v>7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70</v>
      </c>
      <c r="AT32" s="426" t="s">
        <v>7</v>
      </c>
      <c r="BA32" s="476"/>
      <c r="BD32" s="430" t="s">
        <v>70</v>
      </c>
      <c r="BE32" s="426" t="s">
        <v>12</v>
      </c>
      <c r="BL32" s="476"/>
      <c r="BN32" s="407"/>
    </row>
    <row r="33" spans="1:66" ht="39.75" customHeight="1">
      <c r="A33" s="818"/>
      <c r="B33" s="818"/>
      <c r="C33" s="818"/>
      <c r="D33" s="818"/>
      <c r="E33" s="818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8"/>
      <c r="Q33" s="818"/>
      <c r="R33" s="832"/>
      <c r="S33" s="432" t="s">
        <v>71</v>
      </c>
      <c r="T33" s="447"/>
      <c r="U33" s="446"/>
      <c r="V33" s="823"/>
      <c r="W33" s="823"/>
      <c r="X33" s="448"/>
      <c r="Y33" s="446"/>
      <c r="Z33" s="446"/>
      <c r="AA33" s="445">
        <v>400</v>
      </c>
      <c r="AB33" s="446"/>
      <c r="AC33" s="446"/>
      <c r="AD33" s="601"/>
      <c r="AE33" s="600"/>
      <c r="AF33" s="600"/>
      <c r="AG33" s="600"/>
      <c r="AH33" s="600"/>
      <c r="AI33" s="600"/>
      <c r="AJ33" s="600"/>
      <c r="AK33" s="600"/>
      <c r="AL33" s="600"/>
      <c r="AM33" s="600"/>
      <c r="AN33" s="600"/>
      <c r="AO33" s="600"/>
      <c r="AP33" s="600"/>
      <c r="AQ33" s="600"/>
      <c r="AR33" s="601"/>
      <c r="AS33" s="430" t="s">
        <v>71</v>
      </c>
      <c r="AT33" s="430">
        <v>400</v>
      </c>
      <c r="BA33" t="s">
        <v>72</v>
      </c>
      <c r="BD33" s="430" t="s">
        <v>71</v>
      </c>
      <c r="BE33" s="430">
        <v>400</v>
      </c>
      <c r="BL33" t="s">
        <v>72</v>
      </c>
      <c r="BN33" s="407"/>
    </row>
    <row r="34" spans="1:66" ht="40.5" customHeight="1">
      <c r="A34" s="818"/>
      <c r="B34" s="818"/>
      <c r="C34" s="818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32"/>
      <c r="S34" s="432" t="s">
        <v>73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1"/>
      <c r="AE34" s="600"/>
      <c r="AF34" s="600"/>
      <c r="AG34" s="600"/>
      <c r="AH34" s="602"/>
      <c r="AI34" s="600"/>
      <c r="AJ34" s="600"/>
      <c r="AK34" s="600"/>
      <c r="AL34" s="600"/>
      <c r="AM34" s="600"/>
      <c r="AN34" s="600"/>
      <c r="AO34" s="600"/>
      <c r="AP34" s="600"/>
      <c r="AQ34" s="600"/>
      <c r="AR34" s="601"/>
      <c r="AS34" s="430" t="s">
        <v>73</v>
      </c>
      <c r="AT34" s="430">
        <v>510</v>
      </c>
      <c r="AU34" s="478"/>
      <c r="AZ34" s="835"/>
      <c r="BA34" s="835"/>
      <c r="BB34" s="835"/>
      <c r="BD34" s="430" t="s">
        <v>73</v>
      </c>
      <c r="BE34" s="430">
        <v>510</v>
      </c>
      <c r="BF34" s="478"/>
      <c r="BK34" s="835"/>
      <c r="BL34" s="835"/>
      <c r="BM34" s="835"/>
      <c r="BN34" s="407"/>
    </row>
    <row r="35" spans="1:66" ht="41.25" customHeight="1" thickBot="1">
      <c r="A35" s="818"/>
      <c r="B35" s="818"/>
      <c r="C35" s="818"/>
      <c r="D35" s="818"/>
      <c r="E35" s="818"/>
      <c r="F35" s="818"/>
      <c r="G35" s="818"/>
      <c r="H35" s="818"/>
      <c r="I35" s="818"/>
      <c r="J35" s="818"/>
      <c r="K35" s="818"/>
      <c r="L35" s="818"/>
      <c r="M35" s="818"/>
      <c r="N35" s="818"/>
      <c r="O35" s="818"/>
      <c r="P35" s="818"/>
      <c r="Q35" s="818"/>
      <c r="R35" s="83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29"/>
      <c r="AE35" s="824" t="s">
        <v>50</v>
      </c>
      <c r="AF35" s="824"/>
      <c r="AG35" s="825">
        <f>'شماسي كانتليفر'!T25</f>
        <v>20454.52</v>
      </c>
      <c r="AH35" s="825"/>
      <c r="AI35" s="414"/>
      <c r="AJ35" s="414"/>
      <c r="AK35" s="407"/>
      <c r="AL35" s="407"/>
      <c r="AM35" s="407"/>
      <c r="AN35" s="407"/>
      <c r="AO35" s="407"/>
      <c r="AP35" s="407"/>
      <c r="AQ35" s="407"/>
      <c r="AR35" s="629"/>
      <c r="AS35" s="407"/>
      <c r="AT35" s="407"/>
      <c r="BD35" s="407"/>
      <c r="BE35" s="407"/>
      <c r="BN35" s="407"/>
    </row>
    <row r="36" spans="1:66" ht="41.25" customHeight="1" thickBot="1">
      <c r="A36" s="818"/>
      <c r="B36" s="818"/>
      <c r="C36" s="818"/>
      <c r="D36" s="818"/>
      <c r="E36" s="818"/>
      <c r="F36" s="818"/>
      <c r="G36" s="818"/>
      <c r="H36" s="818"/>
      <c r="I36" s="818"/>
      <c r="J36" s="818"/>
      <c r="K36" s="818"/>
      <c r="L36" s="818"/>
      <c r="M36" s="818"/>
      <c r="N36" s="818"/>
      <c r="O36" s="818"/>
      <c r="P36" s="818"/>
      <c r="Q36" s="818"/>
      <c r="R36" s="83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14</v>
      </c>
      <c r="AD36" s="629"/>
      <c r="AE36" s="824"/>
      <c r="AF36" s="824"/>
      <c r="AG36" s="825"/>
      <c r="AH36" s="825"/>
      <c r="AI36" s="828" t="s">
        <v>702</v>
      </c>
      <c r="AJ36" s="828"/>
      <c r="AK36" s="828"/>
      <c r="AL36" s="407"/>
      <c r="AM36" s="407"/>
      <c r="AN36" s="407"/>
      <c r="AO36" s="407"/>
      <c r="AP36" s="407"/>
      <c r="AQ36" s="407"/>
      <c r="AR36" s="629"/>
      <c r="AS36" s="407"/>
      <c r="AT36" s="407"/>
      <c r="BA36" s="485">
        <f>AT33</f>
        <v>400</v>
      </c>
      <c r="BD36" s="407"/>
      <c r="BE36" s="407"/>
      <c r="BN36" s="407"/>
    </row>
    <row r="37" spans="1:66" ht="41.25" customHeight="1" thickBot="1">
      <c r="A37" s="818"/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8"/>
      <c r="P37" s="818"/>
      <c r="Q37" s="818"/>
      <c r="R37" s="832"/>
      <c r="S37" s="407"/>
      <c r="T37" s="407"/>
      <c r="U37" s="821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1"/>
      <c r="W37" s="821"/>
      <c r="X37" s="821"/>
      <c r="Y37" s="821"/>
      <c r="Z37" s="821"/>
      <c r="AA37" s="821"/>
      <c r="AB37" s="821"/>
      <c r="AC37" s="821"/>
      <c r="AD37" s="629"/>
      <c r="AE37" s="453"/>
      <c r="AF37" s="454"/>
      <c r="AG37" s="454"/>
      <c r="AH37" s="414"/>
      <c r="AI37" s="828"/>
      <c r="AJ37" s="828"/>
      <c r="AK37" s="828"/>
      <c r="AL37" s="407"/>
      <c r="AM37" s="407"/>
      <c r="AN37" s="407"/>
      <c r="AO37" s="407"/>
      <c r="AP37" s="407"/>
      <c r="AQ37" s="407"/>
      <c r="AR37" s="629"/>
      <c r="AS37" s="841">
        <f ca="1">('بيرسا و لوفرز'!F24+'بيرسا و لوفرز'!V55+'بيرسا و لوفرز'!V63)*1.35</f>
        <v>239020.47000000003</v>
      </c>
      <c r="AT37" s="842"/>
      <c r="BD37" s="841">
        <f ca="1">('بيرسا و لوفرز'!F97+'بيرسا و لوفرز'!V126+'بيرسا و لوفرز'!V134)*1.35</f>
        <v>222599.07000000004</v>
      </c>
      <c r="BE37" s="842"/>
      <c r="BN37" s="407"/>
    </row>
    <row r="38" spans="1:66" ht="41.25" customHeight="1" thickTop="1" thickBot="1">
      <c r="A38" s="805"/>
      <c r="B38" s="805"/>
      <c r="C38" s="805"/>
      <c r="D38" s="805"/>
      <c r="E38" s="805"/>
      <c r="F38" s="805"/>
      <c r="G38" s="805"/>
      <c r="H38" s="805"/>
      <c r="I38" s="805"/>
      <c r="J38" s="805"/>
      <c r="K38" s="805"/>
      <c r="L38" s="805"/>
      <c r="M38" s="805"/>
      <c r="N38" s="805"/>
      <c r="O38" s="805"/>
      <c r="P38" s="805"/>
      <c r="Q38" s="805"/>
      <c r="R38" s="83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29"/>
      <c r="AE38" s="407"/>
      <c r="AF38" s="407"/>
      <c r="AG38" s="799" t="s">
        <v>56</v>
      </c>
      <c r="AH38" s="833" t="s">
        <v>80</v>
      </c>
      <c r="AI38" s="799" t="s">
        <v>59</v>
      </c>
      <c r="AJ38" s="799" t="s">
        <v>60</v>
      </c>
      <c r="AK38" s="801" t="s">
        <v>62</v>
      </c>
      <c r="AL38" s="407"/>
      <c r="AM38" s="407"/>
      <c r="AN38" s="407"/>
      <c r="AO38" s="407"/>
      <c r="AP38" s="407"/>
      <c r="AQ38" s="407"/>
      <c r="AR38" s="629"/>
      <c r="AS38" s="841">
        <f ca="1">AS37/(AT34*AT33/10000)</f>
        <v>11716.689705882356</v>
      </c>
      <c r="AT38" s="842"/>
      <c r="BD38" s="841">
        <f ca="1">BD37/(BE33*BE34/10000)</f>
        <v>10911.719117647061</v>
      </c>
      <c r="BE38" s="842"/>
      <c r="BK38" s="485">
        <f>BE33</f>
        <v>400</v>
      </c>
      <c r="BN38" s="407"/>
    </row>
    <row r="39" spans="1:66" ht="41.25" customHeight="1" thickBot="1">
      <c r="A39" s="805"/>
      <c r="B39" s="805"/>
      <c r="C39" s="805"/>
      <c r="D39" s="805"/>
      <c r="E39" s="805"/>
      <c r="F39" s="805"/>
      <c r="G39" s="805"/>
      <c r="H39" s="805"/>
      <c r="I39" s="805"/>
      <c r="J39" s="805"/>
      <c r="K39" s="805"/>
      <c r="L39" s="805"/>
      <c r="M39" s="805"/>
      <c r="N39" s="805"/>
      <c r="O39" s="805"/>
      <c r="P39" s="805"/>
      <c r="Q39" s="805"/>
      <c r="R39" s="832"/>
      <c r="S39" s="805"/>
      <c r="T39" s="805"/>
      <c r="U39" s="805"/>
      <c r="V39" s="805"/>
      <c r="W39" s="805"/>
      <c r="X39" s="805"/>
      <c r="Y39" s="805"/>
      <c r="Z39" s="805"/>
      <c r="AA39" s="805"/>
      <c r="AB39" s="805"/>
      <c r="AC39" s="805"/>
      <c r="AD39" s="629"/>
      <c r="AE39" s="407"/>
      <c r="AF39" s="407"/>
      <c r="AG39" s="800"/>
      <c r="AH39" s="834"/>
      <c r="AI39" s="800"/>
      <c r="AJ39" s="800"/>
      <c r="AK39" s="802"/>
      <c r="AL39" s="407"/>
      <c r="AM39" s="407"/>
      <c r="AN39" s="407"/>
      <c r="AO39" s="407"/>
      <c r="AP39" s="407"/>
      <c r="AQ39" s="407"/>
      <c r="AR39" s="629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spans="1:66" ht="30.75" customHeight="1" thickTop="1">
      <c r="A40" s="805"/>
      <c r="B40" s="805"/>
      <c r="C40" s="805"/>
      <c r="D40" s="805"/>
      <c r="E40" s="805"/>
      <c r="F40" s="805"/>
      <c r="G40" s="805"/>
      <c r="H40" s="805"/>
      <c r="I40" s="805"/>
      <c r="J40" s="805"/>
      <c r="K40" s="805"/>
      <c r="L40" s="805"/>
      <c r="M40" s="805"/>
      <c r="N40" s="805"/>
      <c r="O40" s="805"/>
      <c r="P40" s="805"/>
      <c r="Q40" s="805"/>
      <c r="R40" s="832"/>
      <c r="S40" s="805"/>
      <c r="T40" s="805"/>
      <c r="U40" s="805"/>
      <c r="V40" s="805"/>
      <c r="W40" s="805"/>
      <c r="X40" s="805"/>
      <c r="Y40" s="805"/>
      <c r="Z40" s="805"/>
      <c r="AA40" s="805"/>
      <c r="AB40" s="805"/>
      <c r="AC40" s="805"/>
      <c r="AD40" s="629"/>
      <c r="AE40" s="407"/>
      <c r="AF40" s="407"/>
      <c r="AG40" s="803" t="s">
        <v>313</v>
      </c>
      <c r="AH40" s="803" t="s">
        <v>691</v>
      </c>
      <c r="AI40" s="803" t="s">
        <v>11</v>
      </c>
      <c r="AJ40" s="803" t="s">
        <v>284</v>
      </c>
      <c r="AK40" s="814"/>
      <c r="AL40" s="407"/>
      <c r="AM40" s="407"/>
      <c r="AN40" s="407"/>
      <c r="AO40" s="407"/>
      <c r="AP40" s="407"/>
      <c r="AQ40" s="407"/>
      <c r="AR40" s="629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spans="1:66" ht="42" customHeight="1">
      <c r="A41" s="805"/>
      <c r="B41" s="805"/>
      <c r="C41" s="805"/>
      <c r="D41" s="805"/>
      <c r="E41" s="805"/>
      <c r="F41" s="805"/>
      <c r="G41" s="805"/>
      <c r="H41" s="805"/>
      <c r="I41" s="805"/>
      <c r="J41" s="805"/>
      <c r="K41" s="805"/>
      <c r="L41" s="805"/>
      <c r="M41" s="805"/>
      <c r="N41" s="805"/>
      <c r="O41" s="805"/>
      <c r="P41" s="805"/>
      <c r="Q41" s="805"/>
      <c r="R41" s="832"/>
      <c r="S41" s="805"/>
      <c r="T41" s="805"/>
      <c r="U41" s="805"/>
      <c r="V41" s="805"/>
      <c r="W41" s="805"/>
      <c r="X41" s="805"/>
      <c r="Y41" s="805"/>
      <c r="Z41" s="805"/>
      <c r="AA41" s="805"/>
      <c r="AB41" s="805"/>
      <c r="AC41" s="805"/>
      <c r="AD41" s="629"/>
      <c r="AE41" s="407"/>
      <c r="AF41" s="407"/>
      <c r="AG41" s="804"/>
      <c r="AH41" s="804"/>
      <c r="AI41" s="804"/>
      <c r="AJ41" s="804"/>
      <c r="AK41" s="815"/>
      <c r="AL41" s="407"/>
      <c r="AM41" s="407"/>
      <c r="AN41" s="407"/>
      <c r="AO41" s="407"/>
      <c r="AP41" s="407"/>
      <c r="AQ41" s="407"/>
      <c r="AR41" s="629"/>
      <c r="AS41" s="843" t="s">
        <v>84</v>
      </c>
      <c r="AT41" s="843"/>
      <c r="AU41" s="843"/>
      <c r="AW41" s="477"/>
      <c r="BD41" s="408" t="s">
        <v>85</v>
      </c>
      <c r="BE41" s="408"/>
      <c r="BF41" s="408"/>
      <c r="BH41" s="477"/>
      <c r="BN41" s="407"/>
    </row>
    <row r="42" spans="1:66" ht="42" customHeight="1">
      <c r="A42" s="805"/>
      <c r="B42" s="805"/>
      <c r="C42" s="805"/>
      <c r="D42" s="805"/>
      <c r="E42" s="805"/>
      <c r="F42" s="805"/>
      <c r="G42" s="805"/>
      <c r="H42" s="805"/>
      <c r="I42" s="805"/>
      <c r="J42" s="805"/>
      <c r="K42" s="805"/>
      <c r="L42" s="805"/>
      <c r="M42" s="805"/>
      <c r="N42" s="805"/>
      <c r="O42" s="805"/>
      <c r="P42" s="805"/>
      <c r="Q42" s="805"/>
      <c r="R42" s="832"/>
      <c r="S42" s="819" t="s">
        <v>86</v>
      </c>
      <c r="T42" s="820"/>
      <c r="U42" s="450"/>
      <c r="V42" s="450"/>
      <c r="W42" s="450"/>
      <c r="X42" s="450"/>
      <c r="Y42" s="450"/>
      <c r="Z42" s="450"/>
      <c r="AA42" s="450"/>
      <c r="AB42" s="450"/>
      <c r="AC42" s="450"/>
      <c r="AD42" s="629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29"/>
      <c r="AS42" s="464" t="s">
        <v>50</v>
      </c>
      <c r="AT42" s="465">
        <f ca="1">'بيرسا و لوفرز'!BM68</f>
        <v>216991.02099999998</v>
      </c>
      <c r="AU42" s="472"/>
      <c r="BD42" s="464" t="s">
        <v>50</v>
      </c>
      <c r="BE42" s="465">
        <f ca="1">'بيرسا و لوفرز'!BM139</f>
        <v>226812.52099999998</v>
      </c>
      <c r="BF42" s="472"/>
      <c r="BN42" s="407"/>
    </row>
    <row r="43" spans="1:66" ht="42" customHeight="1">
      <c r="A43" s="818" t="s">
        <v>87</v>
      </c>
      <c r="B43" s="818"/>
      <c r="C43" s="818"/>
      <c r="D43" s="818"/>
      <c r="E43" s="818"/>
      <c r="F43" s="818"/>
      <c r="G43" s="818"/>
      <c r="H43" s="818"/>
      <c r="I43" s="818"/>
      <c r="J43" s="818"/>
      <c r="K43" s="818"/>
      <c r="L43" s="818"/>
      <c r="M43" s="818"/>
      <c r="N43" s="818"/>
      <c r="O43" s="818"/>
      <c r="P43" s="818"/>
      <c r="Q43" s="818"/>
      <c r="R43" s="832"/>
      <c r="S43" s="434" t="s">
        <v>50</v>
      </c>
      <c r="T43" s="435">
        <f>'شماسي و كانتليفر'!N51</f>
        <v>103207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29"/>
      <c r="AE43" s="822" t="s">
        <v>784</v>
      </c>
      <c r="AF43" s="822"/>
      <c r="AG43" s="822"/>
      <c r="AH43" s="822"/>
      <c r="AI43" s="822"/>
      <c r="AJ43" s="822"/>
      <c r="AK43" s="822"/>
      <c r="AL43" s="822"/>
      <c r="AM43" s="455"/>
      <c r="AN43" s="455"/>
      <c r="AO43" s="455"/>
      <c r="AP43" s="455"/>
      <c r="AQ43" s="407"/>
      <c r="AR43" s="629"/>
      <c r="AS43" s="464" t="s">
        <v>51</v>
      </c>
      <c r="AT43" s="466">
        <f ca="1">AT42/(AT53*AT54/10000)</f>
        <v>10849.551049999998</v>
      </c>
      <c r="AU43" s="472"/>
      <c r="AV43" s="473"/>
      <c r="BD43" s="464" t="s">
        <v>51</v>
      </c>
      <c r="BE43" s="466">
        <f ca="1">BE42/(BE53*BE54/10000)</f>
        <v>11340.626049999999</v>
      </c>
      <c r="BF43" s="472"/>
      <c r="BG43" s="473"/>
      <c r="BN43" s="407"/>
    </row>
    <row r="44" spans="1:66" ht="42" customHeight="1" thickBot="1">
      <c r="A44" s="818"/>
      <c r="B44" s="818"/>
      <c r="C44" s="818"/>
      <c r="D44" s="818"/>
      <c r="E44" s="818"/>
      <c r="F44" s="818"/>
      <c r="G44" s="818"/>
      <c r="H44" s="818"/>
      <c r="I44" s="818"/>
      <c r="J44" s="818"/>
      <c r="K44" s="818"/>
      <c r="L44" s="818"/>
      <c r="M44" s="818"/>
      <c r="N44" s="818"/>
      <c r="O44" s="818"/>
      <c r="P44" s="818"/>
      <c r="Q44" s="818"/>
      <c r="R44" s="832"/>
      <c r="S44" s="436" t="s">
        <v>51</v>
      </c>
      <c r="T44" s="435">
        <f>T43/T51</f>
        <v>4128.28</v>
      </c>
      <c r="U44" s="450"/>
      <c r="V44" s="450"/>
      <c r="W44" s="450"/>
      <c r="X44" s="450"/>
      <c r="Y44" s="817"/>
      <c r="Z44" s="817"/>
      <c r="AA44" s="450"/>
      <c r="AB44" s="450"/>
      <c r="AC44" s="450"/>
      <c r="AD44" s="629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29"/>
      <c r="AS44" s="418" t="s">
        <v>52</v>
      </c>
      <c r="AT44" s="416" t="s">
        <v>88</v>
      </c>
      <c r="BD44" s="418" t="s">
        <v>52</v>
      </c>
      <c r="BE44" s="416" t="s">
        <v>89</v>
      </c>
      <c r="BN44" s="407"/>
    </row>
    <row r="45" spans="1:66" ht="42" customHeight="1" thickBot="1">
      <c r="A45" s="818"/>
      <c r="B45" s="818"/>
      <c r="C45" s="818"/>
      <c r="D45" s="818"/>
      <c r="E45" s="818"/>
      <c r="F45" s="818"/>
      <c r="G45" s="818"/>
      <c r="H45" s="818"/>
      <c r="I45" s="818"/>
      <c r="J45" s="818"/>
      <c r="K45" s="818"/>
      <c r="L45" s="818"/>
      <c r="M45" s="818"/>
      <c r="N45" s="818"/>
      <c r="O45" s="818"/>
      <c r="P45" s="818"/>
      <c r="Q45" s="818"/>
      <c r="R45" s="832"/>
      <c r="S45" s="432" t="s">
        <v>52</v>
      </c>
      <c r="T45" s="433" t="s">
        <v>53</v>
      </c>
      <c r="U45" s="450"/>
      <c r="V45" s="450"/>
      <c r="W45" s="450"/>
      <c r="X45" s="450"/>
      <c r="Y45" s="817"/>
      <c r="Z45" s="817"/>
      <c r="AA45" s="450"/>
      <c r="AB45" s="450"/>
      <c r="AC45" s="450"/>
      <c r="AD45" s="629"/>
      <c r="AE45" s="629"/>
      <c r="AF45" s="629"/>
      <c r="AG45" s="629"/>
      <c r="AH45" s="629"/>
      <c r="AI45" s="629"/>
      <c r="AJ45" s="629"/>
      <c r="AK45" s="629"/>
      <c r="AL45" s="629"/>
      <c r="AM45" s="629"/>
      <c r="AN45" s="629"/>
      <c r="AO45" s="629"/>
      <c r="AP45" s="629"/>
      <c r="AQ45" s="629"/>
      <c r="AR45" s="629"/>
      <c r="AS45" s="418" t="s">
        <v>1</v>
      </c>
      <c r="AT45" s="419" t="s">
        <v>10</v>
      </c>
      <c r="AZ45" s="485">
        <f>AT53</f>
        <v>500</v>
      </c>
      <c r="BD45" s="418" t="s">
        <v>1</v>
      </c>
      <c r="BE45" s="419" t="s">
        <v>10</v>
      </c>
      <c r="BN45" s="407"/>
    </row>
    <row r="46" spans="1:66" ht="42" customHeight="1" thickBot="1">
      <c r="A46" s="818"/>
      <c r="B46" s="818"/>
      <c r="C46" s="818"/>
      <c r="D46" s="818"/>
      <c r="E46" s="818"/>
      <c r="F46" s="818"/>
      <c r="G46" s="818"/>
      <c r="H46" s="818"/>
      <c r="I46" s="818"/>
      <c r="J46" s="818"/>
      <c r="K46" s="818"/>
      <c r="L46" s="818"/>
      <c r="M46" s="818"/>
      <c r="N46" s="818"/>
      <c r="O46" s="818"/>
      <c r="P46" s="818"/>
      <c r="Q46" s="818"/>
      <c r="R46" s="832"/>
      <c r="S46" s="437" t="s">
        <v>1</v>
      </c>
      <c r="T46" s="438" t="s">
        <v>788</v>
      </c>
      <c r="U46" s="450"/>
      <c r="V46" s="450"/>
      <c r="W46" s="450"/>
      <c r="X46" s="450"/>
      <c r="Y46" s="817"/>
      <c r="Z46" s="817"/>
      <c r="AA46" s="450"/>
      <c r="AB46" s="450"/>
      <c r="AC46" s="450"/>
      <c r="AD46" s="629"/>
      <c r="AE46" s="629"/>
      <c r="AF46" s="629"/>
      <c r="AG46" s="629"/>
      <c r="AH46" s="630"/>
      <c r="AI46" s="629"/>
      <c r="AJ46" s="629"/>
      <c r="AK46" s="629"/>
      <c r="AL46" s="629"/>
      <c r="AM46" s="629"/>
      <c r="AN46" s="629"/>
      <c r="AO46" s="629"/>
      <c r="AP46" s="629"/>
      <c r="AQ46" s="629"/>
      <c r="AR46" s="629"/>
      <c r="AS46" s="420" t="s">
        <v>2</v>
      </c>
      <c r="AT46" s="421" t="s">
        <v>11</v>
      </c>
      <c r="AX46" s="485">
        <f>AT54</f>
        <v>400</v>
      </c>
      <c r="BD46" s="420" t="s">
        <v>2</v>
      </c>
      <c r="BE46" s="421" t="s">
        <v>11</v>
      </c>
      <c r="BI46" s="485">
        <f>BE54</f>
        <v>400</v>
      </c>
      <c r="BM46" s="485">
        <f>BE53</f>
        <v>500</v>
      </c>
      <c r="BN46" s="407"/>
    </row>
    <row r="47" spans="1:66" ht="42" customHeight="1">
      <c r="A47" s="818"/>
      <c r="B47" s="818"/>
      <c r="C47" s="818"/>
      <c r="D47" s="818"/>
      <c r="E47" s="818"/>
      <c r="F47" s="818"/>
      <c r="G47" s="818"/>
      <c r="H47" s="818"/>
      <c r="I47" s="818"/>
      <c r="J47" s="818"/>
      <c r="K47" s="818"/>
      <c r="L47" s="818"/>
      <c r="M47" s="818"/>
      <c r="N47" s="818"/>
      <c r="O47" s="818"/>
      <c r="P47" s="818"/>
      <c r="Q47" s="818"/>
      <c r="R47" s="832"/>
      <c r="S47" s="432" t="s">
        <v>90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29"/>
      <c r="AE47" s="824" t="s">
        <v>50</v>
      </c>
      <c r="AF47" s="824"/>
      <c r="AG47" s="825">
        <f>'شماسي كانتليفر'!D24</f>
        <v>7050.2313249999997</v>
      </c>
      <c r="AH47" s="825"/>
      <c r="AI47" s="414"/>
      <c r="AJ47" s="414"/>
      <c r="AK47" s="407"/>
      <c r="AL47" s="407"/>
      <c r="AM47" s="407"/>
      <c r="AN47" s="407"/>
      <c r="AO47" s="407"/>
      <c r="AP47" s="407"/>
      <c r="AQ47" s="407"/>
      <c r="AR47" s="629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spans="1:66" ht="42" customHeight="1">
      <c r="A48" s="818"/>
      <c r="B48" s="818"/>
      <c r="C48" s="818"/>
      <c r="D48" s="818"/>
      <c r="E48" s="818"/>
      <c r="F48" s="818"/>
      <c r="G48" s="818"/>
      <c r="H48" s="818"/>
      <c r="I48" s="818"/>
      <c r="J48" s="818"/>
      <c r="K48" s="818"/>
      <c r="L48" s="818"/>
      <c r="M48" s="818"/>
      <c r="N48" s="818"/>
      <c r="O48" s="818"/>
      <c r="P48" s="818"/>
      <c r="Q48" s="818"/>
      <c r="R48" s="83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29"/>
      <c r="AE48" s="824"/>
      <c r="AF48" s="824"/>
      <c r="AG48" s="825"/>
      <c r="AH48" s="825"/>
      <c r="AI48" s="828" t="s">
        <v>702</v>
      </c>
      <c r="AJ48" s="828"/>
      <c r="AK48" s="828"/>
      <c r="AL48" s="407"/>
      <c r="AM48" s="407"/>
      <c r="AN48" s="407"/>
      <c r="AO48" s="407"/>
      <c r="AP48" s="407"/>
      <c r="AQ48" s="407"/>
      <c r="AR48" s="629"/>
      <c r="AS48" s="431"/>
      <c r="AT48" s="431"/>
      <c r="BD48" s="431"/>
      <c r="BE48" s="431"/>
      <c r="BN48" s="407"/>
    </row>
    <row r="49" spans="1:66" ht="42" customHeight="1" thickBot="1">
      <c r="A49" s="818"/>
      <c r="B49" s="818"/>
      <c r="C49" s="818"/>
      <c r="D49" s="818"/>
      <c r="E49" s="818"/>
      <c r="F49" s="818"/>
      <c r="G49" s="818"/>
      <c r="H49" s="818"/>
      <c r="I49" s="818"/>
      <c r="J49" s="818"/>
      <c r="K49" s="818"/>
      <c r="L49" s="818"/>
      <c r="M49" s="818"/>
      <c r="N49" s="818"/>
      <c r="O49" s="818"/>
      <c r="P49" s="818"/>
      <c r="Q49" s="818"/>
      <c r="R49" s="83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29"/>
      <c r="AE49" s="453"/>
      <c r="AF49" s="454"/>
      <c r="AG49" s="454"/>
      <c r="AH49" s="414"/>
      <c r="AI49" s="829"/>
      <c r="AJ49" s="829"/>
      <c r="AK49" s="829"/>
      <c r="AL49" s="407"/>
      <c r="AM49" s="407"/>
      <c r="AN49" s="407"/>
      <c r="AO49" s="407"/>
      <c r="AP49" s="407"/>
      <c r="AQ49" s="407"/>
      <c r="AR49" s="629"/>
      <c r="AS49" s="415" t="s">
        <v>67</v>
      </c>
      <c r="AT49" s="475" t="s">
        <v>91</v>
      </c>
      <c r="BD49" s="415" t="s">
        <v>67</v>
      </c>
      <c r="BE49" s="475" t="s">
        <v>91</v>
      </c>
      <c r="BN49" s="407"/>
    </row>
    <row r="50" spans="1:66" ht="42" customHeight="1" thickTop="1">
      <c r="A50" s="818"/>
      <c r="B50" s="818"/>
      <c r="C50" s="818"/>
      <c r="D50" s="818"/>
      <c r="E50" s="818"/>
      <c r="F50" s="818"/>
      <c r="G50" s="818"/>
      <c r="H50" s="818"/>
      <c r="I50" s="818"/>
      <c r="J50" s="818"/>
      <c r="K50" s="818"/>
      <c r="L50" s="818"/>
      <c r="M50" s="818"/>
      <c r="N50" s="818"/>
      <c r="O50" s="818"/>
      <c r="P50" s="818"/>
      <c r="Q50" s="818"/>
      <c r="R50" s="83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29"/>
      <c r="AE50" s="407"/>
      <c r="AF50" s="407"/>
      <c r="AG50" s="799" t="s">
        <v>56</v>
      </c>
      <c r="AH50" s="833" t="s">
        <v>80</v>
      </c>
      <c r="AI50" s="799" t="s">
        <v>59</v>
      </c>
      <c r="AJ50" s="799" t="s">
        <v>60</v>
      </c>
      <c r="AK50" s="799" t="s">
        <v>61</v>
      </c>
      <c r="AL50" s="799" t="s">
        <v>699</v>
      </c>
      <c r="AM50" s="801" t="s">
        <v>62</v>
      </c>
      <c r="AN50" s="407"/>
      <c r="AO50" s="407"/>
      <c r="AP50" s="407"/>
      <c r="AQ50" s="407"/>
      <c r="AR50" s="629"/>
      <c r="AS50" s="415" t="s">
        <v>0</v>
      </c>
      <c r="AT50" s="475" t="s">
        <v>5</v>
      </c>
      <c r="AV50" s="476"/>
      <c r="AW50" s="477"/>
      <c r="AX50" s="477"/>
      <c r="AY50" s="477"/>
      <c r="AZ50" s="477"/>
      <c r="BD50" s="415" t="s">
        <v>0</v>
      </c>
      <c r="BE50" s="475" t="s">
        <v>5</v>
      </c>
      <c r="BG50" s="476"/>
      <c r="BH50" s="477"/>
      <c r="BI50" s="477"/>
      <c r="BJ50" s="477"/>
      <c r="BK50" s="477"/>
      <c r="BN50" s="407"/>
    </row>
    <row r="51" spans="1:66" ht="42" customHeight="1" thickBot="1">
      <c r="A51" s="818"/>
      <c r="B51" s="818"/>
      <c r="C51" s="818"/>
      <c r="D51" s="818"/>
      <c r="E51" s="818"/>
      <c r="F51" s="818"/>
      <c r="G51" s="818"/>
      <c r="H51" s="818"/>
      <c r="I51" s="818"/>
      <c r="J51" s="818"/>
      <c r="K51" s="818"/>
      <c r="L51" s="818"/>
      <c r="M51" s="818"/>
      <c r="N51" s="818"/>
      <c r="O51" s="818"/>
      <c r="P51" s="818"/>
      <c r="Q51" s="818"/>
      <c r="R51" s="832"/>
      <c r="S51" s="432" t="s">
        <v>92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29"/>
      <c r="AE51" s="407"/>
      <c r="AF51" s="407"/>
      <c r="AG51" s="800"/>
      <c r="AH51" s="834"/>
      <c r="AI51" s="800"/>
      <c r="AJ51" s="800"/>
      <c r="AK51" s="800"/>
      <c r="AL51" s="800"/>
      <c r="AM51" s="802"/>
      <c r="AN51" s="407"/>
      <c r="AO51" s="407"/>
      <c r="AP51" s="407"/>
      <c r="AQ51" s="407"/>
      <c r="AR51" s="629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spans="1:66" ht="42" customHeight="1" thickTop="1" thickBot="1">
      <c r="A52" s="818"/>
      <c r="B52" s="818"/>
      <c r="C52" s="818"/>
      <c r="D52" s="818"/>
      <c r="E52" s="818"/>
      <c r="F52" s="818"/>
      <c r="G52" s="818"/>
      <c r="H52" s="818"/>
      <c r="I52" s="818"/>
      <c r="J52" s="818"/>
      <c r="K52" s="818"/>
      <c r="L52" s="818"/>
      <c r="M52" s="818"/>
      <c r="N52" s="818"/>
      <c r="O52" s="818"/>
      <c r="P52" s="818"/>
      <c r="Q52" s="818"/>
      <c r="R52" s="832"/>
      <c r="S52" s="432" t="s">
        <v>93</v>
      </c>
      <c r="T52" s="451" t="s">
        <v>94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29"/>
      <c r="AE52" s="407"/>
      <c r="AF52" s="407"/>
      <c r="AG52" s="803" t="s">
        <v>313</v>
      </c>
      <c r="AH52" s="803" t="s">
        <v>698</v>
      </c>
      <c r="AI52" s="803" t="s">
        <v>6</v>
      </c>
      <c r="AJ52" s="803" t="s">
        <v>284</v>
      </c>
      <c r="AK52" s="872" t="s">
        <v>682</v>
      </c>
      <c r="AL52" s="803" t="s">
        <v>673</v>
      </c>
      <c r="AM52" s="870"/>
      <c r="AN52" s="407"/>
      <c r="AO52" s="407"/>
      <c r="AP52" s="407"/>
      <c r="AQ52" s="407"/>
      <c r="AR52" s="629"/>
      <c r="AS52" s="430" t="s">
        <v>70</v>
      </c>
      <c r="AT52" s="426" t="s">
        <v>7</v>
      </c>
      <c r="BA52" s="476"/>
      <c r="BD52" s="430" t="s">
        <v>70</v>
      </c>
      <c r="BE52" s="426" t="s">
        <v>7</v>
      </c>
      <c r="BL52" s="476"/>
      <c r="BN52" s="407"/>
    </row>
    <row r="53" spans="1:66" ht="42" customHeight="1" thickBot="1">
      <c r="A53" s="818"/>
      <c r="B53" s="818"/>
      <c r="C53" s="818"/>
      <c r="D53" s="818"/>
      <c r="E53" s="818"/>
      <c r="F53" s="818"/>
      <c r="G53" s="818"/>
      <c r="H53" s="818"/>
      <c r="I53" s="818"/>
      <c r="J53" s="818"/>
      <c r="K53" s="818"/>
      <c r="L53" s="818"/>
      <c r="M53" s="818"/>
      <c r="N53" s="818"/>
      <c r="O53" s="818"/>
      <c r="P53" s="818"/>
      <c r="Q53" s="818"/>
      <c r="R53" s="832"/>
      <c r="S53" s="432" t="s">
        <v>70</v>
      </c>
      <c r="T53" s="445" t="s">
        <v>7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29"/>
      <c r="AE53" s="407"/>
      <c r="AF53" s="407"/>
      <c r="AG53" s="804"/>
      <c r="AH53" s="804"/>
      <c r="AI53" s="804"/>
      <c r="AJ53" s="804"/>
      <c r="AK53" s="873"/>
      <c r="AL53" s="804"/>
      <c r="AM53" s="871"/>
      <c r="AN53" s="407"/>
      <c r="AO53" s="407"/>
      <c r="AP53" s="407"/>
      <c r="AQ53" s="407"/>
      <c r="AR53" s="629"/>
      <c r="AS53" s="430" t="s">
        <v>71</v>
      </c>
      <c r="AT53" s="430">
        <v>500</v>
      </c>
      <c r="BA53" t="s">
        <v>72</v>
      </c>
      <c r="BD53" s="430" t="s">
        <v>71</v>
      </c>
      <c r="BE53" s="430">
        <v>500</v>
      </c>
      <c r="BL53" t="s">
        <v>72</v>
      </c>
      <c r="BN53" s="407"/>
    </row>
    <row r="54" spans="1:66" ht="42" customHeight="1">
      <c r="A54" s="818"/>
      <c r="B54" s="818"/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  <c r="O54" s="818"/>
      <c r="P54" s="818"/>
      <c r="Q54" s="818"/>
      <c r="R54" s="832"/>
      <c r="S54" s="432" t="s">
        <v>71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29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8"/>
      <c r="AQ54" s="407"/>
      <c r="AR54" s="629"/>
      <c r="AS54" s="430" t="s">
        <v>73</v>
      </c>
      <c r="AT54" s="430">
        <v>400</v>
      </c>
      <c r="AU54" s="478"/>
      <c r="AZ54" s="835"/>
      <c r="BA54" s="835"/>
      <c r="BB54" s="835"/>
      <c r="BD54" s="430" t="s">
        <v>73</v>
      </c>
      <c r="BE54" s="430">
        <v>400</v>
      </c>
      <c r="BF54" s="478"/>
      <c r="BK54" s="835"/>
      <c r="BL54" s="835"/>
      <c r="BM54" s="835"/>
      <c r="BN54" s="407"/>
    </row>
    <row r="55" spans="1:66" ht="42" customHeight="1" thickBot="1">
      <c r="A55" s="818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  <c r="N55" s="818"/>
      <c r="O55" s="818"/>
      <c r="P55" s="818"/>
      <c r="Q55" s="818"/>
      <c r="R55" s="832"/>
      <c r="S55" s="432" t="s">
        <v>73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29"/>
      <c r="AE55" s="822" t="s">
        <v>697</v>
      </c>
      <c r="AF55" s="822"/>
      <c r="AG55" s="822"/>
      <c r="AH55" s="822"/>
      <c r="AI55" s="822"/>
      <c r="AJ55" s="822"/>
      <c r="AK55" s="822"/>
      <c r="AL55" s="822"/>
      <c r="AM55" s="822"/>
      <c r="AN55" s="822"/>
      <c r="AO55" s="822"/>
      <c r="AP55" s="822"/>
      <c r="AQ55" s="407"/>
      <c r="AR55" s="629"/>
      <c r="AS55" s="407"/>
      <c r="AT55" s="407"/>
      <c r="BD55" s="407"/>
      <c r="BE55" s="407"/>
      <c r="BN55" s="407"/>
    </row>
    <row r="56" spans="1:66" ht="42" customHeight="1" thickBot="1">
      <c r="A56" s="818"/>
      <c r="B56" s="818"/>
      <c r="C56" s="818"/>
      <c r="D56" s="818"/>
      <c r="E56" s="818"/>
      <c r="F56" s="818"/>
      <c r="G56" s="818"/>
      <c r="H56" s="818"/>
      <c r="I56" s="818"/>
      <c r="J56" s="818"/>
      <c r="K56" s="818"/>
      <c r="L56" s="818"/>
      <c r="M56" s="818"/>
      <c r="N56" s="818"/>
      <c r="O56" s="818"/>
      <c r="P56" s="818"/>
      <c r="Q56" s="818"/>
      <c r="R56" s="83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29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29"/>
      <c r="AS56" s="407"/>
      <c r="AT56" s="407"/>
      <c r="BD56" s="407"/>
      <c r="BE56" s="407"/>
      <c r="BN56" s="407"/>
    </row>
    <row r="57" spans="1:66" ht="42" customHeight="1" thickBot="1">
      <c r="A57" s="818"/>
      <c r="B57" s="818"/>
      <c r="C57" s="818"/>
      <c r="D57" s="818"/>
      <c r="E57" s="818"/>
      <c r="F57" s="818"/>
      <c r="G57" s="818"/>
      <c r="H57" s="818"/>
      <c r="I57" s="818"/>
      <c r="J57" s="818"/>
      <c r="K57" s="818"/>
      <c r="L57" s="818"/>
      <c r="M57" s="818"/>
      <c r="N57" s="818"/>
      <c r="O57" s="818"/>
      <c r="P57" s="818"/>
      <c r="Q57" s="818"/>
      <c r="R57" s="83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29"/>
      <c r="AE57" s="629"/>
      <c r="AF57" s="629"/>
      <c r="AG57" s="629"/>
      <c r="AH57" s="629"/>
      <c r="AI57" s="629"/>
      <c r="AJ57" s="629"/>
      <c r="AK57" s="629"/>
      <c r="AL57" s="629"/>
      <c r="AM57" s="629"/>
      <c r="AN57" s="629"/>
      <c r="AO57" s="629"/>
      <c r="AP57" s="629"/>
      <c r="AQ57" s="629"/>
      <c r="AR57" s="629"/>
      <c r="AS57" s="839">
        <f ca="1">('بيرسا و لوفرز'!BA14+'بيرسا و لوفرز'!BP62+'بيرسا و لوفرز'!BQ54)*1.35</f>
        <v>151084.845</v>
      </c>
      <c r="AT57" s="840"/>
      <c r="BD57" s="839">
        <f ca="1">('بيرسا و لوفرز'!BA85+'بيرسا و لوفرز'!BP133+'بيرسا و لوفرز'!BQ125)*1.35</f>
        <v>151084.845</v>
      </c>
      <c r="BE57" s="840"/>
      <c r="BN57" s="407"/>
    </row>
    <row r="58" spans="1:66" ht="42" customHeight="1" thickBot="1">
      <c r="A58" s="818"/>
      <c r="B58" s="818"/>
      <c r="C58" s="818"/>
      <c r="D58" s="818"/>
      <c r="E58" s="818"/>
      <c r="F58" s="818"/>
      <c r="G58" s="818"/>
      <c r="H58" s="818"/>
      <c r="I58" s="818"/>
      <c r="J58" s="818"/>
      <c r="K58" s="818"/>
      <c r="L58" s="818"/>
      <c r="M58" s="818"/>
      <c r="N58" s="818"/>
      <c r="O58" s="818"/>
      <c r="P58" s="818"/>
      <c r="Q58" s="818"/>
      <c r="R58" s="832"/>
      <c r="S58" s="450"/>
      <c r="T58" s="450"/>
      <c r="U58" s="450"/>
      <c r="V58" s="450"/>
      <c r="Y58" s="450"/>
      <c r="Z58" s="450"/>
      <c r="AA58" s="450"/>
      <c r="AB58" s="450"/>
      <c r="AC58" s="450"/>
      <c r="AD58" s="629"/>
      <c r="AE58" s="628"/>
      <c r="AF58" s="629"/>
      <c r="AG58" s="629"/>
      <c r="AH58" s="630"/>
      <c r="AI58" s="629"/>
      <c r="AJ58" s="629"/>
      <c r="AK58" s="629"/>
      <c r="AL58" s="629"/>
      <c r="AM58" s="629"/>
      <c r="AN58" s="629"/>
      <c r="AO58" s="629"/>
      <c r="AP58" s="629"/>
      <c r="AQ58" s="629"/>
      <c r="AR58" s="629"/>
      <c r="AS58" s="830">
        <f ca="1">AS57/(AT53*AT54/10000)</f>
        <v>7554.2422500000002</v>
      </c>
      <c r="AT58" s="831"/>
      <c r="BD58" s="830">
        <f ca="1">BD57/(BE53*BE54/10000)</f>
        <v>7554.2422500000002</v>
      </c>
      <c r="BE58" s="831"/>
      <c r="BN58" s="407"/>
    </row>
    <row r="59" spans="1:66" ht="75" customHeight="1">
      <c r="A59" s="818"/>
      <c r="B59" s="818"/>
      <c r="C59" s="818"/>
      <c r="D59" s="818"/>
      <c r="E59" s="818"/>
      <c r="F59" s="818"/>
      <c r="G59" s="818"/>
      <c r="H59" s="818"/>
      <c r="I59" s="818"/>
      <c r="J59" s="818"/>
      <c r="K59" s="818"/>
      <c r="L59" s="818"/>
      <c r="M59" s="818"/>
      <c r="N59" s="818"/>
      <c r="O59" s="818"/>
      <c r="P59" s="818"/>
      <c r="Q59" s="818"/>
      <c r="R59" s="83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29"/>
      <c r="AE59" s="455"/>
      <c r="AF59" s="827" t="s">
        <v>777</v>
      </c>
      <c r="AG59" s="827"/>
      <c r="AH59" s="788" t="s">
        <v>705</v>
      </c>
      <c r="AI59" s="788" t="s">
        <v>198</v>
      </c>
      <c r="AJ59" s="788" t="s">
        <v>199</v>
      </c>
      <c r="AK59" s="788" t="s">
        <v>706</v>
      </c>
      <c r="AL59" s="788" t="s">
        <v>778</v>
      </c>
      <c r="AM59" s="789" t="s">
        <v>708</v>
      </c>
      <c r="AN59" s="789" t="s">
        <v>51</v>
      </c>
      <c r="AO59" s="455"/>
      <c r="AP59" s="455"/>
      <c r="AQ59" s="455"/>
      <c r="AR59" s="629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spans="1:66" ht="67.150000000000006" customHeight="1" thickBot="1">
      <c r="A60" s="818" t="s">
        <v>95</v>
      </c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  <c r="N60" s="818"/>
      <c r="O60" s="818"/>
      <c r="P60" s="818"/>
      <c r="Q60" s="818"/>
      <c r="R60" s="832"/>
      <c r="S60" s="819" t="s">
        <v>86</v>
      </c>
      <c r="T60" s="820"/>
      <c r="U60" s="450"/>
      <c r="V60" s="450"/>
      <c r="W60" s="450"/>
      <c r="X60" s="450"/>
      <c r="Y60" s="450"/>
      <c r="Z60" s="450"/>
      <c r="AA60" s="450"/>
      <c r="AB60" s="450"/>
      <c r="AC60" s="450"/>
      <c r="AD60" s="629"/>
      <c r="AE60" s="455"/>
      <c r="AF60" s="827"/>
      <c r="AG60" s="827"/>
      <c r="AH60" s="790" t="s">
        <v>97</v>
      </c>
      <c r="AI60" s="790">
        <v>350</v>
      </c>
      <c r="AJ60" s="790">
        <v>350</v>
      </c>
      <c r="AK60" s="790" t="s">
        <v>6</v>
      </c>
      <c r="AL60" s="790" t="s">
        <v>6</v>
      </c>
      <c r="AM60" s="791">
        <f>'PERG. CS.'!G3</f>
        <v>178988.21875</v>
      </c>
      <c r="AN60" s="791">
        <f>AM60/(Table115[[#This Row],[العرض]]*Table115[[#This Row],[الامتداد]]/10000)</f>
        <v>14611.283163265307</v>
      </c>
      <c r="AO60" s="856" t="s">
        <v>702</v>
      </c>
      <c r="AP60" s="856"/>
      <c r="AQ60" s="455"/>
      <c r="AR60" s="629"/>
      <c r="BN60" s="407"/>
    </row>
    <row r="61" spans="1:66" ht="67.150000000000006" customHeight="1" thickBot="1">
      <c r="A61" s="818"/>
      <c r="B61" s="818"/>
      <c r="C61" s="818"/>
      <c r="D61" s="818"/>
      <c r="E61" s="818"/>
      <c r="F61" s="818"/>
      <c r="G61" s="818"/>
      <c r="H61" s="818"/>
      <c r="I61" s="818"/>
      <c r="J61" s="818"/>
      <c r="K61" s="818"/>
      <c r="L61" s="818"/>
      <c r="M61" s="818"/>
      <c r="N61" s="818"/>
      <c r="O61" s="818"/>
      <c r="P61" s="818"/>
      <c r="Q61" s="818"/>
      <c r="R61" s="832"/>
      <c r="S61" s="434" t="s">
        <v>50</v>
      </c>
      <c r="T61" s="435">
        <f>'شماسي و كانتليفر'!N84</f>
        <v>114794.55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29"/>
      <c r="AE61" s="455"/>
      <c r="AF61" s="827"/>
      <c r="AG61" s="827"/>
      <c r="AO61" s="856"/>
      <c r="AP61" s="856"/>
      <c r="AQ61" s="455"/>
      <c r="AR61" s="629"/>
      <c r="BN61" s="407"/>
    </row>
    <row r="62" spans="1:66" ht="40.5" customHeight="1" thickBot="1">
      <c r="A62" s="818"/>
      <c r="B62" s="818"/>
      <c r="C62" s="818"/>
      <c r="D62" s="818"/>
      <c r="E62" s="818"/>
      <c r="F62" s="818"/>
      <c r="G62" s="818"/>
      <c r="H62" s="818"/>
      <c r="I62" s="818"/>
      <c r="J62" s="818"/>
      <c r="K62" s="818"/>
      <c r="L62" s="818"/>
      <c r="M62" s="818"/>
      <c r="N62" s="818"/>
      <c r="O62" s="818"/>
      <c r="P62" s="818"/>
      <c r="Q62" s="818"/>
      <c r="R62" s="832"/>
      <c r="S62" s="436" t="s">
        <v>51</v>
      </c>
      <c r="T62" s="435">
        <f>T61/T69</f>
        <v>4591.7820000000002</v>
      </c>
      <c r="U62" s="450"/>
      <c r="V62" s="450"/>
      <c r="W62" s="450"/>
      <c r="X62" s="450"/>
      <c r="Y62" s="817"/>
      <c r="Z62" s="817"/>
      <c r="AA62" s="450"/>
      <c r="AB62" s="450"/>
      <c r="AC62" s="450"/>
      <c r="AD62" s="629"/>
      <c r="AE62" s="455"/>
      <c r="AF62" s="455"/>
      <c r="AG62" s="792" t="s">
        <v>779</v>
      </c>
      <c r="AH62" s="85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 3.5 الي 6 متر )</v>
      </c>
      <c r="AI62" s="858"/>
      <c r="AJ62" s="858"/>
      <c r="AK62" s="858"/>
      <c r="AL62" s="859"/>
      <c r="AM62" s="860" t="str">
        <f>Table115[المنتج]</f>
        <v>PERSA</v>
      </c>
      <c r="AN62" s="861"/>
      <c r="AO62" s="856"/>
      <c r="AP62" s="856"/>
      <c r="AQ62" s="455"/>
      <c r="AR62" s="629"/>
      <c r="BN62" s="407"/>
    </row>
    <row r="63" spans="1:66" ht="40.5" customHeight="1" thickBot="1">
      <c r="A63" s="818"/>
      <c r="B63" s="818"/>
      <c r="C63" s="818"/>
      <c r="D63" s="818"/>
      <c r="E63" s="818"/>
      <c r="F63" s="818"/>
      <c r="G63" s="818"/>
      <c r="H63" s="818"/>
      <c r="I63" s="818"/>
      <c r="J63" s="818"/>
      <c r="K63" s="818"/>
      <c r="L63" s="818"/>
      <c r="M63" s="818"/>
      <c r="N63" s="818"/>
      <c r="O63" s="818"/>
      <c r="P63" s="818"/>
      <c r="Q63" s="818"/>
      <c r="R63" s="832"/>
      <c r="S63" s="432" t="s">
        <v>52</v>
      </c>
      <c r="T63" s="433" t="s">
        <v>53</v>
      </c>
      <c r="U63" s="450"/>
      <c r="V63" s="450"/>
      <c r="W63" s="450"/>
      <c r="X63" s="450"/>
      <c r="Y63" s="817"/>
      <c r="Z63" s="817"/>
      <c r="AA63" s="450"/>
      <c r="AB63" s="450"/>
      <c r="AC63" s="450"/>
      <c r="AD63" s="629"/>
      <c r="AE63" s="455"/>
      <c r="AF63" s="455"/>
      <c r="AG63" s="793" t="s">
        <v>779</v>
      </c>
      <c r="AH63" s="862" t="s">
        <v>780</v>
      </c>
      <c r="AI63" s="862"/>
      <c r="AJ63" s="862"/>
      <c r="AK63" s="862"/>
      <c r="AL63" s="863"/>
      <c r="AM63" s="86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A motorized aluminum pergola with adjustable slats for sun-rain protection, available in wood or plain colors with built-in drainage</v>
      </c>
      <c r="AN63" s="865"/>
      <c r="AO63" s="857"/>
      <c r="AP63" s="857"/>
      <c r="AQ63" s="455"/>
      <c r="AR63" s="629"/>
      <c r="BN63" s="407"/>
    </row>
    <row r="64" spans="1:66" ht="40.5" customHeight="1">
      <c r="A64" s="818"/>
      <c r="B64" s="818"/>
      <c r="C64" s="818"/>
      <c r="D64" s="818"/>
      <c r="E64" s="818"/>
      <c r="F64" s="818"/>
      <c r="G64" s="818"/>
      <c r="H64" s="818"/>
      <c r="I64" s="818"/>
      <c r="J64" s="818"/>
      <c r="K64" s="818"/>
      <c r="L64" s="818"/>
      <c r="M64" s="818"/>
      <c r="N64" s="818"/>
      <c r="O64" s="818"/>
      <c r="P64" s="818"/>
      <c r="Q64" s="818"/>
      <c r="R64" s="832"/>
      <c r="S64" s="437" t="s">
        <v>1</v>
      </c>
      <c r="T64" s="438" t="s">
        <v>788</v>
      </c>
      <c r="U64" s="450"/>
      <c r="V64" s="450"/>
      <c r="W64" s="450"/>
      <c r="X64" s="450"/>
      <c r="Y64" s="817"/>
      <c r="Z64" s="817"/>
      <c r="AA64" s="450"/>
      <c r="AB64" s="450"/>
      <c r="AC64" s="450"/>
      <c r="AD64" s="629"/>
      <c r="AE64" s="455"/>
      <c r="AF64" s="455"/>
      <c r="AG64" s="793" t="s">
        <v>779</v>
      </c>
      <c r="AH64" s="862" t="s">
        <v>781</v>
      </c>
      <c r="AI64" s="862"/>
      <c r="AJ64" s="862"/>
      <c r="AK64" s="862"/>
      <c r="AL64" s="863"/>
      <c r="AM64" s="864"/>
      <c r="AN64" s="865"/>
      <c r="AO64" s="855"/>
      <c r="AP64" s="855"/>
      <c r="AQ64" s="455"/>
      <c r="AR64" s="629"/>
      <c r="BN64" s="407"/>
    </row>
    <row r="65" spans="1:66" ht="40.5" customHeight="1" thickBot="1">
      <c r="A65" s="818"/>
      <c r="B65" s="818"/>
      <c r="C65" s="818"/>
      <c r="D65" s="818"/>
      <c r="E65" s="818"/>
      <c r="F65" s="818"/>
      <c r="G65" s="818"/>
      <c r="H65" s="818"/>
      <c r="I65" s="818"/>
      <c r="J65" s="818"/>
      <c r="K65" s="818"/>
      <c r="L65" s="818"/>
      <c r="M65" s="818"/>
      <c r="N65" s="818"/>
      <c r="O65" s="818"/>
      <c r="P65" s="818"/>
      <c r="Q65" s="818"/>
      <c r="R65" s="832"/>
      <c r="S65" s="432" t="s">
        <v>90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29"/>
      <c r="AE65" s="455"/>
      <c r="AF65" s="455"/>
      <c r="AG65" s="794" t="s">
        <v>779</v>
      </c>
      <c r="AH65" s="868" t="s">
        <v>782</v>
      </c>
      <c r="AI65" s="868"/>
      <c r="AJ65" s="868"/>
      <c r="AK65" s="868"/>
      <c r="AL65" s="869"/>
      <c r="AM65" s="866"/>
      <c r="AN65" s="867"/>
      <c r="AO65" s="455"/>
      <c r="AP65" s="455"/>
      <c r="AQ65" s="455"/>
      <c r="AR65" s="629"/>
      <c r="BN65" s="407"/>
    </row>
    <row r="66" spans="1:66" ht="40.5" customHeight="1">
      <c r="A66" s="818"/>
      <c r="B66" s="818"/>
      <c r="C66" s="818"/>
      <c r="D66" s="818"/>
      <c r="E66" s="818"/>
      <c r="F66" s="818"/>
      <c r="G66" s="818"/>
      <c r="H66" s="818"/>
      <c r="I66" s="818"/>
      <c r="J66" s="818"/>
      <c r="K66" s="818"/>
      <c r="L66" s="818"/>
      <c r="M66" s="818"/>
      <c r="N66" s="818"/>
      <c r="O66" s="818"/>
      <c r="P66" s="818"/>
      <c r="Q66" s="818"/>
      <c r="R66" s="83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29"/>
      <c r="AE66" s="629"/>
      <c r="AF66" s="629"/>
      <c r="AG66" s="629"/>
      <c r="AH66" s="629"/>
      <c r="AI66" s="629"/>
      <c r="AJ66" s="629"/>
      <c r="AK66" s="629"/>
      <c r="AL66" s="629"/>
      <c r="AM66" s="629"/>
      <c r="AN66" s="629"/>
      <c r="AO66" s="629"/>
      <c r="AP66" s="629"/>
      <c r="AQ66" s="629"/>
      <c r="AR66" s="629"/>
      <c r="BN66" s="407"/>
    </row>
    <row r="67" spans="1:66" ht="40.5" customHeight="1">
      <c r="A67" s="818"/>
      <c r="B67" s="818"/>
      <c r="C67" s="818"/>
      <c r="D67" s="818"/>
      <c r="E67" s="818"/>
      <c r="F67" s="818"/>
      <c r="G67" s="818"/>
      <c r="H67" s="818"/>
      <c r="I67" s="818"/>
      <c r="J67" s="818"/>
      <c r="K67" s="818"/>
      <c r="L67" s="818"/>
      <c r="M67" s="818"/>
      <c r="N67" s="818"/>
      <c r="O67" s="818"/>
      <c r="P67" s="818"/>
      <c r="Q67" s="818"/>
      <c r="R67" s="83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29"/>
      <c r="AE67" s="629"/>
      <c r="AF67" s="629"/>
      <c r="AG67" s="629"/>
      <c r="AH67" s="630"/>
      <c r="AI67" s="629"/>
      <c r="AJ67" s="629"/>
      <c r="AK67" s="629"/>
      <c r="AL67" s="629"/>
      <c r="AM67" s="629"/>
      <c r="AN67" s="629"/>
      <c r="AO67" s="629"/>
      <c r="AP67" s="629"/>
      <c r="AQ67" s="629"/>
      <c r="AR67" s="629"/>
      <c r="BN67" s="407"/>
    </row>
    <row r="68" spans="1:66" ht="40.5" customHeight="1">
      <c r="A68" s="818"/>
      <c r="B68" s="818"/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  <c r="P68" s="818"/>
      <c r="Q68" s="818"/>
      <c r="R68" s="83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spans="1:66" ht="40.5" customHeight="1">
      <c r="A69" s="818"/>
      <c r="B69" s="818"/>
      <c r="C69" s="818"/>
      <c r="D69" s="818"/>
      <c r="E69" s="818"/>
      <c r="F69" s="818"/>
      <c r="G69" s="818"/>
      <c r="H69" s="818"/>
      <c r="I69" s="818"/>
      <c r="J69" s="818"/>
      <c r="K69" s="818"/>
      <c r="L69" s="818"/>
      <c r="M69" s="818"/>
      <c r="N69" s="818"/>
      <c r="O69" s="818"/>
      <c r="P69" s="818"/>
      <c r="Q69" s="818"/>
      <c r="R69" s="832"/>
      <c r="S69" s="432" t="s">
        <v>92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spans="1:66" ht="40.5" customHeight="1" thickBot="1">
      <c r="A70" s="818"/>
      <c r="B70" s="818"/>
      <c r="C70" s="818"/>
      <c r="D70" s="818"/>
      <c r="E70" s="818"/>
      <c r="F70" s="818"/>
      <c r="G70" s="818"/>
      <c r="H70" s="818"/>
      <c r="I70" s="818"/>
      <c r="J70" s="818"/>
      <c r="K70" s="818"/>
      <c r="L70" s="818"/>
      <c r="M70" s="818"/>
      <c r="N70" s="818"/>
      <c r="O70" s="818"/>
      <c r="P70" s="818"/>
      <c r="Q70" s="818"/>
      <c r="R70" s="832"/>
      <c r="S70" s="432" t="s">
        <v>93</v>
      </c>
      <c r="T70" s="451" t="s">
        <v>94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spans="1:66" ht="40.5" customHeight="1" thickBot="1">
      <c r="A71" s="818"/>
      <c r="B71" s="818"/>
      <c r="C71" s="818"/>
      <c r="D71" s="818"/>
      <c r="E71" s="818"/>
      <c r="F71" s="818"/>
      <c r="G71" s="818"/>
      <c r="H71" s="818"/>
      <c r="I71" s="818"/>
      <c r="J71" s="818"/>
      <c r="K71" s="818"/>
      <c r="L71" s="818"/>
      <c r="M71" s="818"/>
      <c r="N71" s="818"/>
      <c r="O71" s="818"/>
      <c r="P71" s="818"/>
      <c r="Q71" s="818"/>
      <c r="R71" s="832"/>
      <c r="S71" s="432" t="s">
        <v>70</v>
      </c>
      <c r="T71" s="445" t="s">
        <v>7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spans="1:66" ht="40.5" customHeight="1">
      <c r="A72" s="818"/>
      <c r="B72" s="818"/>
      <c r="C72" s="818"/>
      <c r="D72" s="818"/>
      <c r="E72" s="818"/>
      <c r="F72" s="818"/>
      <c r="G72" s="818"/>
      <c r="H72" s="818"/>
      <c r="I72" s="818"/>
      <c r="J72" s="818"/>
      <c r="K72" s="818"/>
      <c r="L72" s="818"/>
      <c r="M72" s="818"/>
      <c r="N72" s="818"/>
      <c r="O72" s="818"/>
      <c r="P72" s="818"/>
      <c r="Q72" s="818"/>
      <c r="R72" s="832"/>
      <c r="S72" s="432" t="s">
        <v>71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spans="1:66" ht="40.5" customHeight="1">
      <c r="A73" s="818"/>
      <c r="B73" s="818"/>
      <c r="C73" s="818"/>
      <c r="D73" s="818"/>
      <c r="E73" s="818"/>
      <c r="F73" s="818"/>
      <c r="G73" s="818"/>
      <c r="H73" s="818"/>
      <c r="I73" s="818"/>
      <c r="J73" s="818"/>
      <c r="K73" s="818"/>
      <c r="L73" s="818"/>
      <c r="M73" s="818"/>
      <c r="N73" s="818"/>
      <c r="O73" s="818"/>
      <c r="P73" s="818"/>
      <c r="Q73" s="818"/>
      <c r="R73" s="832"/>
      <c r="S73" s="432" t="s">
        <v>73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spans="1:66" ht="39.75" customHeight="1" thickBot="1">
      <c r="A74" s="818"/>
      <c r="B74" s="818"/>
      <c r="C74" s="818"/>
      <c r="D74" s="818"/>
      <c r="E74" s="818"/>
      <c r="F74" s="818"/>
      <c r="G74" s="818"/>
      <c r="H74" s="818"/>
      <c r="I74" s="818"/>
      <c r="J74" s="818"/>
      <c r="K74" s="818"/>
      <c r="L74" s="818"/>
      <c r="M74" s="818"/>
      <c r="N74" s="818"/>
      <c r="O74" s="818"/>
      <c r="P74" s="818"/>
      <c r="Q74" s="818"/>
      <c r="R74" s="83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spans="1:66" ht="39.75" customHeight="1" thickBot="1">
      <c r="A75" s="818"/>
      <c r="B75" s="818"/>
      <c r="C75" s="818"/>
      <c r="D75" s="818"/>
      <c r="E75" s="818"/>
      <c r="F75" s="818"/>
      <c r="G75" s="818"/>
      <c r="H75" s="818"/>
      <c r="I75" s="818"/>
      <c r="J75" s="818"/>
      <c r="K75" s="818"/>
      <c r="L75" s="818"/>
      <c r="M75" s="818"/>
      <c r="N75" s="818"/>
      <c r="O75" s="818"/>
      <c r="P75" s="818"/>
      <c r="Q75" s="818"/>
      <c r="R75" s="83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spans="1:66" ht="39.75" customHeight="1">
      <c r="A76" s="818"/>
      <c r="B76" s="818"/>
      <c r="C76" s="818"/>
      <c r="D76" s="818"/>
      <c r="E76" s="818"/>
      <c r="F76" s="818"/>
      <c r="G76" s="818"/>
      <c r="H76" s="818"/>
      <c r="I76" s="818"/>
      <c r="J76" s="818"/>
      <c r="K76" s="818"/>
      <c r="L76" s="818"/>
      <c r="M76" s="818"/>
      <c r="N76" s="818"/>
      <c r="O76" s="818"/>
      <c r="P76" s="818"/>
      <c r="Q76" s="818"/>
      <c r="R76" s="832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spans="1:66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2"/>
      <c r="AQ77" s="406"/>
      <c r="BN77" s="407"/>
    </row>
    <row r="78" spans="1:66" ht="15" customHeight="1">
      <c r="A78" s="816" t="s">
        <v>97</v>
      </c>
      <c r="B78" s="816"/>
      <c r="C78" s="816"/>
      <c r="D78" s="816"/>
      <c r="E78" s="816"/>
      <c r="F78" s="816"/>
      <c r="G78" s="816"/>
      <c r="H78" s="816"/>
      <c r="I78" s="816"/>
      <c r="J78" s="816"/>
      <c r="K78" s="816"/>
      <c r="L78" s="816"/>
      <c r="M78" s="816"/>
      <c r="N78" s="816"/>
      <c r="O78" s="816"/>
      <c r="P78" s="816"/>
      <c r="Q78" s="816"/>
      <c r="R78" s="83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spans="1:66" ht="38.25" customHeight="1">
      <c r="A79" s="816"/>
      <c r="B79" s="816"/>
      <c r="C79" s="816"/>
      <c r="D79" s="816"/>
      <c r="E79" s="816"/>
      <c r="F79" s="816"/>
      <c r="G79" s="816"/>
      <c r="H79" s="816"/>
      <c r="I79" s="816"/>
      <c r="J79" s="816"/>
      <c r="K79" s="816"/>
      <c r="L79" s="816"/>
      <c r="M79" s="816"/>
      <c r="N79" s="816"/>
      <c r="O79" s="816"/>
      <c r="P79" s="816"/>
      <c r="Q79" s="816"/>
      <c r="R79" s="832"/>
      <c r="AC79" s="406"/>
      <c r="AQ79" s="406"/>
      <c r="BB79" s="406"/>
      <c r="BC79"/>
      <c r="BM79" s="407"/>
    </row>
    <row r="80" spans="1:66" ht="38.25" customHeight="1">
      <c r="A80" s="816"/>
      <c r="B80" s="816"/>
      <c r="C80" s="816"/>
      <c r="D80" s="816"/>
      <c r="E80" s="816"/>
      <c r="F80" s="816"/>
      <c r="G80" s="816"/>
      <c r="H80" s="816"/>
      <c r="I80" s="816"/>
      <c r="J80" s="816"/>
      <c r="K80" s="816"/>
      <c r="L80" s="816"/>
      <c r="M80" s="816"/>
      <c r="N80" s="816"/>
      <c r="O80" s="816"/>
      <c r="P80" s="816"/>
      <c r="Q80" s="816"/>
      <c r="R80" s="832"/>
      <c r="AQ80" s="406"/>
      <c r="BB80" s="406"/>
      <c r="BC80"/>
      <c r="BM80" s="407"/>
    </row>
    <row r="81" spans="1:65" ht="38.25" customHeight="1">
      <c r="A81" s="816"/>
      <c r="B81" s="816"/>
      <c r="C81" s="816"/>
      <c r="D81" s="816"/>
      <c r="E81" s="816"/>
      <c r="F81" s="816"/>
      <c r="G81" s="816"/>
      <c r="H81" s="816"/>
      <c r="I81" s="816"/>
      <c r="J81" s="816"/>
      <c r="K81" s="816"/>
      <c r="L81" s="816"/>
      <c r="M81" s="816"/>
      <c r="N81" s="816"/>
      <c r="O81" s="816"/>
      <c r="P81" s="816"/>
      <c r="Q81" s="816"/>
      <c r="R81" s="832"/>
      <c r="AQ81" s="406"/>
      <c r="BB81" s="406"/>
      <c r="BC81"/>
      <c r="BM81" s="407"/>
    </row>
    <row r="82" spans="1:65" ht="38.25" customHeight="1">
      <c r="A82" s="816"/>
      <c r="B82" s="816"/>
      <c r="C82" s="816"/>
      <c r="D82" s="816"/>
      <c r="E82" s="816"/>
      <c r="F82" s="816"/>
      <c r="G82" s="816"/>
      <c r="H82" s="816"/>
      <c r="I82" s="816"/>
      <c r="J82" s="816"/>
      <c r="K82" s="816"/>
      <c r="L82" s="816"/>
      <c r="M82" s="816"/>
      <c r="N82" s="816"/>
      <c r="O82" s="816"/>
      <c r="P82" s="816"/>
      <c r="Q82" s="816"/>
      <c r="R82" s="832"/>
      <c r="AR82" s="406"/>
      <c r="BB82" s="406"/>
      <c r="BC82"/>
      <c r="BM82" s="407"/>
    </row>
    <row r="83" spans="1:65" ht="38.25" customHeight="1">
      <c r="A83" s="816"/>
      <c r="B83" s="816"/>
      <c r="C83" s="816"/>
      <c r="D83" s="816"/>
      <c r="E83" s="816"/>
      <c r="F83" s="816"/>
      <c r="G83" s="816"/>
      <c r="H83" s="816"/>
      <c r="I83" s="816"/>
      <c r="J83" s="816"/>
      <c r="K83" s="816"/>
      <c r="L83" s="816"/>
      <c r="M83" s="816"/>
      <c r="N83" s="816"/>
      <c r="O83" s="816"/>
      <c r="P83" s="816"/>
      <c r="Q83" s="816"/>
      <c r="R83" s="832"/>
      <c r="AR83" s="406"/>
      <c r="BB83" s="406"/>
      <c r="BC83"/>
      <c r="BM83" s="407"/>
    </row>
    <row r="84" spans="1:65" ht="38.25" customHeight="1">
      <c r="A84" s="816"/>
      <c r="B84" s="816"/>
      <c r="C84" s="816"/>
      <c r="D84" s="816"/>
      <c r="E84" s="816"/>
      <c r="F84" s="816"/>
      <c r="G84" s="816"/>
      <c r="H84" s="816"/>
      <c r="I84" s="816"/>
      <c r="J84" s="816"/>
      <c r="K84" s="816"/>
      <c r="L84" s="816"/>
      <c r="M84" s="816"/>
      <c r="N84" s="816"/>
      <c r="O84" s="816"/>
      <c r="P84" s="816"/>
      <c r="Q84" s="816"/>
      <c r="R84" s="832"/>
      <c r="AR84" s="406"/>
      <c r="BB84" s="406"/>
      <c r="BC84"/>
      <c r="BM84" s="407"/>
    </row>
    <row r="85" spans="1:65" ht="38.25" customHeight="1">
      <c r="A85" s="816"/>
      <c r="B85" s="816"/>
      <c r="C85" s="816"/>
      <c r="D85" s="816"/>
      <c r="E85" s="816"/>
      <c r="F85" s="816"/>
      <c r="G85" s="816"/>
      <c r="H85" s="816"/>
      <c r="I85" s="816"/>
      <c r="J85" s="816"/>
      <c r="K85" s="816"/>
      <c r="L85" s="816"/>
      <c r="M85" s="816"/>
      <c r="N85" s="816"/>
      <c r="O85" s="816"/>
      <c r="P85" s="816"/>
      <c r="Q85" s="816"/>
      <c r="R85" s="832"/>
      <c r="AR85" s="406"/>
      <c r="BB85" s="406"/>
      <c r="BC85"/>
      <c r="BM85" s="407"/>
    </row>
    <row r="86" spans="1:65" ht="38.25" customHeight="1">
      <c r="A86" s="816"/>
      <c r="B86" s="816"/>
      <c r="C86" s="816"/>
      <c r="D86" s="816"/>
      <c r="E86" s="816"/>
      <c r="F86" s="816"/>
      <c r="G86" s="816"/>
      <c r="H86" s="816"/>
      <c r="I86" s="816"/>
      <c r="J86" s="816"/>
      <c r="K86" s="816"/>
      <c r="L86" s="816"/>
      <c r="M86" s="816"/>
      <c r="N86" s="816"/>
      <c r="O86" s="816"/>
      <c r="P86" s="816"/>
      <c r="Q86" s="816"/>
      <c r="R86" s="832"/>
      <c r="AR86" s="406"/>
      <c r="BB86" s="406"/>
      <c r="BC86"/>
      <c r="BM86" s="407"/>
    </row>
    <row r="87" spans="1:65" ht="38.25" customHeight="1">
      <c r="A87" s="816"/>
      <c r="B87" s="816"/>
      <c r="C87" s="816"/>
      <c r="D87" s="816"/>
      <c r="E87" s="816"/>
      <c r="F87" s="816"/>
      <c r="G87" s="816"/>
      <c r="H87" s="816"/>
      <c r="I87" s="816"/>
      <c r="J87" s="816"/>
      <c r="K87" s="816"/>
      <c r="L87" s="816"/>
      <c r="M87" s="816"/>
      <c r="N87" s="816"/>
      <c r="O87" s="816"/>
      <c r="P87" s="816"/>
      <c r="Q87" s="816"/>
      <c r="R87" s="832"/>
      <c r="AR87" s="406"/>
      <c r="BB87" s="406"/>
      <c r="BC87"/>
      <c r="BM87" s="407"/>
    </row>
    <row r="88" spans="1:65" ht="38.25" customHeight="1">
      <c r="A88" s="816"/>
      <c r="B88" s="816"/>
      <c r="C88" s="816"/>
      <c r="D88" s="816"/>
      <c r="E88" s="816"/>
      <c r="F88" s="816"/>
      <c r="G88" s="816"/>
      <c r="H88" s="816"/>
      <c r="I88" s="816"/>
      <c r="J88" s="816"/>
      <c r="K88" s="816"/>
      <c r="L88" s="816"/>
      <c r="M88" s="816"/>
      <c r="N88" s="816"/>
      <c r="O88" s="816"/>
      <c r="P88" s="816"/>
      <c r="Q88" s="816"/>
      <c r="R88" s="832"/>
      <c r="AR88" s="406"/>
      <c r="BB88" s="406"/>
      <c r="BC88"/>
      <c r="BM88" s="407"/>
    </row>
    <row r="89" spans="1:65" ht="38.25" customHeight="1">
      <c r="A89" s="816"/>
      <c r="B89" s="816"/>
      <c r="C89" s="816"/>
      <c r="D89" s="816"/>
      <c r="E89" s="816"/>
      <c r="F89" s="816"/>
      <c r="G89" s="816"/>
      <c r="H89" s="816"/>
      <c r="I89" s="816"/>
      <c r="J89" s="816"/>
      <c r="K89" s="816"/>
      <c r="L89" s="816"/>
      <c r="M89" s="816"/>
      <c r="N89" s="816"/>
      <c r="O89" s="816"/>
      <c r="P89" s="816"/>
      <c r="Q89" s="816"/>
      <c r="R89" s="832"/>
      <c r="AR89" s="406"/>
      <c r="BB89" s="406"/>
      <c r="BC89"/>
      <c r="BM89" s="407"/>
    </row>
    <row r="90" spans="1:65" ht="38.25" customHeight="1">
      <c r="A90" s="816"/>
      <c r="B90" s="816"/>
      <c r="C90" s="816"/>
      <c r="D90" s="816"/>
      <c r="E90" s="816"/>
      <c r="F90" s="816"/>
      <c r="G90" s="816"/>
      <c r="H90" s="816"/>
      <c r="I90" s="816"/>
      <c r="J90" s="816"/>
      <c r="K90" s="816"/>
      <c r="L90" s="816"/>
      <c r="M90" s="816"/>
      <c r="N90" s="816"/>
      <c r="O90" s="816"/>
      <c r="P90" s="816"/>
      <c r="Q90" s="816"/>
      <c r="R90" s="832"/>
      <c r="AR90" s="406"/>
      <c r="BB90" s="406"/>
      <c r="BC90"/>
      <c r="BM90" s="407"/>
    </row>
    <row r="91" spans="1:65" ht="38.25" customHeight="1">
      <c r="A91" s="816"/>
      <c r="B91" s="816"/>
      <c r="C91" s="816"/>
      <c r="D91" s="816"/>
      <c r="E91" s="816"/>
      <c r="F91" s="816"/>
      <c r="G91" s="816"/>
      <c r="H91" s="816"/>
      <c r="I91" s="816"/>
      <c r="J91" s="816"/>
      <c r="K91" s="816"/>
      <c r="L91" s="816"/>
      <c r="M91" s="816"/>
      <c r="N91" s="816"/>
      <c r="O91" s="816"/>
      <c r="P91" s="816"/>
      <c r="Q91" s="816"/>
      <c r="R91" s="832"/>
      <c r="AR91" s="406"/>
      <c r="BB91" s="406"/>
      <c r="BC91"/>
      <c r="BM91" s="407"/>
    </row>
    <row r="92" spans="1:65" ht="38.25" customHeight="1">
      <c r="A92" s="816"/>
      <c r="B92" s="816"/>
      <c r="C92" s="816"/>
      <c r="D92" s="816"/>
      <c r="E92" s="816"/>
      <c r="F92" s="816"/>
      <c r="G92" s="816"/>
      <c r="H92" s="816"/>
      <c r="I92" s="816"/>
      <c r="J92" s="816"/>
      <c r="K92" s="816"/>
      <c r="L92" s="816"/>
      <c r="M92" s="816"/>
      <c r="N92" s="816"/>
      <c r="O92" s="816"/>
      <c r="P92" s="816"/>
      <c r="Q92" s="816"/>
      <c r="R92" s="832"/>
      <c r="AR92" s="406"/>
      <c r="BB92" s="406"/>
      <c r="BC92"/>
      <c r="BM92" s="407"/>
    </row>
    <row r="93" spans="1:65" ht="38.25" customHeight="1">
      <c r="A93" s="816"/>
      <c r="B93" s="816"/>
      <c r="C93" s="816"/>
      <c r="D93" s="816"/>
      <c r="E93" s="816"/>
      <c r="F93" s="816"/>
      <c r="G93" s="816"/>
      <c r="H93" s="816"/>
      <c r="I93" s="816"/>
      <c r="J93" s="816"/>
      <c r="K93" s="816"/>
      <c r="L93" s="816"/>
      <c r="M93" s="816"/>
      <c r="N93" s="816"/>
      <c r="O93" s="816"/>
      <c r="P93" s="816"/>
      <c r="Q93" s="816"/>
      <c r="R93" s="832"/>
      <c r="AR93" s="406"/>
      <c r="BB93" s="406"/>
      <c r="BC93"/>
      <c r="BM93" s="407"/>
    </row>
    <row r="94" spans="1:65" ht="38.25" customHeight="1">
      <c r="A94" s="816"/>
      <c r="B94" s="816"/>
      <c r="C94" s="816"/>
      <c r="D94" s="816"/>
      <c r="E94" s="816"/>
      <c r="F94" s="816"/>
      <c r="G94" s="816"/>
      <c r="H94" s="816"/>
      <c r="I94" s="816"/>
      <c r="J94" s="816"/>
      <c r="K94" s="816"/>
      <c r="L94" s="816"/>
      <c r="M94" s="816"/>
      <c r="N94" s="816"/>
      <c r="O94" s="816"/>
      <c r="P94" s="816"/>
      <c r="Q94" s="816"/>
      <c r="R94" s="832"/>
      <c r="AR94" s="406"/>
      <c r="BB94" s="406"/>
      <c r="BC94"/>
      <c r="BM94" s="407"/>
    </row>
    <row r="95" spans="1:65" ht="38.25" customHeight="1">
      <c r="A95" s="816"/>
      <c r="B95" s="816"/>
      <c r="C95" s="816"/>
      <c r="D95" s="816"/>
      <c r="E95" s="816"/>
      <c r="F95" s="816"/>
      <c r="G95" s="816"/>
      <c r="H95" s="816"/>
      <c r="I95" s="816"/>
      <c r="J95" s="816"/>
      <c r="K95" s="816"/>
      <c r="L95" s="816"/>
      <c r="M95" s="816"/>
      <c r="N95" s="816"/>
      <c r="O95" s="816"/>
      <c r="P95" s="816"/>
      <c r="Q95" s="816"/>
      <c r="R95" s="832"/>
      <c r="AR95" s="406"/>
      <c r="BB95" s="406"/>
      <c r="BC95"/>
      <c r="BM95" s="407"/>
    </row>
    <row r="96" spans="1:65" ht="38.25" customHeight="1">
      <c r="A96" s="816"/>
      <c r="B96" s="816"/>
      <c r="C96" s="816"/>
      <c r="D96" s="816"/>
      <c r="E96" s="816"/>
      <c r="F96" s="816"/>
      <c r="G96" s="816"/>
      <c r="H96" s="816"/>
      <c r="I96" s="816"/>
      <c r="J96" s="816"/>
      <c r="K96" s="816"/>
      <c r="L96" s="816"/>
      <c r="M96" s="816"/>
      <c r="N96" s="816"/>
      <c r="O96" s="816"/>
      <c r="P96" s="816"/>
      <c r="Q96" s="816"/>
      <c r="R96" s="832"/>
      <c r="AR96" s="406"/>
      <c r="BB96" s="406"/>
      <c r="BC96"/>
      <c r="BM96" s="407"/>
    </row>
    <row r="97" spans="1:66" ht="39" customHeight="1">
      <c r="A97" s="816"/>
      <c r="B97" s="816"/>
      <c r="C97" s="816"/>
      <c r="D97" s="816"/>
      <c r="E97" s="816"/>
      <c r="F97" s="816"/>
      <c r="G97" s="816"/>
      <c r="H97" s="816"/>
      <c r="I97" s="816"/>
      <c r="J97" s="816"/>
      <c r="K97" s="816"/>
      <c r="L97" s="816"/>
      <c r="M97" s="816"/>
      <c r="N97" s="816"/>
      <c r="O97" s="816"/>
      <c r="P97" s="816"/>
      <c r="Q97" s="816"/>
      <c r="R97" s="832"/>
      <c r="AR97" s="406"/>
      <c r="BB97" s="406"/>
      <c r="BC97"/>
      <c r="BM97" s="407"/>
    </row>
    <row r="98" spans="1:66" ht="39" customHeight="1">
      <c r="A98" s="816" t="s">
        <v>98</v>
      </c>
      <c r="B98" s="816"/>
      <c r="C98" s="816"/>
      <c r="D98" s="816"/>
      <c r="E98" s="816"/>
      <c r="F98" s="816"/>
      <c r="G98" s="816"/>
      <c r="H98" s="816"/>
      <c r="I98" s="816"/>
      <c r="J98" s="816"/>
      <c r="K98" s="816"/>
      <c r="L98" s="816"/>
      <c r="M98" s="816"/>
      <c r="N98" s="816"/>
      <c r="O98" s="816"/>
      <c r="P98" s="816"/>
      <c r="Q98" s="816"/>
      <c r="R98" s="832"/>
      <c r="AR98" s="406"/>
      <c r="BN98" s="407"/>
    </row>
    <row r="99" spans="1:66" ht="39" customHeight="1">
      <c r="A99" s="816"/>
      <c r="B99" s="816"/>
      <c r="C99" s="816"/>
      <c r="D99" s="816"/>
      <c r="E99" s="816"/>
      <c r="F99" s="816"/>
      <c r="G99" s="816"/>
      <c r="H99" s="816"/>
      <c r="I99" s="816"/>
      <c r="J99" s="816"/>
      <c r="K99" s="816"/>
      <c r="L99" s="816"/>
      <c r="M99" s="816"/>
      <c r="N99" s="816"/>
      <c r="O99" s="816"/>
      <c r="P99" s="816"/>
      <c r="Q99" s="816"/>
      <c r="R99" s="832"/>
      <c r="AR99" s="406"/>
      <c r="BN99" s="407"/>
    </row>
    <row r="100" spans="1:66" ht="39" customHeight="1">
      <c r="A100" s="816"/>
      <c r="B100" s="816"/>
      <c r="C100" s="816"/>
      <c r="D100" s="816"/>
      <c r="E100" s="816"/>
      <c r="F100" s="816"/>
      <c r="G100" s="816"/>
      <c r="H100" s="816"/>
      <c r="I100" s="816"/>
      <c r="J100" s="816"/>
      <c r="K100" s="816"/>
      <c r="L100" s="816"/>
      <c r="M100" s="816"/>
      <c r="N100" s="816"/>
      <c r="O100" s="816"/>
      <c r="P100" s="816"/>
      <c r="Q100" s="816"/>
      <c r="R100" s="832"/>
      <c r="AR100" s="406"/>
      <c r="BN100" s="407"/>
    </row>
    <row r="101" spans="1:66" ht="39" customHeight="1">
      <c r="A101" s="816"/>
      <c r="B101" s="816"/>
      <c r="C101" s="816"/>
      <c r="D101" s="816"/>
      <c r="E101" s="816"/>
      <c r="F101" s="816"/>
      <c r="G101" s="816"/>
      <c r="H101" s="816"/>
      <c r="I101" s="816"/>
      <c r="J101" s="816"/>
      <c r="K101" s="816"/>
      <c r="L101" s="816"/>
      <c r="M101" s="816"/>
      <c r="N101" s="816"/>
      <c r="O101" s="816"/>
      <c r="P101" s="816"/>
      <c r="Q101" s="816"/>
      <c r="R101" s="832"/>
      <c r="AR101" s="406"/>
      <c r="BN101" s="407"/>
    </row>
    <row r="102" spans="1:66" ht="39" customHeight="1">
      <c r="A102" s="816"/>
      <c r="B102" s="816"/>
      <c r="C102" s="816"/>
      <c r="D102" s="816"/>
      <c r="E102" s="816"/>
      <c r="F102" s="816"/>
      <c r="G102" s="816"/>
      <c r="H102" s="816"/>
      <c r="I102" s="816"/>
      <c r="J102" s="816"/>
      <c r="K102" s="816"/>
      <c r="L102" s="816"/>
      <c r="M102" s="816"/>
      <c r="N102" s="816"/>
      <c r="O102" s="816"/>
      <c r="P102" s="816"/>
      <c r="Q102" s="816"/>
      <c r="R102" s="832"/>
      <c r="AR102" s="406"/>
      <c r="BN102" s="407"/>
    </row>
    <row r="103" spans="1:66" ht="39" customHeight="1">
      <c r="A103" s="816"/>
      <c r="B103" s="816"/>
      <c r="C103" s="816"/>
      <c r="D103" s="816"/>
      <c r="E103" s="816"/>
      <c r="F103" s="816"/>
      <c r="G103" s="816"/>
      <c r="H103" s="816"/>
      <c r="I103" s="816"/>
      <c r="J103" s="816"/>
      <c r="K103" s="816"/>
      <c r="L103" s="816"/>
      <c r="M103" s="816"/>
      <c r="N103" s="816"/>
      <c r="O103" s="816"/>
      <c r="P103" s="816"/>
      <c r="Q103" s="816"/>
      <c r="R103" s="832"/>
      <c r="AR103" s="406"/>
      <c r="BN103" s="407"/>
    </row>
    <row r="104" spans="1:66" ht="39" customHeight="1">
      <c r="A104" s="816"/>
      <c r="B104" s="816"/>
      <c r="C104" s="816"/>
      <c r="D104" s="816"/>
      <c r="E104" s="816"/>
      <c r="F104" s="816"/>
      <c r="G104" s="816"/>
      <c r="H104" s="816"/>
      <c r="I104" s="816"/>
      <c r="J104" s="816"/>
      <c r="K104" s="816"/>
      <c r="L104" s="816"/>
      <c r="M104" s="816"/>
      <c r="N104" s="816"/>
      <c r="O104" s="816"/>
      <c r="P104" s="816"/>
      <c r="Q104" s="816"/>
      <c r="R104" s="832"/>
      <c r="AR104" s="406"/>
      <c r="BN104" s="407"/>
    </row>
    <row r="105" spans="1:66" ht="39" customHeight="1">
      <c r="A105" s="816"/>
      <c r="B105" s="816"/>
      <c r="C105" s="816"/>
      <c r="D105" s="816"/>
      <c r="E105" s="816"/>
      <c r="F105" s="816"/>
      <c r="G105" s="816"/>
      <c r="H105" s="816"/>
      <c r="I105" s="816"/>
      <c r="J105" s="816"/>
      <c r="K105" s="816"/>
      <c r="L105" s="816"/>
      <c r="M105" s="816"/>
      <c r="N105" s="816"/>
      <c r="O105" s="816"/>
      <c r="P105" s="816"/>
      <c r="Q105" s="816"/>
      <c r="R105" s="832"/>
      <c r="AR105" s="406"/>
      <c r="BN105" s="407"/>
    </row>
    <row r="106" spans="1:66" ht="39" customHeight="1">
      <c r="A106" s="816"/>
      <c r="B106" s="816"/>
      <c r="C106" s="816"/>
      <c r="D106" s="816"/>
      <c r="E106" s="816"/>
      <c r="F106" s="816"/>
      <c r="G106" s="816"/>
      <c r="H106" s="816"/>
      <c r="I106" s="816"/>
      <c r="J106" s="816"/>
      <c r="K106" s="816"/>
      <c r="L106" s="816"/>
      <c r="M106" s="816"/>
      <c r="N106" s="816"/>
      <c r="O106" s="816"/>
      <c r="P106" s="816"/>
      <c r="Q106" s="816"/>
      <c r="R106" s="832"/>
      <c r="AR106" s="406"/>
      <c r="BN106" s="407"/>
    </row>
    <row r="107" spans="1:66" ht="39" customHeight="1">
      <c r="A107" s="816"/>
      <c r="B107" s="816"/>
      <c r="C107" s="816"/>
      <c r="D107" s="816"/>
      <c r="E107" s="816"/>
      <c r="F107" s="816"/>
      <c r="G107" s="816"/>
      <c r="H107" s="816"/>
      <c r="I107" s="816"/>
      <c r="J107" s="816"/>
      <c r="K107" s="816"/>
      <c r="L107" s="816"/>
      <c r="M107" s="816"/>
      <c r="N107" s="816"/>
      <c r="O107" s="816"/>
      <c r="P107" s="816"/>
      <c r="Q107" s="816"/>
      <c r="R107" s="832"/>
      <c r="AR107" s="406"/>
      <c r="BN107" s="407"/>
    </row>
    <row r="108" spans="1:66" ht="39" customHeight="1">
      <c r="A108" s="816"/>
      <c r="B108" s="816"/>
      <c r="C108" s="816"/>
      <c r="D108" s="816"/>
      <c r="E108" s="816"/>
      <c r="F108" s="816"/>
      <c r="G108" s="816"/>
      <c r="H108" s="816"/>
      <c r="I108" s="816"/>
      <c r="J108" s="816"/>
      <c r="K108" s="816"/>
      <c r="L108" s="816"/>
      <c r="M108" s="816"/>
      <c r="N108" s="816"/>
      <c r="O108" s="816"/>
      <c r="P108" s="816"/>
      <c r="Q108" s="816"/>
      <c r="R108" s="832"/>
      <c r="AR108" s="406"/>
      <c r="BN108" s="407"/>
    </row>
    <row r="109" spans="1:66" ht="39" customHeight="1">
      <c r="A109" s="816"/>
      <c r="B109" s="816"/>
      <c r="C109" s="816"/>
      <c r="D109" s="816"/>
      <c r="E109" s="816"/>
      <c r="F109" s="816"/>
      <c r="G109" s="816"/>
      <c r="H109" s="816"/>
      <c r="I109" s="816"/>
      <c r="J109" s="816"/>
      <c r="K109" s="816"/>
      <c r="L109" s="816"/>
      <c r="M109" s="816"/>
      <c r="N109" s="816"/>
      <c r="O109" s="816"/>
      <c r="P109" s="816"/>
      <c r="Q109" s="816"/>
      <c r="R109" s="832"/>
      <c r="AR109" s="406"/>
      <c r="BN109" s="407"/>
    </row>
    <row r="110" spans="1:66" ht="39" customHeight="1">
      <c r="A110" s="816"/>
      <c r="B110" s="816"/>
      <c r="C110" s="816"/>
      <c r="D110" s="816"/>
      <c r="E110" s="816"/>
      <c r="F110" s="816"/>
      <c r="G110" s="816"/>
      <c r="H110" s="816"/>
      <c r="I110" s="816"/>
      <c r="J110" s="816"/>
      <c r="K110" s="816"/>
      <c r="L110" s="816"/>
      <c r="M110" s="816"/>
      <c r="N110" s="816"/>
      <c r="O110" s="816"/>
      <c r="P110" s="816"/>
      <c r="Q110" s="816"/>
      <c r="R110" s="832"/>
      <c r="AR110" s="406"/>
      <c r="BN110" s="407"/>
    </row>
    <row r="111" spans="1:66" ht="39" customHeight="1">
      <c r="A111" s="816"/>
      <c r="B111" s="816"/>
      <c r="C111" s="816"/>
      <c r="D111" s="816"/>
      <c r="E111" s="816"/>
      <c r="F111" s="816"/>
      <c r="G111" s="816"/>
      <c r="H111" s="816"/>
      <c r="I111" s="816"/>
      <c r="J111" s="816"/>
      <c r="K111" s="816"/>
      <c r="L111" s="816"/>
      <c r="M111" s="816"/>
      <c r="N111" s="816"/>
      <c r="O111" s="816"/>
      <c r="P111" s="816"/>
      <c r="Q111" s="816"/>
      <c r="R111" s="832"/>
      <c r="AR111" s="406"/>
      <c r="BN111" s="407"/>
    </row>
    <row r="112" spans="1:66" ht="39" customHeight="1">
      <c r="A112" s="816"/>
      <c r="B112" s="816"/>
      <c r="C112" s="816"/>
      <c r="D112" s="816"/>
      <c r="E112" s="816"/>
      <c r="F112" s="816"/>
      <c r="G112" s="816"/>
      <c r="H112" s="816"/>
      <c r="I112" s="816"/>
      <c r="J112" s="816"/>
      <c r="K112" s="816"/>
      <c r="L112" s="816"/>
      <c r="M112" s="816"/>
      <c r="N112" s="816"/>
      <c r="O112" s="816"/>
      <c r="P112" s="816"/>
      <c r="Q112" s="816"/>
      <c r="R112" s="832"/>
      <c r="AR112" s="406"/>
      <c r="BN112" s="407"/>
    </row>
    <row r="113" spans="1:66" ht="39" customHeight="1">
      <c r="A113" s="816"/>
      <c r="B113" s="816"/>
      <c r="C113" s="816"/>
      <c r="D113" s="816"/>
      <c r="E113" s="816"/>
      <c r="F113" s="816"/>
      <c r="G113" s="816"/>
      <c r="H113" s="816"/>
      <c r="I113" s="816"/>
      <c r="J113" s="816"/>
      <c r="K113" s="816"/>
      <c r="L113" s="816"/>
      <c r="M113" s="816"/>
      <c r="N113" s="816"/>
      <c r="O113" s="816"/>
      <c r="P113" s="816"/>
      <c r="Q113" s="816"/>
      <c r="R113" s="832"/>
      <c r="AR113" s="406"/>
      <c r="BN113" s="407"/>
    </row>
    <row r="114" spans="1:66" ht="39" customHeight="1">
      <c r="A114" s="816"/>
      <c r="B114" s="816"/>
      <c r="C114" s="816"/>
      <c r="D114" s="816"/>
      <c r="E114" s="816"/>
      <c r="F114" s="816"/>
      <c r="G114" s="816"/>
      <c r="H114" s="816"/>
      <c r="I114" s="816"/>
      <c r="J114" s="816"/>
      <c r="K114" s="816"/>
      <c r="L114" s="816"/>
      <c r="M114" s="816"/>
      <c r="N114" s="816"/>
      <c r="O114" s="816"/>
      <c r="P114" s="816"/>
      <c r="Q114" s="816"/>
      <c r="R114" s="832"/>
      <c r="AR114" s="406"/>
      <c r="BN114" s="407"/>
    </row>
    <row r="115" spans="1:66" ht="39" customHeight="1">
      <c r="A115" s="816"/>
      <c r="B115" s="816"/>
      <c r="C115" s="816"/>
      <c r="D115" s="816"/>
      <c r="E115" s="816"/>
      <c r="F115" s="816"/>
      <c r="G115" s="816"/>
      <c r="H115" s="816"/>
      <c r="I115" s="816"/>
      <c r="J115" s="816"/>
      <c r="K115" s="816"/>
      <c r="L115" s="816"/>
      <c r="M115" s="816"/>
      <c r="N115" s="816"/>
      <c r="O115" s="816"/>
      <c r="P115" s="816"/>
      <c r="Q115" s="816"/>
      <c r="R115" s="832"/>
      <c r="AR115" s="406"/>
      <c r="BN115" s="407"/>
    </row>
    <row r="116" spans="1:66">
      <c r="AR116" s="406"/>
      <c r="BN116" s="407"/>
    </row>
    <row r="117" spans="1:66">
      <c r="AR117" s="406"/>
      <c r="BN117" s="407"/>
    </row>
    <row r="118" spans="1:66">
      <c r="AR118" s="406"/>
      <c r="BN118" s="407"/>
    </row>
    <row r="119" spans="1:66">
      <c r="AR119" s="406"/>
      <c r="BN119" s="407"/>
    </row>
    <row r="120" spans="1:66">
      <c r="AR120" s="406"/>
      <c r="BN120" s="407"/>
    </row>
    <row r="121" spans="1:66">
      <c r="AR121" s="406"/>
      <c r="BN121" s="407"/>
    </row>
    <row r="122" spans="1:66">
      <c r="AR122" s="406"/>
      <c r="BN122" s="407"/>
    </row>
    <row r="123" spans="1:66">
      <c r="AR123" s="406"/>
      <c r="BN123" s="407"/>
    </row>
    <row r="124" spans="1:66">
      <c r="AR124" s="406"/>
      <c r="BN124" s="407"/>
    </row>
    <row r="125" spans="1:66">
      <c r="AR125" s="406"/>
      <c r="BN125" s="407"/>
    </row>
    <row r="126" spans="1:66">
      <c r="AR126" s="406"/>
      <c r="BN126" s="407"/>
    </row>
    <row r="127" spans="1:66">
      <c r="AR127" s="406"/>
      <c r="BN127" s="407"/>
    </row>
    <row r="128" spans="1:66">
      <c r="AR128" s="406"/>
      <c r="BN128" s="407"/>
    </row>
    <row r="129" spans="44:66">
      <c r="AR129" s="406"/>
      <c r="BN129" s="407"/>
    </row>
    <row r="130" spans="44:66">
      <c r="AR130" s="406"/>
      <c r="BN130" s="407"/>
    </row>
    <row r="131" spans="44:66">
      <c r="AR131" s="406"/>
      <c r="BN131" s="407"/>
    </row>
    <row r="132" spans="44:66">
      <c r="AR132" s="406"/>
      <c r="BN132" s="407"/>
    </row>
    <row r="133" spans="44:66">
      <c r="AR133" s="406"/>
      <c r="BN133" s="407"/>
    </row>
    <row r="134" spans="44:66">
      <c r="AR134" s="406"/>
      <c r="BN134" s="407"/>
    </row>
    <row r="135" spans="44:66">
      <c r="AR135" s="406"/>
      <c r="BN135" s="407"/>
    </row>
    <row r="136" spans="44:66">
      <c r="AR136" s="406"/>
      <c r="BN136" s="407"/>
    </row>
    <row r="137" spans="44:66">
      <c r="AR137" s="406"/>
      <c r="BN137" s="407"/>
    </row>
    <row r="138" spans="44:66">
      <c r="AR138" s="406"/>
      <c r="BN138" s="407"/>
    </row>
    <row r="139" spans="44:66">
      <c r="AR139" s="406"/>
      <c r="BN139" s="407"/>
    </row>
    <row r="140" spans="44:66">
      <c r="AR140" s="406"/>
      <c r="BN140" s="407"/>
    </row>
    <row r="141" spans="44:66">
      <c r="AR141" s="406"/>
      <c r="BN141" s="407"/>
    </row>
    <row r="142" spans="44:66">
      <c r="AR142" s="406"/>
      <c r="BN142" s="407"/>
    </row>
    <row r="143" spans="44:66">
      <c r="AR143" s="406"/>
      <c r="BN143" s="407"/>
    </row>
    <row r="144" spans="44:66">
      <c r="AR144" s="406"/>
      <c r="BN144" s="407"/>
    </row>
    <row r="145" spans="44:66">
      <c r="AR145" s="406"/>
      <c r="BN145" s="407"/>
    </row>
    <row r="146" spans="44:66">
      <c r="AR146" s="406"/>
      <c r="BN146" s="407"/>
    </row>
    <row r="147" spans="44:66">
      <c r="AR147" s="406"/>
      <c r="BN147" s="407"/>
    </row>
    <row r="148" spans="44:66">
      <c r="AR148" s="406"/>
      <c r="BN148" s="407"/>
    </row>
    <row r="149" spans="44:66">
      <c r="AR149" s="406"/>
      <c r="BN149" s="407"/>
    </row>
    <row r="150" spans="44:66">
      <c r="AR150" s="406"/>
      <c r="BN150" s="407"/>
    </row>
    <row r="151" spans="44:66">
      <c r="AR151" s="406"/>
      <c r="BN151" s="407"/>
    </row>
    <row r="152" spans="44:66">
      <c r="AR152" s="406"/>
      <c r="BN152" s="407"/>
    </row>
    <row r="153" spans="44:66">
      <c r="AR153" s="406"/>
      <c r="BN153" s="407"/>
    </row>
    <row r="154" spans="44:66">
      <c r="AR154" s="406"/>
      <c r="BN154" s="407"/>
    </row>
    <row r="155" spans="44:66">
      <c r="AR155" s="406"/>
      <c r="BN155" s="407"/>
    </row>
    <row r="156" spans="44:66">
      <c r="AR156" s="406"/>
      <c r="BN156" s="407"/>
    </row>
    <row r="157" spans="44:66">
      <c r="AR157" s="406"/>
      <c r="BN157" s="407"/>
    </row>
    <row r="158" spans="44:66">
      <c r="AR158" s="406"/>
      <c r="BN158" s="407"/>
    </row>
    <row r="159" spans="44:66">
      <c r="AR159" s="406"/>
      <c r="BN159" s="407"/>
    </row>
    <row r="160" spans="44:66">
      <c r="AR160" s="406"/>
      <c r="BN160" s="407"/>
    </row>
    <row r="161" spans="44:66">
      <c r="AR161" s="406"/>
      <c r="BN161" s="407"/>
    </row>
    <row r="162" spans="44:66">
      <c r="AR162" s="406"/>
      <c r="BN162" s="407"/>
    </row>
    <row r="163" spans="44:66">
      <c r="AR163" s="406"/>
      <c r="BN163" s="407"/>
    </row>
    <row r="164" spans="44:66">
      <c r="AR164" s="406"/>
      <c r="BN164" s="407"/>
    </row>
    <row r="165" spans="44:66">
      <c r="AR165" s="406"/>
      <c r="BN165" s="407"/>
    </row>
    <row r="166" spans="44:66">
      <c r="AR166" s="406"/>
      <c r="BN166" s="407"/>
    </row>
    <row r="167" spans="44:66">
      <c r="AR167" s="406"/>
      <c r="BN167" s="407"/>
    </row>
    <row r="168" spans="44:66">
      <c r="AR168" s="406"/>
      <c r="BN168" s="407"/>
    </row>
    <row r="169" spans="44:66">
      <c r="AR169" s="406"/>
      <c r="BN169" s="407"/>
    </row>
    <row r="170" spans="44:66">
      <c r="AR170" s="406"/>
      <c r="BN170" s="407"/>
    </row>
    <row r="171" spans="44:66">
      <c r="BN171" s="407"/>
    </row>
    <row r="172" spans="44:66">
      <c r="BN172" s="407"/>
    </row>
    <row r="173" spans="44:66">
      <c r="BN173" s="407"/>
    </row>
    <row r="174" spans="44:66">
      <c r="BN174" s="407"/>
    </row>
    <row r="175" spans="44:66">
      <c r="BN175" s="407"/>
    </row>
    <row r="176" spans="44:66">
      <c r="BN176" s="407"/>
    </row>
    <row r="177" spans="66:66">
      <c r="BN177" s="407"/>
    </row>
    <row r="178" spans="66:66">
      <c r="BN178" s="407"/>
    </row>
    <row r="179" spans="66:66">
      <c r="BN179" s="407"/>
    </row>
    <row r="180" spans="66:66">
      <c r="BN180" s="407"/>
    </row>
    <row r="181" spans="66:66">
      <c r="BN181" s="407"/>
    </row>
    <row r="182" spans="66:66">
      <c r="BN182" s="407"/>
    </row>
    <row r="183" spans="66:66">
      <c r="BN183" s="407"/>
    </row>
    <row r="184" spans="66:66">
      <c r="BN184" s="407"/>
    </row>
    <row r="185" spans="66:66">
      <c r="BN185" s="407"/>
    </row>
  </sheetData>
  <sheetProtection autoFilter="0"/>
  <mergeCells count="115">
    <mergeCell ref="AE47:AF48"/>
    <mergeCell ref="AG47:AH48"/>
    <mergeCell ref="AG50:AG51"/>
    <mergeCell ref="AH50:AH51"/>
    <mergeCell ref="AI50:AI51"/>
    <mergeCell ref="AO64:AP64"/>
    <mergeCell ref="AO60:AP63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J38:AJ39"/>
    <mergeCell ref="AK38:AK39"/>
    <mergeCell ref="AG40:AG41"/>
    <mergeCell ref="AH40:AH41"/>
    <mergeCell ref="AI40:AI41"/>
    <mergeCell ref="AJ40:AJ41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K40:AK41"/>
  </mergeCells>
  <hyperlinks>
    <hyperlink ref="S14" location="تسعير!X8" display="الامتداد cm" xr:uid="{00000000-0004-0000-0100-000001000000}"/>
    <hyperlink ref="S12" location="تسعير!X14" display="التثبيت" xr:uid="{00000000-0004-0000-0100-000002000000}"/>
    <hyperlink ref="S32" location="تسعير!X37" display="التثبيت" xr:uid="{00000000-0004-0000-0100-000003000000}"/>
    <hyperlink ref="S30" location="تسعير!AF31" display="الارتفاع الخلفي" xr:uid="{00000000-0004-0000-0100-000005000000}"/>
    <hyperlink ref="S33" location="تسعير!AA33" display="العرض cm" xr:uid="{00000000-0004-0000-0100-000006000000}"/>
    <hyperlink ref="S34" location="تسعير!X31" display="الامتداد cm" xr:uid="{00000000-0004-0000-0100-000007000000}"/>
    <hyperlink ref="AS13" location="تسعير!AV10" display="العرض cm" xr:uid="{00000000-0004-0000-0100-000008000000}"/>
    <hyperlink ref="AS14" location="تسعير!BA12" display="الامتداد cm" xr:uid="{00000000-0004-0000-0100-000009000000}"/>
    <hyperlink ref="AS12" location="تسعير!BB14" display="التثبيت" xr:uid="{00000000-0004-0000-0100-00000A000000}"/>
    <hyperlink ref="BD13" location="تسعير!BG10" display="العرض cm" xr:uid="{00000000-0004-0000-0100-00000B000000}"/>
    <hyperlink ref="BD12" location="تسعير!BF14" display="التثبيت" xr:uid="{00000000-0004-0000-0100-00000C000000}"/>
    <hyperlink ref="S13" location="تسعير!AA10" display="العرض cm" xr:uid="{00000000-0004-0000-0100-00000D000000}"/>
    <hyperlink ref="BD14" location="تسعير!BL12" display="الامتداد cm" xr:uid="{00000000-0004-0000-0100-00000E000000}"/>
    <hyperlink ref="AS33" location="تسعير!BA36" display="العرض cm" xr:uid="{00000000-0004-0000-0100-00000F000000}"/>
    <hyperlink ref="AS34" location="تسعير!AW25" display="الامتداد cm" xr:uid="{00000000-0004-0000-0100-000010000000}"/>
    <hyperlink ref="AS32" location="تسعير!BB14" display="التثبيت" xr:uid="{00000000-0004-0000-0100-000011000000}"/>
    <hyperlink ref="BD33" location="تسعير!AV10" display="العرض cm" xr:uid="{00000000-0004-0000-0100-000012000000}"/>
    <hyperlink ref="BD34" location="تسعير!BA12" display="الامتداد cm" xr:uid="{00000000-0004-0000-0100-000013000000}"/>
    <hyperlink ref="BD32" location="تسعير!BB14" display="التثبيت" xr:uid="{00000000-0004-0000-0100-000014000000}"/>
    <hyperlink ref="AS53" location="تسعير!AV10" display="العرض cm" xr:uid="{00000000-0004-0000-0100-000015000000}"/>
    <hyperlink ref="AS54" location="تسعير!BA12" display="الامتداد cm" xr:uid="{00000000-0004-0000-0100-000016000000}"/>
    <hyperlink ref="AS52" location="تسعير!BB14" display="التثبيت" xr:uid="{00000000-0004-0000-0100-000017000000}"/>
    <hyperlink ref="BD53" location="تسعير!AV10" display="العرض cm" xr:uid="{00000000-0004-0000-0100-000018000000}"/>
    <hyperlink ref="BD54" location="تسعير!BA12" display="الامتداد cm" xr:uid="{00000000-0004-0000-0100-000019000000}"/>
    <hyperlink ref="BD52" location="تسعير!BB14" display="التثبيت" xr:uid="{00000000-0004-0000-0100-00001A000000}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 r:id="rId1"/>
  <rowBreaks count="3" manualBreakCount="3">
    <brk id="11" max="24" man="1"/>
    <brk id="24" max="24" man="1"/>
    <brk id="40" max="24" man="1"/>
  </rowBreaks>
  <colBreaks count="1" manualBreakCount="1">
    <brk id="9" max="130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T12 AT12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style="10"/>
    <col min="3" max="3" width="25.85546875" style="10" customWidth="1"/>
    <col min="4" max="4" width="11.42578125" style="1" customWidth="1"/>
    <col min="5" max="5" width="11.7109375" style="1" customWidth="1"/>
    <col min="6" max="6" width="12" style="1" customWidth="1"/>
    <col min="7" max="7" width="10.5703125" style="1" customWidth="1"/>
    <col min="8" max="9" width="9.140625" style="10"/>
    <col min="10" max="10" width="12" style="10" customWidth="1"/>
    <col min="11" max="11" width="9.140625" style="1"/>
    <col min="12" max="16384" width="9.140625" style="10"/>
  </cols>
  <sheetData>
    <row r="1" spans="1:18">
      <c r="A1" s="1118" t="s">
        <v>536</v>
      </c>
      <c r="B1" s="1119"/>
      <c r="C1" s="17"/>
      <c r="D1" s="3" t="s">
        <v>537</v>
      </c>
      <c r="E1" s="3" t="s">
        <v>538</v>
      </c>
      <c r="F1" s="3" t="s">
        <v>539</v>
      </c>
      <c r="G1" s="3" t="s">
        <v>540</v>
      </c>
      <c r="H1" s="7" t="s">
        <v>541</v>
      </c>
    </row>
    <row r="2" spans="1:18">
      <c r="A2" s="1120"/>
      <c r="B2" s="1121"/>
      <c r="C2" s="10" t="s">
        <v>542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 spans="1:18">
      <c r="A3" s="1120"/>
      <c r="B3" s="1121"/>
      <c r="C3" s="10" t="s">
        <v>543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 spans="1:18">
      <c r="A4" s="1120"/>
      <c r="B4" s="1121"/>
      <c r="C4" s="10" t="s">
        <v>544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 spans="1:18">
      <c r="A5" s="1120"/>
      <c r="B5" s="1121"/>
      <c r="H5" s="18"/>
      <c r="K5" s="1" t="s">
        <v>545</v>
      </c>
      <c r="L5" s="10" t="s">
        <v>546</v>
      </c>
    </row>
    <row r="6" spans="1:18">
      <c r="A6" s="1120"/>
      <c r="B6" s="1121"/>
      <c r="C6" s="10" t="s">
        <v>547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548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 spans="1:18">
      <c r="A7" s="1122"/>
      <c r="B7" s="1123"/>
      <c r="C7" s="19" t="s">
        <v>549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 spans="1:18">
      <c r="A10" s="1124" t="s">
        <v>550</v>
      </c>
      <c r="B10" s="1125"/>
      <c r="C10" s="17"/>
      <c r="D10" s="3" t="s">
        <v>537</v>
      </c>
      <c r="E10" s="3" t="s">
        <v>538</v>
      </c>
      <c r="F10" s="3" t="s">
        <v>539</v>
      </c>
      <c r="G10" s="3" t="s">
        <v>540</v>
      </c>
      <c r="H10" s="7" t="s">
        <v>541</v>
      </c>
    </row>
    <row r="11" spans="1:18">
      <c r="A11" s="1126"/>
      <c r="B11" s="1127"/>
      <c r="C11" s="10" t="s">
        <v>542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 spans="1:18">
      <c r="A12" s="1126"/>
      <c r="B12" s="1127"/>
      <c r="C12" s="10" t="s">
        <v>543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 spans="1:18">
      <c r="A13" s="1126"/>
      <c r="B13" s="1127"/>
      <c r="C13" s="10" t="s">
        <v>544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545</v>
      </c>
      <c r="L13" s="10" t="s">
        <v>546</v>
      </c>
    </row>
    <row r="14" spans="1:18">
      <c r="A14" s="1126"/>
      <c r="B14" s="1127"/>
      <c r="H14" s="18"/>
      <c r="J14" s="10" t="s">
        <v>548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 spans="1:18">
      <c r="A15" s="1126"/>
      <c r="B15" s="1127"/>
      <c r="C15" s="10" t="s">
        <v>547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520</v>
      </c>
      <c r="R15" s="10" t="s">
        <v>551</v>
      </c>
    </row>
    <row r="16" spans="1:18">
      <c r="A16" s="1128"/>
      <c r="B16" s="1129"/>
      <c r="C16" s="19" t="s">
        <v>549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 spans="1:12">
      <c r="A19" s="1130" t="s">
        <v>552</v>
      </c>
      <c r="B19" s="1131"/>
      <c r="C19" s="17"/>
      <c r="D19" s="3" t="s">
        <v>537</v>
      </c>
      <c r="E19" s="3" t="s">
        <v>538</v>
      </c>
      <c r="F19" s="3" t="s">
        <v>539</v>
      </c>
      <c r="G19" s="3" t="s">
        <v>540</v>
      </c>
      <c r="H19" s="7" t="s">
        <v>541</v>
      </c>
    </row>
    <row r="20" spans="1:12">
      <c r="A20" s="1132"/>
      <c r="B20" s="1133"/>
      <c r="C20" s="10" t="s">
        <v>542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 spans="1:12">
      <c r="A21" s="1132"/>
      <c r="B21" s="1133"/>
      <c r="C21" s="10" t="s">
        <v>543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 spans="1:12">
      <c r="A22" s="1132"/>
      <c r="B22" s="1133"/>
      <c r="C22" s="10" t="s">
        <v>544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545</v>
      </c>
      <c r="L22" s="10" t="s">
        <v>546</v>
      </c>
    </row>
    <row r="23" spans="1:12">
      <c r="A23" s="1132"/>
      <c r="B23" s="1133"/>
      <c r="H23" s="18"/>
      <c r="J23" s="10" t="s">
        <v>548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 spans="1:12">
      <c r="A24" s="1132"/>
      <c r="B24" s="1133"/>
      <c r="C24" s="10" t="s">
        <v>547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 spans="1:12">
      <c r="A25" s="1134"/>
      <c r="B25" s="1135"/>
      <c r="C25" s="19" t="s">
        <v>549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 count="3">
    <mergeCell ref="A1:B7"/>
    <mergeCell ref="A10:B16"/>
    <mergeCell ref="A19:B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style="10" customWidth="1"/>
    <col min="2" max="2" width="12" style="1" customWidth="1"/>
    <col min="3" max="9" width="9.140625" style="10"/>
    <col min="10" max="10" width="9.5703125" style="10" customWidth="1"/>
    <col min="11" max="11" width="20.5703125" style="10" customWidth="1"/>
    <col min="12" max="12" width="9.140625" style="1"/>
    <col min="13" max="14" width="9.140625" style="10"/>
    <col min="15" max="15" width="32.5703125" style="10" customWidth="1"/>
    <col min="16" max="16384" width="9.140625" style="10"/>
  </cols>
  <sheetData>
    <row r="1" spans="1:15">
      <c r="A1" s="1"/>
    </row>
    <row r="2" spans="1:15">
      <c r="A2" s="1"/>
      <c r="J2" s="1" t="s">
        <v>437</v>
      </c>
      <c r="K2" s="1" t="s">
        <v>553</v>
      </c>
      <c r="O2" s="1" t="s">
        <v>554</v>
      </c>
    </row>
    <row r="3" spans="1:15">
      <c r="A3" s="1" t="s">
        <v>419</v>
      </c>
      <c r="B3" s="1" t="str">
        <f>Format!B17</f>
        <v>EVO 150X70</v>
      </c>
      <c r="J3" s="15">
        <v>3</v>
      </c>
      <c r="K3" s="15">
        <v>2</v>
      </c>
    </row>
    <row r="4" spans="1:15">
      <c r="A4" s="1" t="s">
        <v>555</v>
      </c>
      <c r="B4" s="1">
        <f>تسجيل1!C7</f>
        <v>400</v>
      </c>
      <c r="J4" s="15">
        <v>4</v>
      </c>
      <c r="K4" s="15">
        <v>2</v>
      </c>
    </row>
    <row r="5" spans="1:15">
      <c r="A5" s="1" t="s">
        <v>545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 spans="1:15">
      <c r="A6" s="1" t="s">
        <v>437</v>
      </c>
      <c r="B6" s="1">
        <f>'Cutting Ro-1'!L14</f>
        <v>5</v>
      </c>
      <c r="C6" s="1" t="s">
        <v>439</v>
      </c>
      <c r="D6" s="11">
        <v>2</v>
      </c>
      <c r="J6" s="15">
        <v>6</v>
      </c>
      <c r="K6" s="15">
        <v>3</v>
      </c>
    </row>
    <row r="7" spans="1:15">
      <c r="A7" s="1"/>
      <c r="J7" s="15">
        <v>7</v>
      </c>
      <c r="K7" s="15">
        <v>3</v>
      </c>
    </row>
    <row r="8" spans="1:15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 spans="1:15">
      <c r="A9" s="1" t="s">
        <v>556</v>
      </c>
      <c r="B9" s="1">
        <f>O8</f>
        <v>3</v>
      </c>
      <c r="J9" s="15">
        <v>9</v>
      </c>
      <c r="K9" s="15">
        <v>4</v>
      </c>
    </row>
    <row r="10" spans="1:15">
      <c r="A10" s="12" t="s">
        <v>557</v>
      </c>
      <c r="B10" s="13">
        <f>(((B4-(تسجيل1!C22*2))/200)+1)*B9</f>
        <v>7.5</v>
      </c>
      <c r="C10" s="895" t="s">
        <v>558</v>
      </c>
      <c r="D10" s="895"/>
      <c r="E10" s="14">
        <f>ROUND(B10,0)</f>
        <v>8</v>
      </c>
      <c r="J10" s="15">
        <v>10</v>
      </c>
      <c r="K10" s="15">
        <v>4</v>
      </c>
    </row>
    <row r="11" spans="1:15">
      <c r="A11" s="12" t="s">
        <v>559</v>
      </c>
      <c r="B11" s="13">
        <f>E10/B9</f>
        <v>2.6666666666666665</v>
      </c>
      <c r="C11" s="895" t="s">
        <v>558</v>
      </c>
      <c r="D11" s="895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 spans="1:15">
      <c r="A12" s="12" t="s">
        <v>560</v>
      </c>
      <c r="B12" s="14">
        <f>E11*B9</f>
        <v>9</v>
      </c>
      <c r="J12" s="15">
        <v>12</v>
      </c>
      <c r="K12" s="15">
        <v>5</v>
      </c>
    </row>
    <row r="13" spans="1:15">
      <c r="J13" s="15">
        <v>13</v>
      </c>
      <c r="K13" s="15">
        <v>5</v>
      </c>
    </row>
    <row r="14" spans="1:15">
      <c r="J14" s="16">
        <v>14</v>
      </c>
      <c r="K14" s="16">
        <v>5</v>
      </c>
    </row>
    <row r="15" spans="1:15">
      <c r="J15" s="15">
        <v>15</v>
      </c>
      <c r="K15" s="15">
        <v>5</v>
      </c>
    </row>
    <row r="16" spans="1:15">
      <c r="J16" s="15">
        <v>16</v>
      </c>
      <c r="K16" s="15">
        <v>6</v>
      </c>
    </row>
    <row r="17" spans="10:12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 spans="10:12">
      <c r="J18" s="15">
        <v>18</v>
      </c>
      <c r="K18" s="15">
        <v>6</v>
      </c>
    </row>
    <row r="19" spans="10:12">
      <c r="J19" s="15">
        <v>19</v>
      </c>
      <c r="K19" s="15">
        <v>6</v>
      </c>
    </row>
    <row r="20" spans="10:12">
      <c r="J20" s="15">
        <v>20</v>
      </c>
      <c r="K20" s="15">
        <v>6</v>
      </c>
    </row>
  </sheetData>
  <sheetProtection password="C6E5" sheet="1" objects="1" scenarios="1" selectLockedCells="1" selectUnlockedCells="1"/>
  <mergeCells count="2">
    <mergeCell ref="C10:D10"/>
    <mergeCell ref="C11:D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style="1" customWidth="1"/>
    <col min="2" max="2" width="12.140625" style="1" customWidth="1"/>
    <col min="3" max="3" width="23.28515625" style="1" customWidth="1"/>
    <col min="4" max="16384" width="9.140625" style="1"/>
  </cols>
  <sheetData>
    <row r="1" spans="1:11">
      <c r="A1" s="1" t="s">
        <v>419</v>
      </c>
      <c r="B1" s="1" t="s">
        <v>545</v>
      </c>
      <c r="C1" s="1" t="s">
        <v>561</v>
      </c>
    </row>
    <row r="2" spans="1:11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 spans="1:11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 spans="1:11">
      <c r="A6" s="4" t="s">
        <v>562</v>
      </c>
      <c r="C6" s="1">
        <f>IF(Format!N8=1,'Format διαστασης οδηγου'!B2-32,IF(Format!N8=2,'Format διαστασης οδηγου'!B2-43,"-------"))</f>
        <v>368</v>
      </c>
      <c r="K6" s="8"/>
    </row>
    <row r="7" spans="1:11">
      <c r="A7" s="4" t="s">
        <v>563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6" t="s">
        <v>564</v>
      </c>
      <c r="I7" s="1136"/>
      <c r="J7" s="1136"/>
      <c r="K7" s="1137"/>
    </row>
    <row r="8" spans="1:11">
      <c r="A8" s="4" t="s">
        <v>565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6"/>
      <c r="I8" s="1136"/>
      <c r="J8" s="1136"/>
      <c r="K8" s="1137"/>
    </row>
    <row r="9" spans="1:11">
      <c r="A9" s="4" t="s">
        <v>566</v>
      </c>
      <c r="C9" s="1" t="str">
        <f>IF(Format!N8=5,'Format διαστασης οδηγου'!B2-35,IF(Format!N8=6,'Format διαστασης οδηγου'!B2-31,"-------"))</f>
        <v>-------</v>
      </c>
      <c r="H9" s="1136"/>
      <c r="I9" s="1136"/>
      <c r="J9" s="1136"/>
      <c r="K9" s="1137"/>
    </row>
    <row r="10" spans="1:11">
      <c r="A10" s="4" t="s">
        <v>567</v>
      </c>
      <c r="C10" s="1">
        <f>B2-32</f>
        <v>368</v>
      </c>
      <c r="K10" s="8"/>
    </row>
    <row r="11" spans="1: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 spans="1:11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 spans="1:11">
      <c r="A14" s="4" t="s">
        <v>562</v>
      </c>
      <c r="C14" s="1">
        <f>IF(Format!N8=1,B2,IF(Format!N8=2,'Format διαστασης οδηγου'!B2-11,"-------"))</f>
        <v>400</v>
      </c>
      <c r="K14" s="8"/>
    </row>
    <row r="15" spans="1:11">
      <c r="A15" s="4" t="s">
        <v>563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6" t="s">
        <v>568</v>
      </c>
      <c r="I15" s="1136"/>
      <c r="J15" s="1136"/>
      <c r="K15" s="1137"/>
    </row>
    <row r="16" spans="1:11">
      <c r="A16" s="4" t="s">
        <v>565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6"/>
      <c r="I16" s="1136"/>
      <c r="J16" s="1136"/>
      <c r="K16" s="1137"/>
    </row>
    <row r="17" spans="1:11">
      <c r="A17" s="4" t="s">
        <v>566</v>
      </c>
      <c r="C17" s="1" t="str">
        <f>IF(Format!N8=5,'Format διαστασης οδηγου'!B2-6,IF(Format!N8=6,'Format διαστασης οδηγου'!B2-2,"-------"))</f>
        <v>-------</v>
      </c>
      <c r="H17" s="1136"/>
      <c r="I17" s="1136"/>
      <c r="J17" s="1136"/>
      <c r="K17" s="1137"/>
    </row>
    <row r="18" spans="1:11">
      <c r="A18" s="4" t="s">
        <v>567</v>
      </c>
      <c r="C18" s="1">
        <f>B2</f>
        <v>400</v>
      </c>
      <c r="K18" s="8"/>
    </row>
    <row r="19" spans="1:11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 count="2">
    <mergeCell ref="H7:K9"/>
    <mergeCell ref="H15:K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40625" customWidth="1"/>
    <col min="2" max="2" width="38.5703125" customWidth="1"/>
    <col min="3" max="3" width="30.85546875" customWidth="1"/>
    <col min="4" max="4" width="18.28515625" customWidth="1"/>
    <col min="5" max="5" width="12.7109375" customWidth="1"/>
    <col min="6" max="6" width="10.85546875" customWidth="1"/>
    <col min="7" max="7" width="15.28515625" customWidth="1"/>
    <col min="8" max="8" width="18.42578125" customWidth="1"/>
    <col min="9" max="9" width="17.42578125" customWidth="1"/>
    <col min="12" max="12" width="19" hidden="1" customWidth="1"/>
    <col min="16" max="16" width="60" customWidth="1"/>
    <col min="17" max="17" width="18.42578125" customWidth="1"/>
    <col min="18" max="18" width="16.140625" customWidth="1"/>
    <col min="19" max="19" width="20.85546875" customWidth="1"/>
    <col min="20" max="23" width="16.140625" customWidth="1"/>
  </cols>
  <sheetData>
    <row r="1" spans="1:27" ht="27" customHeight="1" thickTop="1" thickBot="1">
      <c r="A1" s="877" t="s">
        <v>786</v>
      </c>
      <c r="B1" s="877"/>
      <c r="C1" s="599" t="s">
        <v>640</v>
      </c>
      <c r="D1" s="598" t="str">
        <f>تسعير!AM17</f>
        <v>مصري</v>
      </c>
      <c r="E1" s="599" t="s">
        <v>639</v>
      </c>
      <c r="F1" s="598" t="str">
        <f>تسعير!AL17</f>
        <v>خشبي</v>
      </c>
      <c r="G1" s="599" t="s">
        <v>305</v>
      </c>
      <c r="H1" s="598" t="s">
        <v>621</v>
      </c>
      <c r="I1" s="597">
        <f>IF(تسعير!AI17="قطاعي",Table1381[[#Totals],[التكلفة]]*1.35,IF(تسعير!AI17="جملة",Table1381[[#Totals],[التكلفة]]*1.25,IF(تسعير!AI17="نصف جملة",Table1381[[#Totals],[التكلفة]]*1.3,0)))</f>
        <v>25604.318700000003</v>
      </c>
      <c r="O1" s="618"/>
      <c r="P1" t="s">
        <v>785</v>
      </c>
      <c r="Q1" s="603">
        <f>تسعير!AK17</f>
        <v>3</v>
      </c>
      <c r="R1" s="604" t="s">
        <v>642</v>
      </c>
      <c r="S1" s="603" t="str">
        <f>تسعير!AM17</f>
        <v>مصري</v>
      </c>
      <c r="T1" s="605">
        <f>IF(Q1=3,Table1102[[#Totals],[3]]*1.3,IF(Q1=2.5,Table1102[[#Totals],[2.5]]*1.3,0))</f>
        <v>9482.2000000000007</v>
      </c>
      <c r="U1" s="606"/>
      <c r="V1" s="606"/>
      <c r="W1" s="607"/>
      <c r="X1" s="608"/>
      <c r="Y1" s="608"/>
      <c r="Z1" s="608"/>
      <c r="AA1" s="608"/>
    </row>
    <row r="2" spans="1:27" ht="27" customHeight="1" thickTop="1">
      <c r="A2" s="596" t="s">
        <v>16</v>
      </c>
      <c r="B2" s="596" t="s">
        <v>347</v>
      </c>
      <c r="C2" s="596" t="s">
        <v>638</v>
      </c>
      <c r="D2" s="596" t="s">
        <v>433</v>
      </c>
      <c r="E2" s="596" t="s">
        <v>637</v>
      </c>
      <c r="F2" s="596" t="s">
        <v>128</v>
      </c>
      <c r="G2" s="596" t="s">
        <v>17</v>
      </c>
      <c r="H2" s="596" t="s">
        <v>636</v>
      </c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</row>
    <row r="3" spans="1:27" ht="27" customHeight="1">
      <c r="A3" s="592" t="s">
        <v>20</v>
      </c>
      <c r="B3" s="592" t="s">
        <v>635</v>
      </c>
      <c r="C3" s="591" t="s">
        <v>634</v>
      </c>
      <c r="D3" s="590">
        <v>3.7</v>
      </c>
      <c r="E3" s="590">
        <v>3.05</v>
      </c>
      <c r="F3" s="590">
        <f>Table1381[[#This Row],[الطول]]*Table1381[[#This Row],[وزن المتر]]</f>
        <v>11.285</v>
      </c>
      <c r="G3" s="590">
        <f>Sheet2!$B$14/1000</f>
        <v>252</v>
      </c>
      <c r="H3" s="593">
        <f>Table1381[[#This Row],[السعر]]*Table1381[[#This Row],[الوزن]]</f>
        <v>2843.82</v>
      </c>
      <c r="J3">
        <v>60</v>
      </c>
      <c r="K3" s="361" t="s">
        <v>633</v>
      </c>
      <c r="L3">
        <f>Table1381[[#This Row],[الوزن]]</f>
        <v>11.285</v>
      </c>
      <c r="M3">
        <f>L3*J3</f>
        <v>677.1</v>
      </c>
      <c r="O3" s="594" t="s">
        <v>123</v>
      </c>
      <c r="P3" s="594" t="s">
        <v>643</v>
      </c>
      <c r="Q3" s="594" t="s">
        <v>127</v>
      </c>
      <c r="R3" s="609" t="s">
        <v>644</v>
      </c>
      <c r="S3" s="609" t="s">
        <v>645</v>
      </c>
      <c r="T3" s="609" t="s">
        <v>646</v>
      </c>
      <c r="U3" s="609" t="s">
        <v>323</v>
      </c>
      <c r="V3" s="609" t="s">
        <v>641</v>
      </c>
      <c r="W3" s="609" t="s">
        <v>647</v>
      </c>
    </row>
    <row r="4" spans="1:27" ht="27" customHeight="1">
      <c r="A4" s="592" t="s">
        <v>20</v>
      </c>
      <c r="B4" s="592" t="s">
        <v>632</v>
      </c>
      <c r="C4" s="591" t="s">
        <v>631</v>
      </c>
      <c r="D4" s="590">
        <v>1.8</v>
      </c>
      <c r="E4" s="590">
        <v>2.6</v>
      </c>
      <c r="F4" s="590">
        <f>Table1381[[#This Row],[الطول]]*Table1381[[#This Row],[وزن المتر]]</f>
        <v>4.6800000000000006</v>
      </c>
      <c r="G4" s="590">
        <f>Sheet2!$B$14/1000</f>
        <v>252</v>
      </c>
      <c r="H4" s="593">
        <f>Table1381[[#This Row],[السعر]]*Table1381[[#This Row],[الوزن]]</f>
        <v>1179.3600000000001</v>
      </c>
      <c r="J4">
        <v>60</v>
      </c>
      <c r="K4" s="361" t="s">
        <v>630</v>
      </c>
      <c r="L4">
        <f>Table1381[[#This Row],[الوزن]]</f>
        <v>4.6800000000000006</v>
      </c>
      <c r="M4">
        <f>L4*J4</f>
        <v>280.8</v>
      </c>
      <c r="O4" s="591">
        <v>1</v>
      </c>
      <c r="P4" s="610" t="s">
        <v>648</v>
      </c>
      <c r="Q4" s="610" t="s">
        <v>124</v>
      </c>
      <c r="R4" s="591">
        <v>0.5</v>
      </c>
      <c r="S4" s="591">
        <v>1</v>
      </c>
      <c r="T4" s="609" t="s">
        <v>626</v>
      </c>
      <c r="U4" s="608">
        <f>IF(تسعير!$AL$17="سادة",2.39*((Sheet2!$B$14/1000)+Sheet2!$B$41),IF(تسعير!AL17="سادة",2.39*((Sheet2!$B$14/1000)+(Sheet2!$B$15/1000)),0))</f>
        <v>0</v>
      </c>
      <c r="V4" s="608">
        <f t="shared" ref="V4:V21" si="0">U4*S4</f>
        <v>0</v>
      </c>
      <c r="W4" s="608">
        <f>Table1102[[#This Row],[متطلبات انتاج الشمسيه 2.5]]*Table1102[[#This Row],[سعر]]</f>
        <v>0</v>
      </c>
    </row>
    <row r="5" spans="1:27" ht="27" customHeight="1">
      <c r="A5" s="592" t="s">
        <v>20</v>
      </c>
      <c r="B5" s="592" t="s">
        <v>629</v>
      </c>
      <c r="C5" s="591" t="s">
        <v>628</v>
      </c>
      <c r="D5" s="590">
        <v>1.1499999999999999</v>
      </c>
      <c r="E5" s="590">
        <v>0.8</v>
      </c>
      <c r="F5" s="590">
        <f>Table1381[[#This Row],[الطول]]*Table1381[[#This Row],[وزن المتر]]</f>
        <v>0.91999999999999993</v>
      </c>
      <c r="G5" s="590">
        <f>Sheet2!$B$14/1000</f>
        <v>252</v>
      </c>
      <c r="H5" s="590">
        <f>Table1381[[#This Row],[السعر]]*Table1381[[#This Row],[الوزن]]</f>
        <v>231.83999999999997</v>
      </c>
      <c r="K5" s="361" t="s">
        <v>11</v>
      </c>
      <c r="O5" s="591">
        <v>2</v>
      </c>
      <c r="P5" s="610" t="s">
        <v>649</v>
      </c>
      <c r="Q5" s="610" t="s">
        <v>124</v>
      </c>
      <c r="R5" s="591">
        <v>2</v>
      </c>
      <c r="S5" s="591">
        <v>2</v>
      </c>
      <c r="T5" s="609" t="s">
        <v>626</v>
      </c>
      <c r="U5" s="608">
        <f>IF(تسعير!$AL$17="سادة",4.39*((Sheet2!$B$14/1000)+Sheet2!$B$41),IF(تسعير!AL19="سادة",2.39*((Sheet2!$B$14/1000)+(Sheet2!$B$15/1000)),0))</f>
        <v>0</v>
      </c>
      <c r="V5" s="608">
        <f t="shared" si="0"/>
        <v>0</v>
      </c>
      <c r="W5" s="608">
        <f>Table1102[[#This Row],[متطلبات انتاج الشمسيه 2.5]]*Table1102[[#This Row],[سعر]]</f>
        <v>0</v>
      </c>
    </row>
    <row r="6" spans="1:27" ht="27" customHeight="1">
      <c r="A6" s="592" t="s">
        <v>20</v>
      </c>
      <c r="B6" s="592" t="s">
        <v>627</v>
      </c>
      <c r="C6" s="591" t="s">
        <v>626</v>
      </c>
      <c r="D6" s="590">
        <v>0.43</v>
      </c>
      <c r="E6" s="590">
        <v>25.2</v>
      </c>
      <c r="F6" s="590">
        <f>Table1381[[#This Row],[الطول]]*Table1381[[#This Row],[وزن المتر]]</f>
        <v>10.836</v>
      </c>
      <c r="G6" s="590">
        <f>Sheet2!$B$14/1000</f>
        <v>252</v>
      </c>
      <c r="H6" s="593">
        <f>Table1381[[#This Row],[السعر]]*Table1381[[#This Row],[الوزن]]</f>
        <v>2730.672</v>
      </c>
      <c r="K6" s="626" t="s">
        <v>284</v>
      </c>
      <c r="O6" s="591">
        <v>3</v>
      </c>
      <c r="P6" s="610" t="s">
        <v>650</v>
      </c>
      <c r="Q6" s="610" t="s">
        <v>124</v>
      </c>
      <c r="R6" s="591">
        <v>1</v>
      </c>
      <c r="S6" s="591">
        <v>1</v>
      </c>
      <c r="T6" s="609" t="s">
        <v>626</v>
      </c>
      <c r="U6" s="608">
        <f>IF(تسعير!$AL$17="سادة",3.39*((Sheet2!$B$14/1000)+Sheet2!$B$41),IF(تسعير!AL20="سادة",2.39*((Sheet2!$B$14/1000)+(Sheet2!$B$15/1000)),0))</f>
        <v>0</v>
      </c>
      <c r="V6" s="608">
        <f t="shared" si="0"/>
        <v>0</v>
      </c>
      <c r="W6" s="608">
        <f>Table1102[[#This Row],[متطلبات انتاج الشمسيه 2.5]]*Table1102[[#This Row],[سعر]]</f>
        <v>0</v>
      </c>
    </row>
    <row r="7" spans="1:27" ht="34.5" customHeight="1">
      <c r="A7" s="592" t="s">
        <v>625</v>
      </c>
      <c r="B7" s="595" t="s">
        <v>624</v>
      </c>
      <c r="C7" s="594" t="s">
        <v>623</v>
      </c>
      <c r="D7" s="590">
        <v>1</v>
      </c>
      <c r="E7" s="590">
        <v>1</v>
      </c>
      <c r="F7" s="590">
        <f>Table1381[[#This Row],[الطول]]*Table1381[[#This Row],[وزن المتر]]</f>
        <v>1</v>
      </c>
      <c r="G7" s="590">
        <v>1200</v>
      </c>
      <c r="H7" s="590">
        <f>Table1381[[#This Row],[السعر]]*Table1381[[#This Row],[الوزن]]</f>
        <v>1200</v>
      </c>
      <c r="K7" s="626" t="s">
        <v>700</v>
      </c>
      <c r="M7">
        <v>3</v>
      </c>
      <c r="O7" s="591">
        <v>4</v>
      </c>
      <c r="P7" s="610" t="s">
        <v>651</v>
      </c>
      <c r="Q7" s="610" t="s">
        <v>124</v>
      </c>
      <c r="R7" s="591">
        <v>1</v>
      </c>
      <c r="S7" s="591">
        <v>1</v>
      </c>
      <c r="T7" s="609" t="s">
        <v>652</v>
      </c>
      <c r="U7" s="608">
        <v>100</v>
      </c>
      <c r="V7" s="608">
        <f t="shared" si="0"/>
        <v>100</v>
      </c>
      <c r="W7" s="608">
        <f>Table1102[[#This Row],[متطلبات انتاج الشمسيه 2.5]]*Table1102[[#This Row],[سعر]]</f>
        <v>100</v>
      </c>
    </row>
    <row r="8" spans="1:27" ht="27" customHeight="1">
      <c r="A8" s="592"/>
      <c r="B8" s="592" t="s">
        <v>622</v>
      </c>
      <c r="C8" s="591" t="s">
        <v>610</v>
      </c>
      <c r="D8" s="590">
        <v>1</v>
      </c>
      <c r="E8" s="590">
        <v>1</v>
      </c>
      <c r="F8" s="590">
        <f>Table1381[[#This Row],[الطول]]*Table1381[[#This Row],[وزن المتر]]</f>
        <v>1</v>
      </c>
      <c r="G8" s="590">
        <v>2200</v>
      </c>
      <c r="H8" s="590">
        <f>Table1381[[#This Row],[السعر]]*Table1381[[#This Row],[الوزن]]</f>
        <v>2200</v>
      </c>
      <c r="K8" s="626" t="s">
        <v>65</v>
      </c>
      <c r="M8">
        <v>2.5</v>
      </c>
      <c r="O8" s="591">
        <v>5</v>
      </c>
      <c r="P8" s="610" t="s">
        <v>653</v>
      </c>
      <c r="Q8" s="610" t="s">
        <v>124</v>
      </c>
      <c r="R8" s="591">
        <v>1</v>
      </c>
      <c r="S8" s="591">
        <v>1</v>
      </c>
      <c r="T8" s="609" t="s">
        <v>652</v>
      </c>
      <c r="U8" s="608">
        <v>100</v>
      </c>
      <c r="V8" s="608">
        <f t="shared" si="0"/>
        <v>100</v>
      </c>
      <c r="W8" s="608">
        <f>Table1102[[#This Row],[متطلبات انتاج الشمسيه 2.5]]*Table1102[[#This Row],[سعر]]</f>
        <v>100</v>
      </c>
    </row>
    <row r="9" spans="1:27" ht="27" customHeight="1">
      <c r="A9" s="592" t="s">
        <v>620</v>
      </c>
      <c r="B9" s="592" t="str">
        <f>F1</f>
        <v>خشبي</v>
      </c>
      <c r="C9" s="591" t="s">
        <v>619</v>
      </c>
      <c r="D9" s="590">
        <v>1</v>
      </c>
      <c r="E9" s="590">
        <f>F3+F4+F5+F6</f>
        <v>27.720999999999997</v>
      </c>
      <c r="F9" s="590">
        <f>Table1381[[#This Row],[الطول]]*Table1381[[#This Row],[وزن المتر]]</f>
        <v>27.720999999999997</v>
      </c>
      <c r="G9" s="590">
        <f>IF(F1="سادة",Sheet2!B41,IF(F1="خشبي",Sheet2!B15/1000,IF(F1="ذهبي",Sheet2!B40,0)))</f>
        <v>70</v>
      </c>
      <c r="H9" s="590">
        <f>Table1381[[#This Row],[السعر]]*Table1381[[#This Row],[الوزن]]</f>
        <v>1940.4699999999998</v>
      </c>
      <c r="K9" s="361"/>
      <c r="O9" s="591">
        <v>6</v>
      </c>
      <c r="P9" s="610" t="s">
        <v>654</v>
      </c>
      <c r="Q9" s="610" t="s">
        <v>124</v>
      </c>
      <c r="R9" s="591">
        <v>1</v>
      </c>
      <c r="S9" s="591">
        <v>1</v>
      </c>
      <c r="T9" s="608" t="s">
        <v>655</v>
      </c>
      <c r="U9" s="608">
        <v>35</v>
      </c>
      <c r="V9" s="608">
        <f t="shared" si="0"/>
        <v>35</v>
      </c>
      <c r="W9" s="608">
        <f>Table1102[[#This Row],[متطلبات انتاج الشمسيه 2.5]]*Table1102[[#This Row],[سعر]]</f>
        <v>35</v>
      </c>
    </row>
    <row r="10" spans="1:27" ht="27" customHeight="1">
      <c r="A10" s="592" t="s">
        <v>618</v>
      </c>
      <c r="B10" s="592" t="str">
        <f>D1</f>
        <v>مصري</v>
      </c>
      <c r="C10" s="591"/>
      <c r="D10" s="590">
        <v>1</v>
      </c>
      <c r="E10" s="590">
        <v>9</v>
      </c>
      <c r="F10" s="590">
        <f>Table1381[[#This Row],[الطول]]*Table1381[[#This Row],[وزن المتر]]</f>
        <v>9</v>
      </c>
      <c r="G10" s="590">
        <f>IF(D1=$K$6,Sheet2!$B$59,IF(D1=$K$7,Sheet2!$B$44,IF(D1=$K$8,Sheet2!$B$42,0)))</f>
        <v>200</v>
      </c>
      <c r="H10" s="593">
        <f>Table1381[[#This Row],[السعر]]*Table1381[[#This Row],[الوزن]]</f>
        <v>1800</v>
      </c>
      <c r="K10" t="s">
        <v>785</v>
      </c>
      <c r="O10" s="591">
        <v>7</v>
      </c>
      <c r="P10" s="610" t="s">
        <v>656</v>
      </c>
      <c r="Q10" s="610" t="s">
        <v>124</v>
      </c>
      <c r="R10" s="591">
        <v>12</v>
      </c>
      <c r="S10" s="591">
        <v>12</v>
      </c>
      <c r="T10" s="608" t="s">
        <v>655</v>
      </c>
      <c r="U10" s="608">
        <v>30</v>
      </c>
      <c r="V10" s="608">
        <f t="shared" si="0"/>
        <v>360</v>
      </c>
      <c r="W10" s="608">
        <f>Table1102[[#This Row],[متطلبات انتاج الشمسيه 2.5]]*Table1102[[#This Row],[سعر]]</f>
        <v>360</v>
      </c>
    </row>
    <row r="11" spans="1:27" ht="27" customHeight="1">
      <c r="A11" s="592" t="s">
        <v>616</v>
      </c>
      <c r="B11" s="592" t="s">
        <v>617</v>
      </c>
      <c r="C11" s="591" t="s">
        <v>610</v>
      </c>
      <c r="D11" s="590">
        <v>1</v>
      </c>
      <c r="E11" s="590">
        <v>2</v>
      </c>
      <c r="F11" s="590">
        <f>Table1381[[#This Row],[الطول]]*Table1381[[#This Row],[وزن المتر]]</f>
        <v>2</v>
      </c>
      <c r="G11" s="590">
        <v>125</v>
      </c>
      <c r="H11" s="590">
        <f>Table1381[[#This Row],[السعر]]*Table1381[[#This Row],[الوزن]]</f>
        <v>250</v>
      </c>
      <c r="K11" t="s">
        <v>786</v>
      </c>
      <c r="O11" s="591">
        <v>8</v>
      </c>
      <c r="P11" s="610" t="s">
        <v>657</v>
      </c>
      <c r="Q11" s="610" t="s">
        <v>124</v>
      </c>
      <c r="R11" s="591">
        <v>1</v>
      </c>
      <c r="S11" s="591">
        <v>1</v>
      </c>
      <c r="T11" s="608" t="s">
        <v>655</v>
      </c>
      <c r="U11" s="608">
        <v>70</v>
      </c>
      <c r="V11" s="608">
        <f t="shared" si="0"/>
        <v>70</v>
      </c>
      <c r="W11" s="608">
        <f>Table1102[[#This Row],[متطلبات انتاج الشمسيه 2.5]]*Table1102[[#This Row],[سعر]]</f>
        <v>70</v>
      </c>
    </row>
    <row r="12" spans="1:27" ht="27" customHeight="1">
      <c r="A12" s="592" t="s">
        <v>616</v>
      </c>
      <c r="B12" s="592" t="s">
        <v>615</v>
      </c>
      <c r="C12" s="591" t="s">
        <v>610</v>
      </c>
      <c r="D12" s="590">
        <v>1</v>
      </c>
      <c r="E12" s="590">
        <v>2</v>
      </c>
      <c r="F12" s="590">
        <f>Table1381[[#This Row],[الطول]]*Table1381[[#This Row],[وزن المتر]]</f>
        <v>2</v>
      </c>
      <c r="G12" s="590">
        <v>150</v>
      </c>
      <c r="H12" s="593">
        <f>Table1381[[#This Row],[السعر]]*Table1381[[#This Row],[الوزن]]</f>
        <v>300</v>
      </c>
      <c r="O12" s="591">
        <v>9</v>
      </c>
      <c r="P12" s="610" t="s">
        <v>658</v>
      </c>
      <c r="Q12" s="610" t="s">
        <v>124</v>
      </c>
      <c r="R12" s="591">
        <v>1</v>
      </c>
      <c r="S12" s="591">
        <v>1</v>
      </c>
      <c r="T12" s="608" t="s">
        <v>655</v>
      </c>
      <c r="U12" s="608">
        <v>80</v>
      </c>
      <c r="V12" s="608">
        <f t="shared" si="0"/>
        <v>80</v>
      </c>
      <c r="W12" s="608">
        <f>Table1102[[#This Row],[متطلبات انتاج الشمسيه 2.5]]*Table1102[[#This Row],[سعر]]</f>
        <v>80</v>
      </c>
    </row>
    <row r="13" spans="1:27" ht="27" customHeight="1">
      <c r="A13" s="592" t="s">
        <v>612</v>
      </c>
      <c r="B13" s="592" t="s">
        <v>614</v>
      </c>
      <c r="C13" s="591" t="s">
        <v>610</v>
      </c>
      <c r="D13" s="590">
        <v>1</v>
      </c>
      <c r="E13" s="590">
        <v>1</v>
      </c>
      <c r="F13" s="590">
        <f>Table1381[[#This Row],[الطول]]*Table1381[[#This Row],[وزن المتر]]</f>
        <v>1</v>
      </c>
      <c r="G13" s="590">
        <v>250</v>
      </c>
      <c r="H13" s="593">
        <f>Table1381[[#This Row],[السعر]]*Table1381[[#This Row],[الوزن]]</f>
        <v>250</v>
      </c>
      <c r="O13" s="591">
        <v>10</v>
      </c>
      <c r="P13" s="610" t="s">
        <v>659</v>
      </c>
      <c r="Q13" s="610" t="s">
        <v>124</v>
      </c>
      <c r="R13" s="591">
        <v>20</v>
      </c>
      <c r="S13" s="591">
        <v>20</v>
      </c>
      <c r="T13" s="608" t="s">
        <v>660</v>
      </c>
      <c r="U13" s="608">
        <v>5</v>
      </c>
      <c r="V13" s="608">
        <f t="shared" si="0"/>
        <v>100</v>
      </c>
      <c r="W13" s="608">
        <f>Table1102[[#This Row],[متطلبات انتاج الشمسيه 2.5]]*Table1102[[#This Row],[سعر]]</f>
        <v>100</v>
      </c>
    </row>
    <row r="14" spans="1:27" ht="27" customHeight="1">
      <c r="A14" s="592" t="s">
        <v>612</v>
      </c>
      <c r="B14" s="592" t="s">
        <v>613</v>
      </c>
      <c r="C14" s="591" t="s">
        <v>610</v>
      </c>
      <c r="D14" s="590">
        <v>1</v>
      </c>
      <c r="E14" s="590">
        <v>2</v>
      </c>
      <c r="F14" s="590">
        <f>Table1381[[#This Row],[الطول]]*Table1381[[#This Row],[وزن المتر]]</f>
        <v>2</v>
      </c>
      <c r="G14" s="590">
        <v>150</v>
      </c>
      <c r="H14" s="593">
        <f>Table1381[[#This Row],[السعر]]*Table1381[[#This Row],[الوزن]]</f>
        <v>300</v>
      </c>
      <c r="O14" s="591">
        <v>11</v>
      </c>
      <c r="P14" s="610" t="s">
        <v>661</v>
      </c>
      <c r="Q14" s="610" t="s">
        <v>124</v>
      </c>
      <c r="R14" s="591">
        <v>1</v>
      </c>
      <c r="S14" s="591">
        <v>1</v>
      </c>
      <c r="T14" s="608" t="s">
        <v>655</v>
      </c>
      <c r="U14" s="608">
        <v>250</v>
      </c>
      <c r="V14" s="608">
        <f t="shared" si="0"/>
        <v>250</v>
      </c>
      <c r="W14" s="608">
        <f>Table1102[[#This Row],[متطلبات انتاج الشمسيه 2.5]]*Table1102[[#This Row],[سعر]]</f>
        <v>250</v>
      </c>
    </row>
    <row r="15" spans="1:27" ht="27" customHeight="1">
      <c r="A15" s="592" t="s">
        <v>612</v>
      </c>
      <c r="B15" s="592" t="s">
        <v>611</v>
      </c>
      <c r="C15" s="591" t="s">
        <v>610</v>
      </c>
      <c r="D15" s="590">
        <v>1</v>
      </c>
      <c r="E15" s="590">
        <v>2</v>
      </c>
      <c r="F15" s="590">
        <f>Table1381[[#This Row],[الطول]]*Table1381[[#This Row],[وزن المتر]]</f>
        <v>2</v>
      </c>
      <c r="G15" s="590">
        <v>100</v>
      </c>
      <c r="H15" s="593">
        <f>Table1381[[#This Row],[السعر]]*Table1381[[#This Row],[الوزن]]</f>
        <v>200</v>
      </c>
      <c r="O15" s="591">
        <v>12</v>
      </c>
      <c r="P15" s="610" t="s">
        <v>662</v>
      </c>
      <c r="Q15" s="610" t="s">
        <v>124</v>
      </c>
      <c r="R15" s="591">
        <v>1</v>
      </c>
      <c r="S15" s="591">
        <v>1</v>
      </c>
      <c r="T15" s="608" t="s">
        <v>652</v>
      </c>
      <c r="U15" s="608">
        <v>80</v>
      </c>
      <c r="V15" s="608">
        <f t="shared" si="0"/>
        <v>80</v>
      </c>
      <c r="W15" s="608">
        <f>Table1102[[#This Row],[متطلبات انتاج الشمسيه 2.5]]*Table1102[[#This Row],[سعر]]</f>
        <v>80</v>
      </c>
    </row>
    <row r="16" spans="1:27" ht="27" customHeight="1">
      <c r="A16" s="592" t="s">
        <v>603</v>
      </c>
      <c r="B16" s="592" t="s">
        <v>609</v>
      </c>
      <c r="C16" s="591" t="s">
        <v>601</v>
      </c>
      <c r="D16" s="590">
        <v>1</v>
      </c>
      <c r="E16" s="590">
        <v>1</v>
      </c>
      <c r="F16" s="590">
        <f>Table1381[[#This Row],[الطول]]*Table1381[[#This Row],[وزن المتر]]</f>
        <v>1</v>
      </c>
      <c r="G16" s="590">
        <v>100</v>
      </c>
      <c r="H16" s="590">
        <f>Table1381[[#This Row],[السعر]]*Table1381[[#This Row],[الوزن]]</f>
        <v>100</v>
      </c>
      <c r="O16" s="591">
        <v>13</v>
      </c>
      <c r="P16" s="610" t="s">
        <v>663</v>
      </c>
      <c r="Q16" s="610" t="s">
        <v>124</v>
      </c>
      <c r="R16" s="591">
        <v>1</v>
      </c>
      <c r="S16" s="591">
        <v>1</v>
      </c>
      <c r="T16" s="608" t="s">
        <v>655</v>
      </c>
      <c r="U16" s="608">
        <v>55</v>
      </c>
      <c r="V16" s="608">
        <f t="shared" si="0"/>
        <v>55</v>
      </c>
      <c r="W16" s="608">
        <f>Table1102[[#This Row],[متطلبات انتاج الشمسيه 2.5]]*Table1102[[#This Row],[سعر]]</f>
        <v>55</v>
      </c>
    </row>
    <row r="17" spans="1:23" ht="27" customHeight="1">
      <c r="A17" s="592" t="s">
        <v>608</v>
      </c>
      <c r="B17" s="592" t="s">
        <v>607</v>
      </c>
      <c r="C17" s="591" t="s">
        <v>601</v>
      </c>
      <c r="D17" s="590">
        <v>1</v>
      </c>
      <c r="E17" s="590">
        <v>2</v>
      </c>
      <c r="F17" s="590">
        <f>Table1381[[#This Row],[الطول]]*Table1381[[#This Row],[وزن المتر]]</f>
        <v>2</v>
      </c>
      <c r="G17" s="590">
        <v>50</v>
      </c>
      <c r="H17" s="590">
        <f>Table1381[[#This Row],[السعر]]*Table1381[[#This Row],[الوزن]]</f>
        <v>100</v>
      </c>
      <c r="O17" s="591">
        <v>14</v>
      </c>
      <c r="P17" s="610" t="s">
        <v>664</v>
      </c>
      <c r="Q17" s="610" t="s">
        <v>124</v>
      </c>
      <c r="R17" s="591">
        <v>1</v>
      </c>
      <c r="S17" s="591">
        <v>1</v>
      </c>
      <c r="T17" s="608" t="s">
        <v>660</v>
      </c>
      <c r="U17" s="608">
        <v>100</v>
      </c>
      <c r="V17" s="608">
        <f t="shared" si="0"/>
        <v>100</v>
      </c>
      <c r="W17" s="608">
        <f>Table1102[[#This Row],[متطلبات انتاج الشمسيه 2.5]]*Table1102[[#This Row],[سعر]]</f>
        <v>100</v>
      </c>
    </row>
    <row r="18" spans="1:23" ht="27" customHeight="1">
      <c r="A18" s="592"/>
      <c r="B18" s="592" t="s">
        <v>606</v>
      </c>
      <c r="C18" s="591" t="s">
        <v>601</v>
      </c>
      <c r="D18" s="590">
        <v>1</v>
      </c>
      <c r="E18" s="590">
        <v>1</v>
      </c>
      <c r="F18" s="590">
        <f>Table1381[[#This Row],[الطول]]*Table1381[[#This Row],[وزن المتر]]</f>
        <v>1</v>
      </c>
      <c r="G18" s="590">
        <v>20</v>
      </c>
      <c r="H18" s="590">
        <f>Table1381[[#This Row],[السعر]]*Table1381[[#This Row],[الوزن]]</f>
        <v>20</v>
      </c>
      <c r="O18" s="591">
        <v>15</v>
      </c>
      <c r="P18" s="610" t="s">
        <v>665</v>
      </c>
      <c r="Q18" s="610" t="s">
        <v>124</v>
      </c>
      <c r="R18" s="591">
        <v>1</v>
      </c>
      <c r="S18" s="591">
        <v>5</v>
      </c>
      <c r="T18" s="608" t="s">
        <v>666</v>
      </c>
      <c r="U18" s="608">
        <v>20</v>
      </c>
      <c r="V18" s="608">
        <f t="shared" si="0"/>
        <v>100</v>
      </c>
      <c r="W18" s="608">
        <f>Table1102[[#This Row],[متطلبات انتاج الشمسيه 2.5]]*Table1102[[#This Row],[سعر]]</f>
        <v>20</v>
      </c>
    </row>
    <row r="19" spans="1:23" ht="27" customHeight="1">
      <c r="A19" s="592" t="s">
        <v>605</v>
      </c>
      <c r="B19" s="592" t="s">
        <v>604</v>
      </c>
      <c r="C19" s="591"/>
      <c r="D19" s="590">
        <v>1</v>
      </c>
      <c r="E19" s="590">
        <v>10</v>
      </c>
      <c r="F19" s="590">
        <f>Table1381[[#This Row],[الطول]]*Table1381[[#This Row],[وزن المتر]]</f>
        <v>10</v>
      </c>
      <c r="G19" s="590">
        <v>50</v>
      </c>
      <c r="H19" s="590">
        <f>Table1381[[#This Row],[السعر]]*Table1381[[#This Row],[الوزن]]</f>
        <v>500</v>
      </c>
      <c r="O19" s="591">
        <v>16</v>
      </c>
      <c r="P19" s="610" t="s">
        <v>667</v>
      </c>
      <c r="Q19" s="610" t="s">
        <v>350</v>
      </c>
      <c r="R19" s="591">
        <v>8</v>
      </c>
      <c r="S19" s="591">
        <v>8</v>
      </c>
      <c r="T19" s="608" t="s">
        <v>655</v>
      </c>
      <c r="U19" s="608">
        <v>8</v>
      </c>
      <c r="V19" s="608">
        <f t="shared" si="0"/>
        <v>64</v>
      </c>
      <c r="W19" s="608">
        <f>Table1102[[#This Row],[متطلبات انتاج الشمسيه 2.5]]*Table1102[[#This Row],[سعر]]</f>
        <v>64</v>
      </c>
    </row>
    <row r="20" spans="1:23" ht="27" customHeight="1">
      <c r="A20" s="592" t="s">
        <v>603</v>
      </c>
      <c r="B20" s="592" t="s">
        <v>602</v>
      </c>
      <c r="C20" s="591" t="s">
        <v>601</v>
      </c>
      <c r="D20" s="590">
        <v>1</v>
      </c>
      <c r="E20" s="590">
        <v>24</v>
      </c>
      <c r="F20" s="590">
        <f>Table1381[[#This Row],[الطول]]*Table1381[[#This Row],[وزن المتر]]</f>
        <v>24</v>
      </c>
      <c r="G20" s="590">
        <v>5</v>
      </c>
      <c r="H20" s="590">
        <f>Table1381[[#This Row],[السعر]]*Table1381[[#This Row],[الوزن]]</f>
        <v>120</v>
      </c>
      <c r="O20" s="591">
        <v>17</v>
      </c>
      <c r="P20" s="610" t="s">
        <v>618</v>
      </c>
      <c r="Q20" s="610" t="s">
        <v>668</v>
      </c>
      <c r="R20" s="591">
        <v>7</v>
      </c>
      <c r="S20" s="591">
        <v>9</v>
      </c>
      <c r="T20" s="608"/>
      <c r="U20" s="611">
        <f>IF(S1=$K$6,Sheet2!$B$59,IF(S1=$K$7,Sheet2!$B$44,IF(S1=$K$8,Sheet2!$B$42,0)))</f>
        <v>200</v>
      </c>
      <c r="V20" s="608">
        <f t="shared" si="0"/>
        <v>1800</v>
      </c>
      <c r="W20" s="608">
        <f>Table1102[[#This Row],[متطلبات انتاج الشمسيه 2.5]]*Table1102[[#This Row],[سعر]]</f>
        <v>1400</v>
      </c>
    </row>
    <row r="21" spans="1:23" ht="27" customHeight="1">
      <c r="A21" s="592" t="s">
        <v>600</v>
      </c>
      <c r="B21" s="592" t="s">
        <v>599</v>
      </c>
      <c r="C21" s="591" t="s">
        <v>598</v>
      </c>
      <c r="D21" s="590">
        <v>3</v>
      </c>
      <c r="E21" s="590">
        <v>3</v>
      </c>
      <c r="F21" s="590">
        <f>Table1381[[#This Row],[الطول]]*Table1381[[#This Row],[وزن المتر]]</f>
        <v>9</v>
      </c>
      <c r="G21" s="590">
        <v>300</v>
      </c>
      <c r="H21" s="590">
        <f>Table1381[[#This Row],[السعر]]*Table1381[[#This Row],[الوزن]]</f>
        <v>2700</v>
      </c>
      <c r="O21" s="612"/>
      <c r="P21" s="613" t="s">
        <v>669</v>
      </c>
      <c r="Q21" s="613"/>
      <c r="R21" s="612">
        <v>1</v>
      </c>
      <c r="S21" s="612">
        <v>1</v>
      </c>
      <c r="T21" s="611"/>
      <c r="U21" s="611">
        <v>4000</v>
      </c>
      <c r="V21" s="611">
        <f t="shared" si="0"/>
        <v>4000</v>
      </c>
      <c r="W21" s="608">
        <f>Table1102[[#This Row],[متطلبات انتاج الشمسيه 2.5]]*Table1102[[#This Row],[سعر]]</f>
        <v>4000</v>
      </c>
    </row>
    <row r="22" spans="1:23" ht="27" customHeight="1">
      <c r="H22" s="621">
        <f>SUBTOTAL(109,Table1381[التكلفة])</f>
        <v>18966.162</v>
      </c>
      <c r="O22" s="614" t="s">
        <v>146</v>
      </c>
      <c r="P22" s="615"/>
      <c r="Q22" s="615"/>
      <c r="R22" s="616"/>
      <c r="S22" s="616"/>
      <c r="T22" s="617"/>
      <c r="U22" s="608"/>
      <c r="V22" s="590">
        <f>SUBTOTAL(109,Table1102[3])</f>
        <v>7294</v>
      </c>
      <c r="W22" s="573">
        <f>SUBTOTAL(109,Table1102[2.5])</f>
        <v>6814</v>
      </c>
    </row>
    <row r="23" spans="1:23" ht="27" customHeight="1">
      <c r="V23" s="619">
        <f>IF(تسعير!AI17="قطاعي",Table1102[[#Totals],[3]]*1.35,IF(تسعير!AI17="جملة",Table1102[[#Totals],[3]]*1.25,IF(تسعير!AI17="نصف جملة",Table1102[[#Totals],[3]]*1.3,0)))</f>
        <v>9846.9000000000015</v>
      </c>
      <c r="W23" s="619">
        <f>IF(تسعير!AI17="قطاعي",Table1102[[#Totals],[2.5]]*1.35,IF(تسعير!AI17="جملة",Table1102[[#Totals],[2.5]]*1.25,IF(تسعير!AI17="نصف جملة",Table1102[[#Totals],[2.5]]*1.3,0)))</f>
        <v>9198.9000000000015</v>
      </c>
    </row>
    <row r="24" spans="1:23" ht="27" customHeight="1">
      <c r="A24" s="621" t="s">
        <v>670</v>
      </c>
      <c r="B24" s="621" t="str">
        <f>تسعير!AL52</f>
        <v>متحركة</v>
      </c>
      <c r="C24" s="621" t="str">
        <f>تسعير!AJ52</f>
        <v>مصري</v>
      </c>
      <c r="D24" s="622">
        <f>IF(تسعير!AG52="جملة",Table17118[[#Totals],[Column4]]*1.25,Table17118[[#Totals],[Column4]]*1.3)</f>
        <v>7050.2313249999997</v>
      </c>
    </row>
    <row r="25" spans="1:23" ht="27" customHeight="1">
      <c r="A25" t="s">
        <v>347</v>
      </c>
      <c r="B25" t="s">
        <v>671</v>
      </c>
      <c r="C25" t="s">
        <v>672</v>
      </c>
      <c r="D25" t="s">
        <v>122</v>
      </c>
      <c r="F25" s="623" t="s">
        <v>673</v>
      </c>
      <c r="P25" s="621" t="s">
        <v>674</v>
      </c>
      <c r="Q25" s="621" t="str">
        <f>تسعير!AH40</f>
        <v>4.00 * 4.00</v>
      </c>
      <c r="R25" s="621" t="str">
        <f>تسعير!AI40</f>
        <v>خشبي</v>
      </c>
      <c r="S25" s="621" t="str">
        <f>تسعير!AJ40</f>
        <v>مصري</v>
      </c>
      <c r="T25" s="622">
        <f>IF(تسعير!AG40="جملة",Table1718[[#Totals],[Column4]]*1.25,Table1718[[#Totals],[Column4]]*1.3)</f>
        <v>20454.52</v>
      </c>
    </row>
    <row r="26" spans="1:23" ht="27" customHeight="1">
      <c r="A26" t="s">
        <v>675</v>
      </c>
      <c r="B26">
        <v>2.67</v>
      </c>
      <c r="C26" s="624">
        <f>IF(تسعير!AI52='شماسي كانتليفر'!F33,6.3*0.23*((Sheet2!B14/1000)+(Sheet2!B15/1000)),6.3*0.23*((Sheet2!B14/1000)+Sheet2!B41))</f>
        <v>408.61799999999999</v>
      </c>
      <c r="D26" s="625">
        <f>Table17118[[#This Row],[القيمة]]*Table17118[[#This Row],[العدد]]</f>
        <v>1091.0100600000001</v>
      </c>
      <c r="F26" s="623" t="s">
        <v>676</v>
      </c>
      <c r="P26" t="s">
        <v>347</v>
      </c>
      <c r="Q26" t="s">
        <v>671</v>
      </c>
      <c r="R26" t="s">
        <v>672</v>
      </c>
      <c r="S26" t="s">
        <v>122</v>
      </c>
    </row>
    <row r="27" spans="1:23" ht="27" customHeight="1">
      <c r="A27" t="s">
        <v>677</v>
      </c>
      <c r="B27">
        <f>IF(B24=F25,0.5,0)</f>
        <v>0.5</v>
      </c>
      <c r="C27" s="624">
        <f>IF('شماسي كانتليفر'!AI52='شماسي كانتليفر'!F33,5.5*0.85*((Sheet2!B14/1000)+(Sheet2!B15/1000)),5.5*0.85*((Sheet2!B14/1000)+Sheet2!B41))</f>
        <v>1318.35</v>
      </c>
      <c r="D27" s="625">
        <f>Table17118[[#This Row],[القيمة]]*Table17118[[#This Row],[العدد]]</f>
        <v>659.17499999999995</v>
      </c>
      <c r="F27" s="623" t="s">
        <v>284</v>
      </c>
      <c r="H27" s="623"/>
      <c r="P27" t="s">
        <v>678</v>
      </c>
      <c r="Q27">
        <f>IF(Q25=U33,4.5,IF(Q25=U32,3.75,0))</f>
        <v>4.5</v>
      </c>
      <c r="R27" s="624">
        <f>IF(تسعير!$AI$40='شماسي كانتليفر'!U31,6.8*0.68*((Sheet2!$B$14/1000)+(Sheet2!$B$15/1000)),6.8*0.68*(Sheet2!$B$14/1000)+Sheet2!$B$41)</f>
        <v>1488.9280000000001</v>
      </c>
      <c r="S27" s="625">
        <f>Table1718[[#This Row],[القيمة]]*Table1718[[#This Row],[العدد]]</f>
        <v>6700.1760000000004</v>
      </c>
      <c r="U27" t="s">
        <v>284</v>
      </c>
    </row>
    <row r="28" spans="1:23" ht="27" customHeight="1">
      <c r="A28" t="s">
        <v>679</v>
      </c>
      <c r="B28">
        <f>IF($B$24=F26,0.5,0)</f>
        <v>0</v>
      </c>
      <c r="C28" s="624">
        <f>IF('شماسي كانتليفر'!AI52='شماسي كانتليفر'!F33,6.25*0.85*((Sheet2!B14/1000)+(Sheet2!B15/1000)),6.25*0.85*((Sheet2!B14/1000)+Sheet2!B41))</f>
        <v>1498.125</v>
      </c>
      <c r="D28" s="625">
        <f>Table17118[[#This Row],[القيمة]]*Table17118[[#This Row],[العدد]]</f>
        <v>0</v>
      </c>
      <c r="F28" s="623" t="s">
        <v>700</v>
      </c>
      <c r="P28" t="s">
        <v>680</v>
      </c>
      <c r="Q28">
        <v>1</v>
      </c>
      <c r="R28" s="624">
        <f>IF(تسعير!$AI$40='شماسي كانتليفر'!U31,1.1*3.2*((Sheet2!$B$14/1000)+(Sheet2!$B$15/1000)),1.1*3.2*(Sheet2!$B$14/1000)+Sheet2!$B$41)</f>
        <v>1133.44</v>
      </c>
      <c r="S28" s="625">
        <f>Table1718[[#This Row],[القيمة]]*Table1718[[#This Row],[العدد]]</f>
        <v>1133.44</v>
      </c>
      <c r="U28" s="623" t="s">
        <v>700</v>
      </c>
    </row>
    <row r="29" spans="1:23" ht="27" customHeight="1">
      <c r="A29" t="s">
        <v>681</v>
      </c>
      <c r="B29">
        <v>1</v>
      </c>
      <c r="C29">
        <v>890</v>
      </c>
      <c r="D29" s="625">
        <f>Table17118[[#This Row],[القيمة]]*Table17118[[#This Row],[العدد]]</f>
        <v>890</v>
      </c>
      <c r="F29" s="623" t="s">
        <v>65</v>
      </c>
      <c r="P29" t="s">
        <v>683</v>
      </c>
      <c r="Q29">
        <v>2</v>
      </c>
      <c r="R29">
        <v>250</v>
      </c>
      <c r="S29" s="625">
        <f>Table1718[[#This Row],[القيمة]]*Table1718[[#This Row],[العدد]]</f>
        <v>500</v>
      </c>
      <c r="U29" s="623" t="s">
        <v>65</v>
      </c>
    </row>
    <row r="30" spans="1:23" ht="27" customHeight="1">
      <c r="A30" s="627" t="s">
        <v>701</v>
      </c>
      <c r="B30">
        <v>1</v>
      </c>
      <c r="C30">
        <f>IF(تسعير!AL52='شماسي كانتليفر'!F25,1200,500)</f>
        <v>1200</v>
      </c>
      <c r="D30" s="625">
        <f>Table17118[[#This Row],[القيمة]]*Table17118[[#This Row],[العدد]]</f>
        <v>1200</v>
      </c>
      <c r="F30" s="623" t="s">
        <v>682</v>
      </c>
      <c r="P30" t="s">
        <v>685</v>
      </c>
      <c r="Q30">
        <v>16</v>
      </c>
      <c r="R30">
        <v>20</v>
      </c>
      <c r="S30" s="625">
        <f>Table1718[[#This Row],[القيمة]]*Table1718[[#This Row],[العدد]]</f>
        <v>320</v>
      </c>
      <c r="U30" s="623" t="s">
        <v>6</v>
      </c>
    </row>
    <row r="31" spans="1:23" ht="27" customHeight="1">
      <c r="A31" s="627" t="s">
        <v>618</v>
      </c>
      <c r="B31">
        <f>IF($C$24=F27,7,0)</f>
        <v>7</v>
      </c>
      <c r="C31">
        <f>IF(تسعير!AJ52='شماسي كانتليفر'!F27,200,IF(تسعير!AJ52='شماسي كانتليفر'!F28,400,IF(تسعير!AJ52='شماسي كانتليفر'!F29,750)))</f>
        <v>200</v>
      </c>
      <c r="D31" s="625">
        <f>Table17118[[#This Row],[القيمة]]*Table17118[[#This Row],[العدد]]</f>
        <v>1400</v>
      </c>
      <c r="F31" s="623" t="s">
        <v>684</v>
      </c>
      <c r="I31" s="623">
        <f>3.25*2</f>
        <v>6.5</v>
      </c>
      <c r="P31" t="s">
        <v>686</v>
      </c>
      <c r="Q31">
        <v>7</v>
      </c>
      <c r="R31">
        <v>10</v>
      </c>
      <c r="S31" s="625">
        <f>Table1718[[#This Row],[القيمة]]*Table1718[[#This Row],[العدد]]</f>
        <v>70</v>
      </c>
      <c r="U31" s="623" t="s">
        <v>11</v>
      </c>
    </row>
    <row r="32" spans="1:23" ht="27" customHeight="1">
      <c r="A32" s="627" t="s">
        <v>692</v>
      </c>
      <c r="B32">
        <f>IF(تسعير!AK52='شماسي كانتليفر'!F31,4,0)</f>
        <v>0</v>
      </c>
      <c r="C32">
        <v>75</v>
      </c>
      <c r="D32" s="625">
        <f>Table17118[[#This Row],[القيمة]]*Table17118[[#This Row],[العدد]]</f>
        <v>0</v>
      </c>
      <c r="F32" s="623" t="s">
        <v>6</v>
      </c>
      <c r="I32">
        <f>I31*170</f>
        <v>1105</v>
      </c>
      <c r="P32" t="s">
        <v>688</v>
      </c>
      <c r="Q32">
        <v>3</v>
      </c>
      <c r="R32">
        <v>30</v>
      </c>
      <c r="S32" s="625">
        <f>Table1718[[#This Row],[القيمة]]*Table1718[[#This Row],[العدد]]</f>
        <v>90</v>
      </c>
      <c r="U32" s="626" t="s">
        <v>689</v>
      </c>
    </row>
    <row r="33" spans="1:21" ht="27" customHeight="1">
      <c r="A33" t="s">
        <v>694</v>
      </c>
      <c r="D33" s="624">
        <v>400</v>
      </c>
      <c r="F33" s="623" t="s">
        <v>11</v>
      </c>
      <c r="P33" t="s">
        <v>690</v>
      </c>
      <c r="Q33">
        <v>1</v>
      </c>
      <c r="R33">
        <v>200</v>
      </c>
      <c r="S33" s="625">
        <f>Table1718[[#This Row],[القيمة]]*Table1718[[#This Row],[العدد]]</f>
        <v>200</v>
      </c>
      <c r="U33" s="626" t="s">
        <v>691</v>
      </c>
    </row>
    <row r="34" spans="1:21" ht="27" customHeight="1">
      <c r="A34" t="s">
        <v>146</v>
      </c>
      <c r="D34" s="624">
        <f>SUBTOTAL(109,Table17118[Column4])</f>
        <v>5640.1850599999998</v>
      </c>
      <c r="P34" s="627" t="s">
        <v>693</v>
      </c>
      <c r="Q34">
        <v>1</v>
      </c>
      <c r="R34">
        <v>150</v>
      </c>
      <c r="S34" s="625">
        <f>Table1718[[#This Row],[القيمة]]*Table1718[[#This Row],[العدد]]</f>
        <v>150</v>
      </c>
    </row>
    <row r="35" spans="1:21" ht="27" customHeight="1">
      <c r="P35" t="s">
        <v>695</v>
      </c>
      <c r="Q35">
        <v>1</v>
      </c>
      <c r="R35">
        <v>200</v>
      </c>
      <c r="S35" s="625">
        <f>Table1718[[#This Row],[القيمة]]*Table1718[[#This Row],[العدد]]</f>
        <v>200</v>
      </c>
    </row>
    <row r="36" spans="1:21" ht="27" customHeight="1">
      <c r="P36" t="s">
        <v>696</v>
      </c>
      <c r="Q36">
        <v>1</v>
      </c>
      <c r="R36">
        <v>2000</v>
      </c>
      <c r="S36" s="625">
        <f>Table1718[[#This Row],[القيمة]]*Table1718[[#This Row],[العدد]]</f>
        <v>2000</v>
      </c>
    </row>
    <row r="37" spans="1:21" ht="27" customHeight="1">
      <c r="P37" t="s">
        <v>687</v>
      </c>
      <c r="Q37">
        <f>IF($Q$25=U33,20,IF(Q25=U32,18,0))</f>
        <v>20</v>
      </c>
      <c r="R37">
        <f>IF(تسعير!AJ40='شماسي كانتليفر'!F27,200,IF(تسعير!AJ40='شماسي كانتليفر'!F28,400,IF(تسعير!AJ40='شماسي كانتليفر'!F29,750)))</f>
        <v>200</v>
      </c>
      <c r="S37" s="625">
        <f>Table1718[[#This Row],[القيمة]]*Table1718[[#This Row],[العدد]]</f>
        <v>4000</v>
      </c>
    </row>
    <row r="38" spans="1:21" ht="27" customHeight="1">
      <c r="P38" t="s">
        <v>694</v>
      </c>
      <c r="S38" s="624">
        <v>1000</v>
      </c>
    </row>
    <row r="39" spans="1:21" ht="27" customHeight="1">
      <c r="P39" t="s">
        <v>146</v>
      </c>
      <c r="S39" s="624">
        <f>SUBTOTAL(109,Table1718[Column4])</f>
        <v>16363.616</v>
      </c>
    </row>
  </sheetData>
  <mergeCells count="1"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37" zoomScale="130" zoomScaleNormal="90" zoomScaleSheetLayoutView="130" zoomScalePageLayoutView="90" workbookViewId="0">
      <selection activeCell="B45" sqref="B45"/>
    </sheetView>
  </sheetViews>
  <sheetFormatPr defaultColWidth="9.140625" defaultRowHeight="15"/>
  <cols>
    <col min="1" max="1" width="8.42578125" style="207" customWidth="1"/>
    <col min="2" max="2" width="10.5703125" style="207" customWidth="1"/>
    <col min="3" max="3" width="45.28515625" style="361" customWidth="1"/>
    <col min="4" max="4" width="14" style="207" customWidth="1"/>
    <col min="5" max="5" width="12.7109375" style="207" customWidth="1"/>
    <col min="6" max="6" width="13.7109375" style="207" customWidth="1"/>
    <col min="7" max="7" width="15.28515625" style="233" customWidth="1"/>
    <col min="8" max="8" width="15.28515625" style="396" customWidth="1"/>
    <col min="9" max="9" width="9.85546875" style="233" customWidth="1"/>
    <col min="10" max="10" width="15" style="233" customWidth="1"/>
    <col min="11" max="11" width="15.85546875" style="233" customWidth="1"/>
    <col min="12" max="12" width="8" style="233" customWidth="1"/>
    <col min="13" max="13" width="9.140625" style="207" customWidth="1"/>
    <col min="14" max="14" width="17.85546875" style="207" customWidth="1"/>
    <col min="15" max="21" width="9.140625" style="207" customWidth="1"/>
    <col min="22" max="22" width="22.140625" style="207" customWidth="1"/>
    <col min="23" max="23" width="9.140625" style="207"/>
    <col min="24" max="24" width="15" style="207" customWidth="1"/>
    <col min="25" max="16384" width="9.140625" style="207"/>
  </cols>
  <sheetData>
    <row r="1" spans="1:25" ht="16.5" customHeight="1">
      <c r="A1" s="878" t="s">
        <v>99</v>
      </c>
      <c r="B1" s="879"/>
      <c r="C1" s="880"/>
      <c r="D1" s="201" t="s">
        <v>100</v>
      </c>
      <c r="E1" s="202" t="s">
        <v>101</v>
      </c>
      <c r="F1" s="223" t="s">
        <v>102</v>
      </c>
      <c r="G1" s="224" t="s">
        <v>103</v>
      </c>
      <c r="H1" s="224" t="s">
        <v>104</v>
      </c>
      <c r="I1" s="224" t="s">
        <v>105</v>
      </c>
      <c r="J1" s="224" t="s">
        <v>106</v>
      </c>
      <c r="K1" s="392" t="s">
        <v>107</v>
      </c>
      <c r="N1" s="207" t="s">
        <v>8</v>
      </c>
      <c r="O1" s="207" t="s">
        <v>108</v>
      </c>
      <c r="P1" s="207" t="s">
        <v>109</v>
      </c>
      <c r="Q1" s="207" t="s">
        <v>110</v>
      </c>
      <c r="R1" s="207" t="s">
        <v>111</v>
      </c>
      <c r="S1" s="207" t="s">
        <v>112</v>
      </c>
      <c r="T1" s="207" t="s">
        <v>113</v>
      </c>
    </row>
    <row r="2" spans="1:25" ht="16.5" customHeight="1">
      <c r="A2" s="881"/>
      <c r="B2" s="882"/>
      <c r="C2" s="883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114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spans="1:25" ht="29.25" customHeight="1">
      <c r="A3" s="885" t="s">
        <v>115</v>
      </c>
      <c r="B3" s="886"/>
      <c r="C3" s="397"/>
      <c r="F3" s="234" t="s">
        <v>116</v>
      </c>
      <c r="G3" s="887">
        <f ca="1">NOW()</f>
        <v>46132.673925578703</v>
      </c>
      <c r="H3" s="888"/>
      <c r="I3" s="888"/>
      <c r="J3" s="235"/>
      <c r="K3" s="235"/>
      <c r="L3" s="235"/>
      <c r="N3" s="216" t="s">
        <v>96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spans="1:25" ht="18.75" customHeight="1">
      <c r="A4" s="208"/>
      <c r="B4" s="208"/>
      <c r="C4" s="209"/>
      <c r="D4" s="884" t="s">
        <v>117</v>
      </c>
      <c r="E4" s="884"/>
      <c r="F4" s="884"/>
      <c r="G4" s="884"/>
      <c r="H4" s="884"/>
      <c r="I4" s="884"/>
      <c r="J4" s="236"/>
      <c r="K4" s="236"/>
      <c r="L4" s="236"/>
      <c r="N4" s="216" t="s">
        <v>53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118</v>
      </c>
      <c r="V4" s="207" t="s">
        <v>119</v>
      </c>
      <c r="W4" s="207" t="s">
        <v>120</v>
      </c>
      <c r="X4" s="207" t="s">
        <v>121</v>
      </c>
      <c r="Y4" s="207" t="s">
        <v>122</v>
      </c>
    </row>
    <row r="5" spans="1:25" ht="24.75" customHeight="1">
      <c r="A5" s="208" t="s">
        <v>123</v>
      </c>
      <c r="B5" s="208" t="s">
        <v>124</v>
      </c>
      <c r="C5" s="210" t="s">
        <v>125</v>
      </c>
      <c r="D5" s="208" t="s">
        <v>9</v>
      </c>
      <c r="E5" s="208" t="s">
        <v>8</v>
      </c>
      <c r="F5" s="208" t="s">
        <v>126</v>
      </c>
      <c r="G5" s="237" t="s">
        <v>127</v>
      </c>
      <c r="H5" s="237" t="s">
        <v>128</v>
      </c>
      <c r="I5" s="237" t="s">
        <v>129</v>
      </c>
      <c r="J5" s="237" t="s">
        <v>130</v>
      </c>
      <c r="K5" s="238" t="s">
        <v>131</v>
      </c>
      <c r="L5" s="237" t="s">
        <v>132</v>
      </c>
      <c r="N5" s="216" t="s">
        <v>89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133</v>
      </c>
      <c r="V5" s="233" t="s">
        <v>134</v>
      </c>
      <c r="W5" s="233">
        <v>1.4</v>
      </c>
      <c r="X5" s="237" t="s">
        <v>135</v>
      </c>
      <c r="Y5" s="216">
        <f>IF((تسعير!T5="ايبوكسي +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spans="1:25" s="216" customFormat="1" ht="24.75" customHeigh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136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137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1.4273027495067722E-2</v>
      </c>
      <c r="N6" s="216" t="s">
        <v>88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31</v>
      </c>
      <c r="W6" s="216">
        <v>0.25</v>
      </c>
      <c r="X6" s="216" t="s">
        <v>138</v>
      </c>
      <c r="Y6" s="216">
        <f>Y5*Table6[[#This Row],[المعدل]]+4</f>
        <v>6.1071428571428577</v>
      </c>
    </row>
    <row r="7" spans="1:25" s="216" customFormat="1" ht="24.75" customHeigh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139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137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3.1400660489148989E-2</v>
      </c>
      <c r="N7" s="216" t="s">
        <v>140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141</v>
      </c>
      <c r="W7" s="216">
        <v>2</v>
      </c>
      <c r="X7" s="211" t="s">
        <v>142</v>
      </c>
      <c r="Y7" s="216">
        <f>IF((تسعير!T5="ايبوكسي +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spans="1:25" s="216" customFormat="1" ht="24.75" customHeigh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143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137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1.8806812699383352E-2</v>
      </c>
      <c r="N8" s="216" t="s">
        <v>144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145</v>
      </c>
      <c r="W8" s="216">
        <v>1.4</v>
      </c>
      <c r="X8" s="211" t="s">
        <v>142</v>
      </c>
      <c r="Y8" s="216">
        <f>IF((تسعير!T5="ايبوكسي +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spans="1:25" s="216" customFormat="1" ht="24.75" customHeight="1">
      <c r="A9" s="211"/>
      <c r="B9" s="212"/>
      <c r="C9" s="213" t="s">
        <v>146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6.4480500683600062E-2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147</v>
      </c>
      <c r="X9" s="216" t="s">
        <v>148</v>
      </c>
    </row>
    <row r="10" spans="1:25" s="216" customFormat="1" ht="21" customHeight="1">
      <c r="C10" s="217"/>
      <c r="D10" s="884" t="s">
        <v>149</v>
      </c>
      <c r="E10" s="884"/>
      <c r="F10" s="884"/>
      <c r="G10" s="884"/>
      <c r="H10" s="884"/>
      <c r="I10" s="884"/>
      <c r="L10" s="402"/>
      <c r="N10" s="216" t="s">
        <v>150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584</v>
      </c>
      <c r="W10" s="216">
        <v>1.6</v>
      </c>
      <c r="Y10" s="216">
        <f>IF(AND((تسعير!$T$5="جلفنة +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spans="1:25" s="216" customFormat="1" ht="21" customHeight="1">
      <c r="A11" s="211" t="s">
        <v>123</v>
      </c>
      <c r="B11" s="211" t="s">
        <v>124</v>
      </c>
      <c r="C11" s="218" t="s">
        <v>125</v>
      </c>
      <c r="D11" s="211" t="s">
        <v>9</v>
      </c>
      <c r="E11" s="211" t="s">
        <v>8</v>
      </c>
      <c r="F11" s="211" t="s">
        <v>151</v>
      </c>
      <c r="G11" s="211" t="s">
        <v>127</v>
      </c>
      <c r="H11" s="211" t="s">
        <v>128</v>
      </c>
      <c r="I11" s="237" t="s">
        <v>129</v>
      </c>
      <c r="J11" s="211" t="s">
        <v>130</v>
      </c>
      <c r="K11" s="245" t="s">
        <v>131</v>
      </c>
      <c r="L11" s="211" t="s">
        <v>132</v>
      </c>
      <c r="N11" s="216" t="s">
        <v>152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583</v>
      </c>
      <c r="W11" s="216">
        <v>1.6</v>
      </c>
      <c r="Y11" s="216">
        <f>IF(AND((تسعير!$T$5="جلفنة +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spans="1:25" s="216" customFormat="1" ht="21" customHeight="1">
      <c r="A12" s="211">
        <v>5</v>
      </c>
      <c r="B12" s="212">
        <f>IF((تسعير!X8&lt;800),0,IF(AND((تسعير!X8&gt;800),(600&lt;تسعير!AA10)),1,0))</f>
        <v>0</v>
      </c>
      <c r="C12" s="213" t="s">
        <v>153</v>
      </c>
      <c r="D12" s="214">
        <v>0.14000000000000001</v>
      </c>
      <c r="E12" s="214">
        <v>0.14000000000000001</v>
      </c>
      <c r="F12" s="214">
        <f>(Table14[[#This Row],[Column1]]+Table14[[#This Row],[Column2]])*24*Table14[[#This Row],[عدد]]</f>
        <v>0</v>
      </c>
      <c r="G12" s="211" t="s">
        <v>154</v>
      </c>
      <c r="H12" s="211">
        <v>202</v>
      </c>
      <c r="I12" s="211">
        <f>Table14[[#This Row],[Column12]]*Table14[[#This Row],[عدد]]</f>
        <v>0</v>
      </c>
      <c r="J12" s="243">
        <f t="shared" ref="J12:J13" si="0">H12*$I$2/1000</f>
        <v>10100</v>
      </c>
      <c r="K12" s="240">
        <f t="shared" ref="K12:K13" si="1">B12*J12</f>
        <v>0</v>
      </c>
      <c r="L12" s="241">
        <f>(K12)/$G$83</f>
        <v>0</v>
      </c>
      <c r="N12" s="216" t="s">
        <v>78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28</v>
      </c>
      <c r="W12" s="216">
        <v>0.1</v>
      </c>
      <c r="Y12" s="216">
        <f>IF(AND((تسعير!$T$5="جلفنة +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spans="1:25" s="216" customFormat="1" ht="21" customHeight="1">
      <c r="A13" s="211">
        <v>6</v>
      </c>
      <c r="B13" s="212">
        <f>IF((تسعير!X8&lt;800),0,IF(AND((تسعير!X8&gt;800),(600&gt;=تسعير!AA10)),1,0))</f>
        <v>0</v>
      </c>
      <c r="C13" s="213" t="s">
        <v>155</v>
      </c>
      <c r="D13" s="214">
        <v>0.14000000000000001</v>
      </c>
      <c r="E13" s="214">
        <v>0.14000000000000001</v>
      </c>
      <c r="F13" s="214">
        <f>(Table14[[#This Row],[Column1]]+Table14[[#This Row],[Column2]])*12*Table14[[#This Row],[عدد]]</f>
        <v>0</v>
      </c>
      <c r="G13" s="211" t="s">
        <v>137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54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29</v>
      </c>
      <c r="W13" s="216">
        <v>0.1</v>
      </c>
      <c r="Y13" s="216">
        <f>IF(AND((تسعير!$T$5="جلفنة +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spans="1:25" s="216" customFormat="1" ht="21" customHeight="1">
      <c r="A14" s="211" t="s">
        <v>146</v>
      </c>
      <c r="B14" s="212"/>
      <c r="C14" s="213" t="s">
        <v>146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156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spans="1:25" s="216" customFormat="1" ht="21" customHeight="1">
      <c r="C15" s="217"/>
      <c r="D15" s="884" t="s">
        <v>158</v>
      </c>
      <c r="E15" s="884"/>
      <c r="F15" s="884"/>
      <c r="G15" s="884"/>
      <c r="H15" s="884"/>
      <c r="I15" s="884"/>
      <c r="N15" s="216" t="s">
        <v>159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spans="1:25" s="216" customFormat="1" ht="21" customHeight="1">
      <c r="A16" s="211" t="s">
        <v>123</v>
      </c>
      <c r="B16" s="211" t="s">
        <v>124</v>
      </c>
      <c r="C16" s="218" t="s">
        <v>125</v>
      </c>
      <c r="D16" s="211" t="s">
        <v>9</v>
      </c>
      <c r="E16" s="211" t="s">
        <v>8</v>
      </c>
      <c r="F16" s="211" t="s">
        <v>151</v>
      </c>
      <c r="G16" s="211" t="s">
        <v>127</v>
      </c>
      <c r="H16" s="211" t="s">
        <v>128</v>
      </c>
      <c r="I16" s="211" t="s">
        <v>160</v>
      </c>
      <c r="J16" s="211" t="s">
        <v>130</v>
      </c>
      <c r="K16" s="245" t="s">
        <v>131</v>
      </c>
      <c r="L16" s="211" t="s">
        <v>132</v>
      </c>
      <c r="N16" s="216" t="s">
        <v>161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spans="1:20" s="216" customFormat="1" ht="21" customHeigh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34</v>
      </c>
      <c r="D17" s="214"/>
      <c r="E17" s="214"/>
      <c r="F17" s="214"/>
      <c r="G17" s="211" t="s">
        <v>162</v>
      </c>
      <c r="H17" s="211"/>
      <c r="I17" s="242"/>
      <c r="J17" s="247">
        <f>Sheet2!B28</f>
        <v>400</v>
      </c>
      <c r="K17" s="240">
        <f t="shared" ref="K17:K26" si="2">B17*J17</f>
        <v>800</v>
      </c>
      <c r="L17" s="241">
        <f t="shared" ref="L17:L26" si="3">(K17)/$G$83</f>
        <v>5.9704167299629686E-3</v>
      </c>
      <c r="N17" s="216" t="s">
        <v>79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spans="1:20" s="216" customFormat="1" ht="21" customHeigh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163</v>
      </c>
      <c r="D18" s="214"/>
      <c r="E18" s="214"/>
      <c r="F18" s="214"/>
      <c r="G18" s="211" t="s">
        <v>164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3.7315104562268557E-3</v>
      </c>
      <c r="N18" s="216" t="s">
        <v>77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spans="1:20" s="216" customFormat="1" ht="21" customHeigh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165</v>
      </c>
      <c r="D19" s="214"/>
      <c r="E19" s="214"/>
      <c r="F19" s="214"/>
      <c r="G19" s="211" t="s">
        <v>124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3.2837292014796329E-3</v>
      </c>
      <c r="N19" s="216" t="s">
        <v>166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spans="1:20" s="216" customFormat="1" ht="21" customHeigh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167</v>
      </c>
      <c r="D20" s="214"/>
      <c r="E20" s="214"/>
      <c r="F20" s="214"/>
      <c r="G20" s="211" t="s">
        <v>124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9.7019271861898239E-4</v>
      </c>
      <c r="N20" s="216" t="s">
        <v>168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spans="1:20" s="216" customFormat="1" ht="21" customHeigh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169</v>
      </c>
      <c r="D21" s="214"/>
      <c r="E21" s="214"/>
      <c r="F21" s="214"/>
      <c r="G21" s="247" t="s">
        <v>170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1.4926041824907422E-3</v>
      </c>
    </row>
    <row r="22" spans="1:20" s="216" customFormat="1" ht="21" customHeigh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171</v>
      </c>
      <c r="D22" s="214"/>
      <c r="E22" s="214"/>
      <c r="F22" s="214"/>
      <c r="G22" s="247" t="s">
        <v>172</v>
      </c>
      <c r="H22" s="247"/>
      <c r="I22" s="242"/>
      <c r="J22" s="247">
        <v>10</v>
      </c>
      <c r="K22" s="240">
        <f t="shared" si="2"/>
        <v>60</v>
      </c>
      <c r="L22" s="241">
        <f t="shared" si="3"/>
        <v>4.4778125474722268E-4</v>
      </c>
    </row>
    <row r="23" spans="1:20" s="216" customFormat="1" ht="21" customHeight="1">
      <c r="A23" s="211">
        <v>7</v>
      </c>
      <c r="B23" s="584">
        <f>IF(تسعير!T10=Sheet2!A3,0,(تسعير!AA10/100))</f>
        <v>4</v>
      </c>
      <c r="C23" s="215" t="s">
        <v>35</v>
      </c>
      <c r="D23" s="391"/>
      <c r="E23" s="391"/>
      <c r="F23" s="391"/>
      <c r="G23" s="248" t="s">
        <v>172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2.0896458554870392E-2</v>
      </c>
    </row>
    <row r="24" spans="1:20" s="216" customFormat="1" ht="21" customHeigh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173</v>
      </c>
      <c r="D24" s="391"/>
      <c r="E24" s="391"/>
      <c r="F24" s="391"/>
      <c r="G24" s="248" t="s">
        <v>174</v>
      </c>
      <c r="H24" s="248"/>
      <c r="I24" s="248"/>
      <c r="J24" s="248">
        <v>1</v>
      </c>
      <c r="K24" s="240">
        <f t="shared" si="2"/>
        <v>30</v>
      </c>
      <c r="L24" s="241">
        <f t="shared" si="3"/>
        <v>2.2389062737361134E-4</v>
      </c>
    </row>
    <row r="25" spans="1:20" s="216" customFormat="1" ht="21" customHeigh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36</v>
      </c>
      <c r="D25" s="214"/>
      <c r="E25" s="214"/>
      <c r="F25" s="214"/>
      <c r="G25" s="211" t="s">
        <v>170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1.7911250189888907E-2</v>
      </c>
    </row>
    <row r="26" spans="1:20" s="216" customFormat="1" ht="21" customHeigh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37</v>
      </c>
      <c r="D26" s="214"/>
      <c r="E26" s="214"/>
      <c r="F26" s="214"/>
      <c r="G26" s="211" t="s">
        <v>170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3.35835941060417E-3</v>
      </c>
    </row>
    <row r="27" spans="1:20" s="216" customFormat="1" ht="21" customHeight="1">
      <c r="A27" s="211" t="s">
        <v>146</v>
      </c>
      <c r="B27" s="212"/>
      <c r="C27" s="213" t="s">
        <v>146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5.8286193326263482E-2</v>
      </c>
    </row>
    <row r="28" spans="1:20" s="216" customFormat="1" ht="21" customHeight="1">
      <c r="C28" s="217"/>
      <c r="D28" s="884" t="s">
        <v>175</v>
      </c>
      <c r="E28" s="884"/>
      <c r="F28" s="884"/>
      <c r="G28" s="884"/>
      <c r="H28" s="884"/>
      <c r="I28" s="884"/>
    </row>
    <row r="29" spans="1:20" s="216" customFormat="1" ht="21" customHeight="1">
      <c r="A29" s="211" t="s">
        <v>123</v>
      </c>
      <c r="B29" s="211" t="s">
        <v>124</v>
      </c>
      <c r="C29" s="218" t="s">
        <v>125</v>
      </c>
      <c r="D29" s="211" t="s">
        <v>9</v>
      </c>
      <c r="E29" s="211" t="s">
        <v>8</v>
      </c>
      <c r="F29" s="211" t="s">
        <v>151</v>
      </c>
      <c r="G29" s="211" t="s">
        <v>127</v>
      </c>
      <c r="H29" s="211" t="s">
        <v>128</v>
      </c>
      <c r="I29" s="211" t="s">
        <v>3</v>
      </c>
      <c r="J29" s="211" t="s">
        <v>130</v>
      </c>
      <c r="K29" s="245" t="s">
        <v>131</v>
      </c>
      <c r="L29" s="211" t="s">
        <v>132</v>
      </c>
    </row>
    <row r="30" spans="1:20" s="216" customFormat="1" ht="21" customHeigh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176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164</v>
      </c>
      <c r="H30" s="211">
        <v>14</v>
      </c>
      <c r="I30" s="211"/>
      <c r="J30" s="243">
        <f t="shared" ref="J30:J31" si="4">H30*$H$2/1000</f>
        <v>630</v>
      </c>
      <c r="K30" s="240">
        <f t="shared" ref="K30:K31" si="5">B30*J30</f>
        <v>0</v>
      </c>
      <c r="L30" s="241">
        <f>(K30)/$G$83</f>
        <v>0</v>
      </c>
    </row>
    <row r="31" spans="1:20" s="216" customFormat="1" ht="21" customHeight="1">
      <c r="A31" s="211">
        <v>8</v>
      </c>
      <c r="B31" s="212">
        <f>B30*4</f>
        <v>0</v>
      </c>
      <c r="C31" s="213" t="s">
        <v>177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164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spans="1:20" s="216" customFormat="1" ht="21" customHeight="1">
      <c r="A32" s="211" t="s">
        <v>146</v>
      </c>
      <c r="B32" s="212">
        <f>SUBTOTAL(103,Table16[عدد])</f>
        <v>2</v>
      </c>
      <c r="C32" s="213" t="s">
        <v>146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spans="1:12" s="216" customFormat="1" ht="21" customHeight="1">
      <c r="C33" s="217"/>
      <c r="D33" s="884" t="s">
        <v>178</v>
      </c>
      <c r="E33" s="884"/>
      <c r="F33" s="884"/>
      <c r="G33" s="884"/>
      <c r="H33" s="884"/>
      <c r="I33" s="884"/>
    </row>
    <row r="34" spans="1:12" s="216" customFormat="1" ht="21" customHeight="1">
      <c r="A34" s="211" t="s">
        <v>123</v>
      </c>
      <c r="B34" s="211" t="s">
        <v>124</v>
      </c>
      <c r="C34" s="218" t="s">
        <v>125</v>
      </c>
      <c r="D34" s="211" t="s">
        <v>9</v>
      </c>
      <c r="E34" s="211" t="s">
        <v>8</v>
      </c>
      <c r="F34" s="211" t="s">
        <v>151</v>
      </c>
      <c r="G34" s="211" t="s">
        <v>127</v>
      </c>
      <c r="H34" s="211" t="s">
        <v>128</v>
      </c>
      <c r="I34" s="211" t="s">
        <v>160</v>
      </c>
      <c r="J34" s="211" t="s">
        <v>130</v>
      </c>
      <c r="K34" s="245" t="s">
        <v>131</v>
      </c>
      <c r="L34" s="211" t="s">
        <v>132</v>
      </c>
    </row>
    <row r="35" spans="1:12" s="216" customFormat="1" ht="21" customHeight="1">
      <c r="A35" s="211">
        <v>2</v>
      </c>
      <c r="B35" s="219">
        <v>5</v>
      </c>
      <c r="C35" s="218" t="s">
        <v>179</v>
      </c>
      <c r="D35" s="211"/>
      <c r="E35" s="211"/>
      <c r="F35" s="211"/>
      <c r="G35" s="211" t="s">
        <v>180</v>
      </c>
      <c r="H35" s="211"/>
      <c r="I35" s="211"/>
      <c r="J35" s="248">
        <v>15</v>
      </c>
      <c r="K35" s="240">
        <f t="shared" ref="K35:K43" si="6">B35*J35</f>
        <v>75</v>
      </c>
      <c r="L35" s="241">
        <f t="shared" ref="L35:L48" si="7">(K35)/$G$83</f>
        <v>5.5972656843402834E-4</v>
      </c>
    </row>
    <row r="36" spans="1:12" s="216" customFormat="1" ht="21" customHeight="1">
      <c r="A36" s="211">
        <v>3</v>
      </c>
      <c r="B36" s="212">
        <v>5</v>
      </c>
      <c r="C36" s="218" t="s">
        <v>181</v>
      </c>
      <c r="D36" s="211"/>
      <c r="E36" s="211"/>
      <c r="F36" s="211"/>
      <c r="G36" s="211" t="s">
        <v>180</v>
      </c>
      <c r="H36" s="211"/>
      <c r="I36" s="211"/>
      <c r="J36" s="248">
        <v>15</v>
      </c>
      <c r="K36" s="240">
        <f t="shared" si="6"/>
        <v>75</v>
      </c>
      <c r="L36" s="241">
        <f t="shared" si="7"/>
        <v>5.5972656843402834E-4</v>
      </c>
    </row>
    <row r="37" spans="1:12" s="216" customFormat="1" ht="21" customHeight="1">
      <c r="A37" s="211">
        <v>4</v>
      </c>
      <c r="B37" s="219">
        <v>5</v>
      </c>
      <c r="C37" s="213" t="s">
        <v>182</v>
      </c>
      <c r="D37" s="214"/>
      <c r="E37" s="214"/>
      <c r="F37" s="214"/>
      <c r="G37" s="211" t="s">
        <v>183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9.3287761405671393E-4</v>
      </c>
    </row>
    <row r="38" spans="1:12" s="216" customFormat="1" ht="21" customHeight="1">
      <c r="A38" s="211">
        <v>5</v>
      </c>
      <c r="B38" s="212">
        <v>5</v>
      </c>
      <c r="C38" s="213" t="s">
        <v>184</v>
      </c>
      <c r="D38" s="214"/>
      <c r="E38" s="214"/>
      <c r="F38" s="214"/>
      <c r="G38" s="211" t="s">
        <v>183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5.5972656843402829E-3</v>
      </c>
    </row>
    <row r="39" spans="1:12" s="216" customFormat="1" ht="21" customHeight="1">
      <c r="A39" s="211">
        <v>6</v>
      </c>
      <c r="B39" s="219">
        <v>5</v>
      </c>
      <c r="C39" s="213" t="s">
        <v>185</v>
      </c>
      <c r="D39" s="214"/>
      <c r="E39" s="214"/>
      <c r="F39" s="214"/>
      <c r="G39" s="211" t="s">
        <v>164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1.4926041824907422E-3</v>
      </c>
    </row>
    <row r="40" spans="1:12" s="216" customFormat="1" ht="21" customHeight="1">
      <c r="A40" s="211">
        <v>1</v>
      </c>
      <c r="B40" s="222">
        <f>Y7/3</f>
        <v>1.9666666666666668</v>
      </c>
      <c r="C40" s="213" t="s">
        <v>30</v>
      </c>
      <c r="D40" s="214"/>
      <c r="E40" s="214"/>
      <c r="F40" s="214"/>
      <c r="G40" s="211" t="s">
        <v>186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5.8709097844635866E-3</v>
      </c>
    </row>
    <row r="41" spans="1:12" s="216" customFormat="1" ht="21" customHeight="1">
      <c r="A41" s="211">
        <v>7</v>
      </c>
      <c r="B41" s="222">
        <f>Y6/1.9</f>
        <v>3.2142857142857149</v>
      </c>
      <c r="C41" s="213" t="s">
        <v>31</v>
      </c>
      <c r="D41" s="214"/>
      <c r="E41" s="214"/>
      <c r="F41" s="214"/>
      <c r="G41" s="211" t="s">
        <v>187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2.2788867429099726E-3</v>
      </c>
    </row>
    <row r="42" spans="1:12" s="216" customFormat="1" ht="21" customHeight="1">
      <c r="A42" s="211">
        <v>8</v>
      </c>
      <c r="B42" s="222">
        <f>Y5</f>
        <v>8.4285714285714288</v>
      </c>
      <c r="C42" s="213" t="s">
        <v>32</v>
      </c>
      <c r="D42" s="214"/>
      <c r="E42" s="214"/>
      <c r="F42" s="214"/>
      <c r="G42" s="211" t="s">
        <v>164</v>
      </c>
      <c r="H42" s="211"/>
      <c r="I42" s="211"/>
      <c r="J42" s="248">
        <f>Sheet2!B26</f>
        <v>220</v>
      </c>
      <c r="K42" s="240">
        <f t="shared" si="6"/>
        <v>1854.2857142857144</v>
      </c>
      <c r="L42" s="241">
        <f t="shared" si="7"/>
        <v>1.3838573063378453E-2</v>
      </c>
    </row>
    <row r="43" spans="1:12" s="216" customFormat="1" ht="21" customHeight="1">
      <c r="A43" s="211">
        <v>9</v>
      </c>
      <c r="B43" s="222">
        <f>Y8</f>
        <v>8.4285714285714288</v>
      </c>
      <c r="C43" s="213" t="s">
        <v>33</v>
      </c>
      <c r="D43" s="214"/>
      <c r="E43" s="214"/>
      <c r="F43" s="214"/>
      <c r="G43" s="211" t="s">
        <v>164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3.2080328465104592E-2</v>
      </c>
    </row>
    <row r="44" spans="1:12" s="216" customFormat="1" ht="21" customHeight="1">
      <c r="A44" s="211">
        <v>10</v>
      </c>
      <c r="B44" s="212">
        <f>IF((تسعير!T5="جلفنة + جوتن"),(Table1[[#Totals],[الوزن]]+Table16[[#Totals],[الوزن]]+Table14[[#Totals],[الوزن]]),0)</f>
        <v>0</v>
      </c>
      <c r="C44" s="213" t="s">
        <v>188</v>
      </c>
      <c r="D44" s="214"/>
      <c r="E44" s="214"/>
      <c r="F44" s="214"/>
      <c r="G44" s="211"/>
      <c r="H44" s="211"/>
      <c r="I44" s="211"/>
      <c r="J44" s="248">
        <v>30</v>
      </c>
      <c r="K44" s="240">
        <f t="shared" ref="K44:K48" si="8">B44*J44</f>
        <v>0</v>
      </c>
      <c r="L44" s="251">
        <f t="shared" si="7"/>
        <v>0</v>
      </c>
    </row>
    <row r="45" spans="1:12" s="216" customFormat="1" ht="21" customHeigh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24</v>
      </c>
      <c r="D45" s="214"/>
      <c r="E45" s="214"/>
      <c r="F45" s="214"/>
      <c r="G45" s="211" t="s">
        <v>189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spans="1:12" s="216" customFormat="1" ht="21" customHeigh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26</v>
      </c>
      <c r="D46" s="214"/>
      <c r="E46" s="214"/>
      <c r="F46" s="214"/>
      <c r="G46" s="218" t="s">
        <v>190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spans="1:12" s="216" customFormat="1" ht="21" customHeigh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28</v>
      </c>
      <c r="D47" s="214"/>
      <c r="E47" s="214"/>
      <c r="F47" s="214"/>
      <c r="G47" s="218" t="s">
        <v>191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spans="1:12" s="216" customFormat="1" ht="21" customHeigh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29</v>
      </c>
      <c r="D48" s="214"/>
      <c r="E48" s="214"/>
      <c r="F48" s="214"/>
      <c r="G48" s="218" t="s">
        <v>191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spans="1:25" s="216" customFormat="1" ht="21" customHeight="1">
      <c r="A49" s="211" t="s">
        <v>146</v>
      </c>
      <c r="B49" s="212"/>
      <c r="C49" s="213" t="s">
        <v>146</v>
      </c>
      <c r="D49" s="214"/>
      <c r="E49" s="214"/>
      <c r="F49" s="214"/>
      <c r="G49" s="211" t="s">
        <v>192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6.3210898673612403E-2</v>
      </c>
    </row>
    <row r="50" spans="1:25" s="216" customFormat="1" ht="21" customHeigh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spans="1:25" s="216" customFormat="1" ht="21" customHeight="1">
      <c r="C51" s="217"/>
      <c r="D51" s="884" t="s">
        <v>193</v>
      </c>
      <c r="E51" s="884"/>
      <c r="F51" s="884"/>
      <c r="G51" s="884"/>
      <c r="H51" s="884"/>
      <c r="I51" s="884"/>
    </row>
    <row r="52" spans="1:25" s="216" customFormat="1" ht="21" customHeight="1">
      <c r="A52" s="211" t="s">
        <v>123</v>
      </c>
      <c r="B52" s="211" t="s">
        <v>124</v>
      </c>
      <c r="C52" s="218" t="s">
        <v>125</v>
      </c>
      <c r="D52" s="211" t="s">
        <v>9</v>
      </c>
      <c r="E52" s="211" t="s">
        <v>8</v>
      </c>
      <c r="F52" s="211" t="s">
        <v>151</v>
      </c>
      <c r="G52" s="211" t="s">
        <v>127</v>
      </c>
      <c r="H52" s="211" t="s">
        <v>128</v>
      </c>
      <c r="I52" s="211" t="s">
        <v>160</v>
      </c>
      <c r="J52" s="211" t="s">
        <v>130</v>
      </c>
      <c r="K52" s="245" t="s">
        <v>131</v>
      </c>
      <c r="L52" s="211" t="s">
        <v>132</v>
      </c>
    </row>
    <row r="53" spans="1:25" s="216" customFormat="1" ht="21" customHeigh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194</v>
      </c>
      <c r="D53" s="214"/>
      <c r="E53" s="214"/>
      <c r="F53" s="214"/>
      <c r="G53" s="398" t="s">
        <v>137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9.8735766671762589E-3</v>
      </c>
    </row>
    <row r="54" spans="1:25" s="216" customFormat="1" ht="21" customHeigh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38</v>
      </c>
      <c r="D54" s="214"/>
      <c r="E54" s="214"/>
      <c r="F54" s="214"/>
      <c r="G54" s="398" t="s">
        <v>195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1.4926041824907423E-2</v>
      </c>
    </row>
    <row r="55" spans="1:25" s="216" customFormat="1" ht="21" customHeight="1">
      <c r="A55" s="211" t="s">
        <v>146</v>
      </c>
      <c r="B55" s="219"/>
      <c r="C55" s="214" t="s">
        <v>146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2.4799618492083682E-2</v>
      </c>
      <c r="N55" s="207"/>
      <c r="O55" s="207"/>
      <c r="P55" s="207"/>
      <c r="Q55" s="207"/>
      <c r="R55" s="207"/>
      <c r="S55" s="207"/>
      <c r="T55" s="207"/>
    </row>
    <row r="56" spans="1:25" s="216" customFormat="1" ht="21" customHeight="1">
      <c r="C56" s="217"/>
      <c r="D56" s="884" t="s">
        <v>196</v>
      </c>
      <c r="E56" s="884"/>
      <c r="F56" s="884"/>
      <c r="G56" s="884"/>
      <c r="H56" s="884"/>
      <c r="I56" s="884"/>
      <c r="N56" s="207"/>
      <c r="O56" s="207"/>
      <c r="P56" s="207"/>
      <c r="Q56" s="207"/>
      <c r="R56" s="207"/>
      <c r="S56" s="207"/>
      <c r="T56" s="207"/>
    </row>
    <row r="57" spans="1:25" s="216" customFormat="1" ht="21" customHeight="1">
      <c r="A57" s="211" t="s">
        <v>123</v>
      </c>
      <c r="B57" s="211" t="s">
        <v>124</v>
      </c>
      <c r="C57" s="214" t="s">
        <v>197</v>
      </c>
      <c r="D57" s="211" t="s">
        <v>151</v>
      </c>
      <c r="E57" s="211" t="s">
        <v>8</v>
      </c>
      <c r="F57" s="400" t="s">
        <v>198</v>
      </c>
      <c r="G57" s="216" t="s">
        <v>199</v>
      </c>
      <c r="H57" s="401" t="s">
        <v>51</v>
      </c>
      <c r="I57" s="211" t="s">
        <v>9</v>
      </c>
      <c r="J57" s="211" t="s">
        <v>200</v>
      </c>
      <c r="K57" s="245" t="s">
        <v>131</v>
      </c>
      <c r="L57" s="211" t="s">
        <v>132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spans="1:25" s="216" customFormat="1" ht="21" customHeight="1">
      <c r="A58" s="211">
        <v>1</v>
      </c>
      <c r="B58" s="585">
        <f>IF(تسعير!T10=Sheet2!A3,0,1)</f>
        <v>1</v>
      </c>
      <c r="C58" s="214" t="s">
        <v>201</v>
      </c>
      <c r="D58" s="214"/>
      <c r="E58" s="211"/>
      <c r="F58" s="214"/>
      <c r="G58" s="214"/>
      <c r="H58" s="398">
        <f>'Cutting Ro-1'!$O$7</f>
        <v>2913.1315802590207</v>
      </c>
      <c r="I58" s="247"/>
      <c r="J58" s="403">
        <f>IF((Table1611[[#This Row],[عدد]]&gt;0),'Cutting Ro-1'!O8,0)</f>
        <v>46610.105284144331</v>
      </c>
      <c r="K58" s="240">
        <f>B58*Table1611[[#This Row],[سعر البرجولا كاملة]]</f>
        <v>46610.105284144331</v>
      </c>
      <c r="L58" s="241">
        <f>(K58)/$G$83</f>
        <v>0.34785219046723836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spans="1:25" s="216" customFormat="1" ht="21" customHeight="1">
      <c r="A59" s="576"/>
      <c r="B59" s="585">
        <f>IF(تسعير!T10=Sheet2!A3,1,0)</f>
        <v>0</v>
      </c>
      <c r="C59" s="572" t="s">
        <v>591</v>
      </c>
      <c r="D59" s="572"/>
      <c r="E59" s="576"/>
      <c r="F59" s="577"/>
      <c r="G59" s="577"/>
      <c r="H59" s="398">
        <f>'Cutting Ro-1'!$O$7</f>
        <v>2913.1315802590207</v>
      </c>
      <c r="I59" s="578"/>
      <c r="J59" s="579">
        <f>IF((Table1611[[#This Row],[عدد]]&gt;0),'Cutting Ro-1'!O8,0)</f>
        <v>0</v>
      </c>
      <c r="K59" s="580">
        <f>B59*Table1611[[#This Row],[سعر البرجولا كاملة]]</f>
        <v>0</v>
      </c>
      <c r="L59" s="241">
        <f t="shared" ref="L59:L60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spans="1:25" s="216" customFormat="1" ht="21" customHeight="1">
      <c r="A60" s="211">
        <v>4</v>
      </c>
      <c r="B60" s="212">
        <f>IF((F79="الاسكندرية"),0.25,0.1)</f>
        <v>0.1</v>
      </c>
      <c r="C60" s="213" t="s">
        <v>202</v>
      </c>
      <c r="D60" s="214"/>
      <c r="E60" s="211"/>
      <c r="G60" s="214"/>
      <c r="H60" s="211"/>
      <c r="I60" s="247"/>
      <c r="J60" s="248">
        <f>(K58)+K59</f>
        <v>46610.105284144331</v>
      </c>
      <c r="K60" s="240">
        <f>B60*Table1611[[#This Row],[سعر البرجولا كاملة]]</f>
        <v>4661.0105284144329</v>
      </c>
      <c r="L60" s="241">
        <f t="shared" si="9"/>
        <v>3.4785219046723832E-2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spans="1:25" s="216" customFormat="1" ht="21" customHeight="1">
      <c r="A61" s="571" t="s">
        <v>146</v>
      </c>
      <c r="B61" s="570"/>
      <c r="C61" s="549" t="s">
        <v>146</v>
      </c>
      <c r="D61" s="573">
        <f>SUBTOTAL(109,Table1611[Column12])</f>
        <v>0</v>
      </c>
      <c r="E61" s="571"/>
      <c r="F61" s="572"/>
      <c r="G61" s="572"/>
      <c r="H61" s="571"/>
      <c r="I61" s="571"/>
      <c r="J61" s="242"/>
      <c r="K61" s="574">
        <f>SUBTOTAL(109,Table1611[اجمالي])</f>
        <v>51271.115812558761</v>
      </c>
      <c r="L61" s="575">
        <f>Table1611[[#Totals],[اجمالي]]/$G$83</f>
        <v>0.38263740951396219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spans="1:25" s="216" customFormat="1" ht="21" customHeigh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spans="1:12" ht="18.75">
      <c r="A65" s="216"/>
      <c r="B65" s="216"/>
      <c r="C65" s="217"/>
      <c r="D65" s="884" t="s">
        <v>203</v>
      </c>
      <c r="E65" s="884"/>
      <c r="F65" s="884"/>
      <c r="G65" s="884"/>
      <c r="H65" s="884"/>
      <c r="I65" s="884"/>
      <c r="J65" s="216"/>
      <c r="K65" s="216"/>
      <c r="L65" s="216"/>
    </row>
    <row r="66" spans="1:12" ht="18.75">
      <c r="A66" s="211" t="s">
        <v>123</v>
      </c>
      <c r="B66" s="211" t="s">
        <v>124</v>
      </c>
      <c r="C66" s="218" t="s">
        <v>125</v>
      </c>
      <c r="D66" s="211" t="s">
        <v>204</v>
      </c>
      <c r="E66" s="211" t="s">
        <v>110</v>
      </c>
      <c r="F66" s="211" t="s">
        <v>205</v>
      </c>
      <c r="G66" s="211" t="s">
        <v>206</v>
      </c>
      <c r="H66" s="211" t="s">
        <v>151</v>
      </c>
      <c r="I66" s="211" t="s">
        <v>207</v>
      </c>
      <c r="J66" s="211" t="s">
        <v>208</v>
      </c>
      <c r="K66" s="245" t="s">
        <v>131</v>
      </c>
      <c r="L66" s="211" t="s">
        <v>132</v>
      </c>
    </row>
    <row r="67" spans="1:12" ht="18.75">
      <c r="A67" s="211">
        <v>1</v>
      </c>
      <c r="B67" s="219">
        <v>4</v>
      </c>
      <c r="C67" s="220" t="s">
        <v>209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210</v>
      </c>
      <c r="G67" s="214" t="s">
        <v>133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t="shared" ref="K67:K79" si="10">B67*J67</f>
        <v>1120</v>
      </c>
      <c r="L67" s="241">
        <f t="shared" ref="L67:L79" si="11">(K67)/$G$83</f>
        <v>8.3585834219481563E-3</v>
      </c>
    </row>
    <row r="68" spans="1:12" ht="18.75">
      <c r="A68" s="211">
        <v>2</v>
      </c>
      <c r="B68" s="219">
        <v>3</v>
      </c>
      <c r="C68" s="220" t="s">
        <v>211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210</v>
      </c>
      <c r="G68" s="214" t="s">
        <v>133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6.2689375664611172E-3</v>
      </c>
    </row>
    <row r="69" spans="1:12" ht="18.75">
      <c r="A69" s="211">
        <v>3</v>
      </c>
      <c r="B69" s="219">
        <v>3</v>
      </c>
      <c r="C69" s="220" t="s">
        <v>212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210</v>
      </c>
      <c r="G69" s="214" t="s">
        <v>133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1.2537875132922234E-2</v>
      </c>
    </row>
    <row r="70" spans="1:12" ht="18.75">
      <c r="A70" s="211">
        <v>4</v>
      </c>
      <c r="B70" s="212">
        <v>3</v>
      </c>
      <c r="C70" s="220" t="s">
        <v>213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210</v>
      </c>
      <c r="G70" s="214" t="s">
        <v>133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6.2689375664611172E-3</v>
      </c>
    </row>
    <row r="71" spans="1:12" ht="18.75">
      <c r="A71" s="211">
        <v>5</v>
      </c>
      <c r="B71" s="212">
        <v>4</v>
      </c>
      <c r="C71" s="220" t="s">
        <v>214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133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4.4778125474722263E-2</v>
      </c>
    </row>
    <row r="72" spans="1:12" ht="18.75">
      <c r="A72" s="211">
        <v>6</v>
      </c>
      <c r="B72" s="212">
        <v>3</v>
      </c>
      <c r="C72" s="220" t="s">
        <v>215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133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3.3583594106041698E-2</v>
      </c>
    </row>
    <row r="73" spans="1:12" ht="18.75">
      <c r="A73" s="211">
        <v>7</v>
      </c>
      <c r="B73" s="212">
        <v>0</v>
      </c>
      <c r="C73" s="220" t="s">
        <v>216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133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spans="1:12" ht="18.75">
      <c r="A74" s="211">
        <v>8</v>
      </c>
      <c r="B74" s="212">
        <v>4</v>
      </c>
      <c r="C74" s="220" t="s">
        <v>217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133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2.9852083649814846E-2</v>
      </c>
    </row>
    <row r="75" spans="1:12" ht="18.75">
      <c r="A75" s="211">
        <v>9</v>
      </c>
      <c r="B75" s="212">
        <f>(B71+B72+B73+B74)*2</f>
        <v>22</v>
      </c>
      <c r="C75" s="220" t="s">
        <v>218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6.5674584029592656E-2</v>
      </c>
    </row>
    <row r="76" spans="1:12" ht="18.75">
      <c r="A76" s="211">
        <v>10</v>
      </c>
      <c r="B76" s="212">
        <f>((I71+I72+I73+I74)*2)-2</f>
        <v>14</v>
      </c>
      <c r="C76" s="220" t="s">
        <v>219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4.1792917109740785E-2</v>
      </c>
    </row>
    <row r="77" spans="1:12" ht="18.75">
      <c r="A77" s="211">
        <v>11</v>
      </c>
      <c r="B77" s="212">
        <v>2</v>
      </c>
      <c r="C77" s="220" t="s">
        <v>220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5.2241146387175974E-2</v>
      </c>
    </row>
    <row r="78" spans="1:12" ht="18.75">
      <c r="A78" s="211">
        <v>12</v>
      </c>
      <c r="B78" s="212">
        <v>2</v>
      </c>
      <c r="C78" s="220" t="s">
        <v>221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8.9556250949444527E-2</v>
      </c>
    </row>
    <row r="79" spans="1:12" ht="18.75">
      <c r="A79" s="211">
        <v>13</v>
      </c>
      <c r="B79" s="212">
        <f>B76</f>
        <v>14</v>
      </c>
      <c r="C79" s="220" t="s">
        <v>113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1.5672343916152794E-2</v>
      </c>
    </row>
    <row r="80" spans="1:12" ht="18.75">
      <c r="A80" s="571" t="s">
        <v>146</v>
      </c>
      <c r="B80" s="570"/>
      <c r="C80" s="549" t="s">
        <v>146</v>
      </c>
      <c r="D80" s="571"/>
      <c r="E80" s="571"/>
      <c r="F80" s="572"/>
      <c r="G80" s="572"/>
      <c r="H80" s="573">
        <f>SUBTOTAL(109,Table1612[Column12])</f>
        <v>10450</v>
      </c>
      <c r="I80" s="571"/>
      <c r="J80" s="242"/>
      <c r="K80" s="574">
        <f>SUBTOTAL(109,Table1612[اجمالي])</f>
        <v>54480</v>
      </c>
      <c r="L80" s="575">
        <f>Table1612[[#Totals],[اجمالي]]/$G$83</f>
        <v>0.40658537931047817</v>
      </c>
    </row>
    <row r="81" spans="1:12" ht="18.75">
      <c r="A81" s="211"/>
      <c r="B81" s="212"/>
      <c r="H81" s="211"/>
      <c r="I81" s="211"/>
      <c r="J81" s="243"/>
      <c r="K81" s="282"/>
      <c r="L81" s="283"/>
    </row>
    <row r="82" spans="1:12" ht="18.75">
      <c r="A82" s="211"/>
      <c r="B82" s="219"/>
      <c r="C82" s="218" t="s">
        <v>8</v>
      </c>
      <c r="D82" s="211" t="s">
        <v>222</v>
      </c>
      <c r="E82" s="211" t="s">
        <v>223</v>
      </c>
      <c r="F82" s="211" t="s">
        <v>3</v>
      </c>
      <c r="G82" s="211" t="s">
        <v>9</v>
      </c>
      <c r="H82" s="211"/>
      <c r="I82" s="211"/>
      <c r="J82" s="243"/>
      <c r="K82" s="282"/>
      <c r="L82" s="283"/>
    </row>
    <row r="83" spans="1:12" ht="18.75">
      <c r="A83" s="211"/>
      <c r="B83" s="212"/>
      <c r="C83" s="213" t="s">
        <v>224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133993.99676493971</v>
      </c>
      <c r="H83" s="211"/>
      <c r="I83" s="242"/>
      <c r="J83" s="243"/>
      <c r="K83" s="282"/>
      <c r="L83" s="283"/>
    </row>
    <row r="84" spans="1:12" ht="18.75">
      <c r="A84" s="211"/>
      <c r="B84" s="219"/>
      <c r="C84" s="213" t="s">
        <v>225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174192.19579442163</v>
      </c>
      <c r="H84" s="211"/>
      <c r="I84" s="242"/>
      <c r="J84" s="247"/>
      <c r="K84" s="282"/>
      <c r="L84" s="283"/>
    </row>
    <row r="85" spans="1:12" ht="18.75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 count="11"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 r:id="rId1"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40625" defaultRowHeight="15"/>
  <cols>
    <col min="1" max="1" width="4.5703125" style="207" customWidth="1"/>
    <col min="2" max="2" width="14.140625" style="207" customWidth="1"/>
    <col min="3" max="3" width="45.140625" style="361" customWidth="1"/>
    <col min="4" max="4" width="10.140625" style="207" customWidth="1"/>
    <col min="5" max="6" width="9.42578125" style="207" customWidth="1"/>
    <col min="7" max="7" width="17.28515625" style="233" customWidth="1"/>
    <col min="8" max="8" width="14.140625" style="396" customWidth="1"/>
    <col min="9" max="9" width="14.85546875" style="233" hidden="1" customWidth="1"/>
    <col min="10" max="10" width="16" style="233" customWidth="1"/>
    <col min="11" max="11" width="15.42578125" style="233" customWidth="1"/>
    <col min="12" max="12" width="11" style="233" customWidth="1"/>
    <col min="13" max="13" width="9.140625" style="207" customWidth="1"/>
    <col min="14" max="14" width="17.85546875" style="207" customWidth="1"/>
    <col min="15" max="23" width="9.140625" style="207" customWidth="1"/>
    <col min="24" max="24" width="9.140625" style="207"/>
    <col min="25" max="25" width="40.28515625" style="207" customWidth="1"/>
    <col min="26" max="26" width="11.42578125" style="207" customWidth="1"/>
    <col min="27" max="27" width="19.7109375" style="207" customWidth="1"/>
    <col min="28" max="28" width="14" style="207" customWidth="1"/>
    <col min="29" max="16384" width="9.140625" style="207"/>
  </cols>
  <sheetData>
    <row r="1" spans="1:28" ht="16.5" customHeight="1">
      <c r="A1" s="878" t="s">
        <v>99</v>
      </c>
      <c r="B1" s="879"/>
      <c r="C1" s="880"/>
      <c r="D1" s="201" t="s">
        <v>100</v>
      </c>
      <c r="E1" s="202" t="s">
        <v>101</v>
      </c>
      <c r="F1" s="223" t="s">
        <v>102</v>
      </c>
      <c r="G1" s="224" t="s">
        <v>103</v>
      </c>
      <c r="H1" s="224" t="s">
        <v>104</v>
      </c>
      <c r="I1" s="224" t="s">
        <v>105</v>
      </c>
      <c r="J1" s="224" t="s">
        <v>106</v>
      </c>
      <c r="K1" s="392" t="s">
        <v>107</v>
      </c>
      <c r="N1" s="207" t="s">
        <v>8</v>
      </c>
      <c r="O1" s="207" t="s">
        <v>108</v>
      </c>
      <c r="P1" s="207" t="s">
        <v>109</v>
      </c>
      <c r="Q1" s="207" t="s">
        <v>110</v>
      </c>
      <c r="R1" s="207" t="s">
        <v>111</v>
      </c>
      <c r="S1" s="207" t="s">
        <v>112</v>
      </c>
      <c r="T1" s="207" t="s">
        <v>113</v>
      </c>
    </row>
    <row r="2" spans="1:28" ht="16.5" customHeight="1">
      <c r="A2" s="881"/>
      <c r="B2" s="882"/>
      <c r="C2" s="883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114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spans="1:28" ht="29.25" customHeight="1">
      <c r="A3" s="885" t="s">
        <v>115</v>
      </c>
      <c r="B3" s="886"/>
      <c r="C3" s="397"/>
      <c r="F3" s="234" t="s">
        <v>116</v>
      </c>
      <c r="G3" s="887">
        <f ca="1">NOW()</f>
        <v>46132.673925578703</v>
      </c>
      <c r="H3" s="888"/>
      <c r="I3" s="888"/>
      <c r="J3" s="235"/>
      <c r="K3" s="235"/>
      <c r="L3" s="235"/>
      <c r="N3" s="216" t="s">
        <v>96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spans="1:28" ht="18.75" customHeight="1">
      <c r="A4" s="208"/>
      <c r="B4" s="208"/>
      <c r="C4" s="209"/>
      <c r="D4" s="884" t="s">
        <v>117</v>
      </c>
      <c r="E4" s="884"/>
      <c r="F4" s="884"/>
      <c r="G4" s="884"/>
      <c r="H4" s="884"/>
      <c r="I4" s="884"/>
      <c r="J4" s="236"/>
      <c r="K4" s="236"/>
      <c r="L4" s="236"/>
      <c r="N4" s="216" t="s">
        <v>53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118</v>
      </c>
      <c r="Y4" s="207" t="s">
        <v>119</v>
      </c>
      <c r="Z4" s="207" t="s">
        <v>120</v>
      </c>
      <c r="AA4" s="207" t="s">
        <v>121</v>
      </c>
      <c r="AB4" s="207" t="s">
        <v>122</v>
      </c>
    </row>
    <row r="5" spans="1:28" ht="16.5" customHeight="1">
      <c r="A5" s="208" t="s">
        <v>123</v>
      </c>
      <c r="B5" s="208" t="s">
        <v>124</v>
      </c>
      <c r="C5" s="210" t="s">
        <v>125</v>
      </c>
      <c r="D5" s="208" t="s">
        <v>9</v>
      </c>
      <c r="E5" s="208" t="s">
        <v>8</v>
      </c>
      <c r="F5" s="208" t="s">
        <v>126</v>
      </c>
      <c r="G5" s="237" t="s">
        <v>127</v>
      </c>
      <c r="H5" s="237" t="s">
        <v>128</v>
      </c>
      <c r="I5" s="237" t="s">
        <v>226</v>
      </c>
      <c r="J5" s="237" t="s">
        <v>130</v>
      </c>
      <c r="K5" s="238" t="s">
        <v>131</v>
      </c>
      <c r="L5" s="237" t="s">
        <v>132</v>
      </c>
      <c r="N5" s="216" t="s">
        <v>89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133</v>
      </c>
      <c r="Y5" s="233" t="s">
        <v>134</v>
      </c>
      <c r="Z5" s="233">
        <v>1.4</v>
      </c>
      <c r="AA5" s="237" t="s">
        <v>135</v>
      </c>
      <c r="AB5" s="216">
        <f>ROUND(IF((تسعير!T25="ايبوكسي +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spans="1:28" s="216" customFormat="1" ht="21" customHeigh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136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137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 t="shared" ref="K6" si="0">B6*J6</f>
        <v>765</v>
      </c>
      <c r="L6" s="241">
        <f>(K6)/$G$85</f>
        <v>4.9853055410638237E-3</v>
      </c>
      <c r="N6" s="216" t="s">
        <v>88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31</v>
      </c>
      <c r="Z6" s="216">
        <v>0.25</v>
      </c>
      <c r="AA6" s="216" t="s">
        <v>138</v>
      </c>
      <c r="AB6" s="216">
        <f>(AB5*Table625[[#This Row],[المعدل]]+4)</f>
        <v>7</v>
      </c>
    </row>
    <row r="7" spans="1:28" s="216" customFormat="1" ht="21" customHeigh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139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137</v>
      </c>
      <c r="H7" s="211">
        <v>46.75</v>
      </c>
      <c r="I7" s="211">
        <f>Table118[[#This Row],[الوزن]]*Table118[[#This Row],[عدد]]</f>
        <v>140.25</v>
      </c>
      <c r="J7" s="243">
        <f t="shared" ref="J7:J9" si="1">H7*$H$2/1000</f>
        <v>2103.75</v>
      </c>
      <c r="K7" s="240">
        <f t="shared" ref="K7:K9" si="2">B7*J7</f>
        <v>6311.25</v>
      </c>
      <c r="L7" s="241">
        <f>(K7)/$G$85</f>
        <v>4.1128770713776547E-2</v>
      </c>
      <c r="N7" s="216" t="s">
        <v>140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141</v>
      </c>
      <c r="Z7" s="216">
        <v>2</v>
      </c>
      <c r="AA7" s="211" t="s">
        <v>142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spans="1:28" s="216" customFormat="1" ht="21" customHeigh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227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137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1.6568809592359179E-2</v>
      </c>
      <c r="N8" s="216" t="s">
        <v>144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145</v>
      </c>
      <c r="Z8" s="216">
        <v>1.8</v>
      </c>
      <c r="AA8" s="211" t="s">
        <v>142</v>
      </c>
      <c r="AB8" s="216">
        <f>ROUND(IF((تسعير!T25="ايبوكسي +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spans="1:28" s="216" customFormat="1" ht="21" customHeigh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143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137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1.6422182958798479E-2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147</v>
      </c>
      <c r="AA9" s="216" t="s">
        <v>148</v>
      </c>
    </row>
    <row r="10" spans="1:28" s="216" customFormat="1" ht="21" customHeight="1">
      <c r="A10" s="211"/>
      <c r="B10" s="212"/>
      <c r="C10" s="213" t="s">
        <v>146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7.9105068805998033E-2</v>
      </c>
      <c r="N10" s="216" t="s">
        <v>150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spans="1:28" s="216" customFormat="1" ht="21" customHeight="1">
      <c r="C11" s="217"/>
      <c r="D11" s="884" t="s">
        <v>149</v>
      </c>
      <c r="E11" s="884"/>
      <c r="F11" s="884"/>
      <c r="G11" s="884"/>
      <c r="H11" s="884"/>
      <c r="I11" s="884"/>
      <c r="L11" s="402"/>
      <c r="N11" s="216" t="s">
        <v>152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24</v>
      </c>
      <c r="Z11" s="216">
        <v>1.85</v>
      </c>
      <c r="AB11" s="525">
        <f>IF((تسعير!T25="جلفنة +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spans="1:28" s="216" customFormat="1" ht="21" customHeight="1">
      <c r="A12" s="211" t="s">
        <v>123</v>
      </c>
      <c r="B12" s="211" t="s">
        <v>124</v>
      </c>
      <c r="C12" s="218" t="s">
        <v>125</v>
      </c>
      <c r="D12" s="211" t="s">
        <v>9</v>
      </c>
      <c r="E12" s="211" t="s">
        <v>8</v>
      </c>
      <c r="F12" s="211" t="s">
        <v>151</v>
      </c>
      <c r="G12" s="211" t="s">
        <v>127</v>
      </c>
      <c r="H12" s="211" t="s">
        <v>128</v>
      </c>
      <c r="I12" s="211" t="s">
        <v>160</v>
      </c>
      <c r="J12" s="211" t="s">
        <v>130</v>
      </c>
      <c r="K12" s="245" t="s">
        <v>131</v>
      </c>
      <c r="L12" s="211" t="s">
        <v>132</v>
      </c>
      <c r="N12" s="216" t="s">
        <v>78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25</v>
      </c>
    </row>
    <row r="13" spans="1:28" s="216" customFormat="1" ht="21" customHeight="1">
      <c r="A13" s="211">
        <v>5</v>
      </c>
      <c r="B13" s="212">
        <f>IF((تسعير!X31&lt;800),0,IF(AND((تسعير!X31&gt;800),(600&lt;تسعير!AA33)),1,0))</f>
        <v>0</v>
      </c>
      <c r="C13" s="213" t="s">
        <v>153</v>
      </c>
      <c r="D13" s="214">
        <v>0.14000000000000001</v>
      </c>
      <c r="E13" s="214">
        <v>0.14000000000000001</v>
      </c>
      <c r="F13" s="214">
        <f>(Table1421[[#This Row],[Column1]]+Table1421[[#This Row],[Column2]])*24*Table1421[[#This Row],[عدد]]</f>
        <v>0</v>
      </c>
      <c r="G13" s="211" t="s">
        <v>154</v>
      </c>
      <c r="H13" s="211">
        <v>202</v>
      </c>
      <c r="I13" s="211">
        <f>Table1421[[#This Row],[الوزن]]*Table1421[[#This Row],[عدد]]</f>
        <v>0</v>
      </c>
      <c r="J13" s="243">
        <f t="shared" ref="J13:J14" si="3">H13*$I$2/1000</f>
        <v>10100</v>
      </c>
      <c r="K13" s="240">
        <f t="shared" ref="K13:K14" si="4">B13*J13</f>
        <v>0</v>
      </c>
      <c r="L13" s="241">
        <f>(K13)/$G$85</f>
        <v>0</v>
      </c>
      <c r="N13" s="216" t="s">
        <v>54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26</v>
      </c>
      <c r="Z13" s="216">
        <v>1.85</v>
      </c>
      <c r="AB13" s="526">
        <f>IF((تسعير!T25="جلفنة +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spans="1:28" s="216" customFormat="1" ht="21" customHeight="1">
      <c r="A14" s="211">
        <v>6</v>
      </c>
      <c r="B14" s="212">
        <f>IF((تسعير!X31&lt;800),0,IF(AND((تسعير!X31&gt;800),(600&gt;=تسعير!AA33)),1,0))</f>
        <v>0</v>
      </c>
      <c r="C14" s="213" t="s">
        <v>155</v>
      </c>
      <c r="D14" s="214">
        <v>0.14000000000000001</v>
      </c>
      <c r="E14" s="214">
        <v>0.14000000000000001</v>
      </c>
      <c r="F14" s="214">
        <f>(Table1421[[#This Row],[Column1]]+Table1421[[#This Row],[Column2]])*12*Table1421[[#This Row],[عدد]]</f>
        <v>0</v>
      </c>
      <c r="G14" s="211" t="s">
        <v>137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156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27</v>
      </c>
    </row>
    <row r="15" spans="1:28" s="216" customFormat="1" ht="21" customHeight="1">
      <c r="A15" s="211" t="s">
        <v>146</v>
      </c>
      <c r="B15" s="212"/>
      <c r="C15" s="213" t="s">
        <v>146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159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157</v>
      </c>
    </row>
    <row r="16" spans="1:28" s="216" customFormat="1" ht="21" customHeight="1">
      <c r="C16" s="217"/>
      <c r="D16" s="884" t="s">
        <v>158</v>
      </c>
      <c r="E16" s="884"/>
      <c r="F16" s="884"/>
      <c r="G16" s="884"/>
      <c r="H16" s="884"/>
      <c r="I16" s="884"/>
      <c r="N16" s="216" t="s">
        <v>161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28</v>
      </c>
      <c r="Z16" s="216">
        <v>0.25</v>
      </c>
      <c r="AB16" s="526">
        <f>IF((تسعير!T25="جلفنة + جوتن"),(AB13*Table625[[#This Row],[المعدل]]),0)</f>
        <v>0</v>
      </c>
    </row>
    <row r="17" spans="1:28" s="216" customFormat="1" ht="18.75">
      <c r="A17" s="211" t="s">
        <v>123</v>
      </c>
      <c r="B17" s="211" t="s">
        <v>124</v>
      </c>
      <c r="C17" s="218" t="s">
        <v>125</v>
      </c>
      <c r="D17" s="211" t="s">
        <v>9</v>
      </c>
      <c r="E17" s="211" t="s">
        <v>8</v>
      </c>
      <c r="F17" s="211" t="s">
        <v>151</v>
      </c>
      <c r="G17" s="211" t="s">
        <v>127</v>
      </c>
      <c r="H17" s="211" t="s">
        <v>128</v>
      </c>
      <c r="I17" s="211" t="s">
        <v>160</v>
      </c>
      <c r="J17" s="211" t="s">
        <v>130</v>
      </c>
      <c r="K17" s="245" t="s">
        <v>131</v>
      </c>
      <c r="L17" s="211" t="s">
        <v>132</v>
      </c>
      <c r="N17" s="216" t="s">
        <v>79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29</v>
      </c>
      <c r="Z17" s="216">
        <v>0.25</v>
      </c>
      <c r="AB17" s="526">
        <f>IF((تسعير!T25="جلفنة + جوتن"),(AB11*Table625[[#This Row],[المعدل]]),0)</f>
        <v>0</v>
      </c>
    </row>
    <row r="18" spans="1:28" s="216" customFormat="1" ht="18.75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34</v>
      </c>
      <c r="D18" s="214"/>
      <c r="E18" s="214"/>
      <c r="F18" s="214"/>
      <c r="G18" s="211" t="s">
        <v>162</v>
      </c>
      <c r="H18" s="211"/>
      <c r="I18" s="242"/>
      <c r="J18" s="247">
        <f>Sheet2!B28</f>
        <v>400</v>
      </c>
      <c r="K18" s="240">
        <f t="shared" ref="K18:K27" si="5">B18*J18</f>
        <v>400</v>
      </c>
      <c r="L18" s="241">
        <f t="shared" ref="L18:L27" si="6">(K18)/$G$85</f>
        <v>2.6066957077457904E-3</v>
      </c>
      <c r="N18" s="216" t="s">
        <v>77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spans="1:28" s="216" customFormat="1" ht="18.75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163</v>
      </c>
      <c r="D19" s="214"/>
      <c r="E19" s="214"/>
      <c r="F19" s="214"/>
      <c r="G19" s="211" t="s">
        <v>164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3.2583696346822379E-3</v>
      </c>
      <c r="N19" s="216" t="s">
        <v>166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spans="1:28" s="216" customFormat="1" ht="18.75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165</v>
      </c>
      <c r="D20" s="214"/>
      <c r="E20" s="214"/>
      <c r="F20" s="214"/>
      <c r="G20" s="211" t="s">
        <v>124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2.1505239588902772E-3</v>
      </c>
      <c r="N20" s="216" t="s">
        <v>168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spans="1:28" s="216" customFormat="1" ht="18.75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167</v>
      </c>
      <c r="D21" s="214"/>
      <c r="E21" s="214"/>
      <c r="F21" s="214"/>
      <c r="G21" s="211" t="s">
        <v>124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8.4717610501738188E-4</v>
      </c>
    </row>
    <row r="22" spans="1:28" s="216" customFormat="1" ht="18.75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169</v>
      </c>
      <c r="D22" s="214"/>
      <c r="E22" s="214"/>
      <c r="F22" s="214"/>
      <c r="G22" s="247" t="s">
        <v>170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3.1280348492949486E-3</v>
      </c>
    </row>
    <row r="23" spans="1:28" s="216" customFormat="1" ht="18.75">
      <c r="A23" s="211">
        <v>6</v>
      </c>
      <c r="B23" s="219">
        <f>B19*3</f>
        <v>6</v>
      </c>
      <c r="C23" s="213" t="s">
        <v>171</v>
      </c>
      <c r="D23" s="214"/>
      <c r="E23" s="214"/>
      <c r="F23" s="214"/>
      <c r="G23" s="247" t="s">
        <v>172</v>
      </c>
      <c r="H23" s="247"/>
      <c r="I23" s="242"/>
      <c r="J23" s="247">
        <v>10</v>
      </c>
      <c r="K23" s="240">
        <f t="shared" si="5"/>
        <v>60</v>
      </c>
      <c r="L23" s="241">
        <f t="shared" si="6"/>
        <v>3.9100435616186858E-4</v>
      </c>
    </row>
    <row r="24" spans="1:28" s="216" customFormat="1" ht="18.75">
      <c r="A24" s="211">
        <v>7</v>
      </c>
      <c r="B24" s="212">
        <f>IF((تسعير!T31=Sheet2!A6),0,(تسعير!AA33/100))</f>
        <v>4</v>
      </c>
      <c r="C24" s="215" t="s">
        <v>35</v>
      </c>
      <c r="D24" s="391"/>
      <c r="E24" s="391"/>
      <c r="F24" s="391"/>
      <c r="G24" s="248" t="s">
        <v>172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1.8246869954220531E-2</v>
      </c>
    </row>
    <row r="25" spans="1:28" s="216" customFormat="1" ht="18.75">
      <c r="A25" s="211">
        <v>8</v>
      </c>
      <c r="B25" s="219">
        <f>B19*10</f>
        <v>20</v>
      </c>
      <c r="C25" s="215" t="s">
        <v>173</v>
      </c>
      <c r="D25" s="391"/>
      <c r="E25" s="391"/>
      <c r="F25" s="391"/>
      <c r="G25" s="248" t="s">
        <v>174</v>
      </c>
      <c r="H25" s="248"/>
      <c r="I25" s="248"/>
      <c r="J25" s="248">
        <v>1</v>
      </c>
      <c r="K25" s="240">
        <f t="shared" si="5"/>
        <v>20</v>
      </c>
      <c r="L25" s="241">
        <f t="shared" si="6"/>
        <v>1.3033478538728951E-4</v>
      </c>
    </row>
    <row r="26" spans="1:28" s="216" customFormat="1" ht="18.75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36</v>
      </c>
      <c r="D26" s="214"/>
      <c r="E26" s="214"/>
      <c r="F26" s="214"/>
      <c r="G26" s="211" t="s">
        <v>170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spans="1:28" s="216" customFormat="1" ht="18.75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37</v>
      </c>
      <c r="D27" s="214"/>
      <c r="E27" s="214"/>
      <c r="F27" s="214"/>
      <c r="G27" s="211" t="s">
        <v>170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2.9325326712140143E-3</v>
      </c>
    </row>
    <row r="28" spans="1:28" s="216" customFormat="1" ht="18.75">
      <c r="A28" s="211" t="s">
        <v>146</v>
      </c>
      <c r="B28" s="212"/>
      <c r="C28" s="213" t="s">
        <v>146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3.3691542022614339E-2</v>
      </c>
    </row>
    <row r="29" spans="1:28" s="216" customFormat="1" ht="18.75">
      <c r="C29" s="217"/>
      <c r="D29" s="884" t="s">
        <v>175</v>
      </c>
      <c r="E29" s="884"/>
      <c r="F29" s="884"/>
      <c r="G29" s="884"/>
      <c r="H29" s="884"/>
      <c r="I29" s="884"/>
    </row>
    <row r="30" spans="1:28" s="216" customFormat="1" ht="18.75">
      <c r="A30" s="211" t="s">
        <v>123</v>
      </c>
      <c r="B30" s="211" t="s">
        <v>124</v>
      </c>
      <c r="C30" s="218" t="s">
        <v>125</v>
      </c>
      <c r="D30" s="211" t="s">
        <v>9</v>
      </c>
      <c r="E30" s="211" t="s">
        <v>8</v>
      </c>
      <c r="F30" s="211" t="s">
        <v>151</v>
      </c>
      <c r="G30" s="211" t="s">
        <v>127</v>
      </c>
      <c r="H30" s="211" t="s">
        <v>128</v>
      </c>
      <c r="I30" s="211" t="s">
        <v>160</v>
      </c>
      <c r="J30" s="211" t="s">
        <v>130</v>
      </c>
      <c r="K30" s="245" t="s">
        <v>131</v>
      </c>
      <c r="L30" s="211" t="s">
        <v>132</v>
      </c>
    </row>
    <row r="31" spans="1:28" s="216" customFormat="1" ht="18.75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176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1.2800000000000002</v>
      </c>
      <c r="G31" s="250" t="s">
        <v>164</v>
      </c>
      <c r="H31" s="211">
        <v>14</v>
      </c>
      <c r="I31" s="211">
        <f t="shared" ref="I31:I32" si="7">$H$2/1000</f>
        <v>45</v>
      </c>
      <c r="J31" s="243">
        <f t="shared" ref="J31:J32" si="8">H31*$H$2/1000</f>
        <v>630</v>
      </c>
      <c r="K31" s="240">
        <f t="shared" ref="K31:K32" si="9">B31*J31</f>
        <v>2520</v>
      </c>
      <c r="L31" s="241">
        <f>(K31)/$G$85</f>
        <v>1.6422182958798479E-2</v>
      </c>
    </row>
    <row r="32" spans="1:28" s="216" customFormat="1" ht="18.75">
      <c r="A32" s="211">
        <v>8</v>
      </c>
      <c r="B32" s="212">
        <f>B31*4</f>
        <v>16</v>
      </c>
      <c r="C32" s="213" t="s">
        <v>177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164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7.0380784109136344E-3</v>
      </c>
    </row>
    <row r="33" spans="1:12" s="216" customFormat="1" ht="18.75">
      <c r="A33" s="211" t="s">
        <v>146</v>
      </c>
      <c r="B33" s="212">
        <f>SUBTOTAL(103,Table1624[عدد])</f>
        <v>2</v>
      </c>
      <c r="C33" s="213" t="s">
        <v>146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2.3460261369712115E-2</v>
      </c>
    </row>
    <row r="34" spans="1:12" s="216" customFormat="1" ht="18.75">
      <c r="C34" s="217"/>
      <c r="D34" s="884" t="s">
        <v>178</v>
      </c>
      <c r="E34" s="884"/>
      <c r="F34" s="884"/>
      <c r="G34" s="884"/>
      <c r="H34" s="884"/>
      <c r="I34" s="884"/>
    </row>
    <row r="35" spans="1:12" s="216" customFormat="1" ht="18.75">
      <c r="A35" s="211" t="s">
        <v>123</v>
      </c>
      <c r="B35" s="211" t="s">
        <v>124</v>
      </c>
      <c r="C35" s="218" t="s">
        <v>125</v>
      </c>
      <c r="D35" s="211" t="s">
        <v>9</v>
      </c>
      <c r="E35" s="211" t="s">
        <v>8</v>
      </c>
      <c r="F35" s="211" t="s">
        <v>151</v>
      </c>
      <c r="G35" s="211" t="s">
        <v>127</v>
      </c>
      <c r="H35" s="211" t="s">
        <v>128</v>
      </c>
      <c r="I35" s="211" t="s">
        <v>160</v>
      </c>
      <c r="J35" s="211" t="s">
        <v>130</v>
      </c>
      <c r="K35" s="245" t="s">
        <v>131</v>
      </c>
      <c r="L35" s="211" t="s">
        <v>132</v>
      </c>
    </row>
    <row r="36" spans="1:12" s="216" customFormat="1" ht="18.75">
      <c r="A36" s="211">
        <v>1</v>
      </c>
      <c r="B36" s="222">
        <f>AB7/3</f>
        <v>3</v>
      </c>
      <c r="C36" s="213" t="s">
        <v>30</v>
      </c>
      <c r="D36" s="214"/>
      <c r="E36" s="214"/>
      <c r="F36" s="214"/>
      <c r="G36" s="211" t="s">
        <v>186</v>
      </c>
      <c r="H36" s="211"/>
      <c r="I36" s="211"/>
      <c r="J36" s="248">
        <f>Sheet2!B24</f>
        <v>400</v>
      </c>
      <c r="K36" s="240">
        <f t="shared" ref="K36:K44" si="10">B36*J36</f>
        <v>1200</v>
      </c>
      <c r="L36" s="241">
        <f t="shared" ref="L36:L49" si="11">(K36)/$G$85</f>
        <v>7.8200871232373716E-3</v>
      </c>
    </row>
    <row r="37" spans="1:12" s="216" customFormat="1" ht="18.75">
      <c r="A37" s="211">
        <v>7</v>
      </c>
      <c r="B37" s="222">
        <f>AB6/2</f>
        <v>3.5</v>
      </c>
      <c r="C37" s="213" t="s">
        <v>31</v>
      </c>
      <c r="D37" s="214"/>
      <c r="E37" s="214"/>
      <c r="F37" s="214"/>
      <c r="G37" s="211" t="s">
        <v>187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2.1668158070636883E-3</v>
      </c>
    </row>
    <row r="38" spans="1:12" s="216" customFormat="1" ht="18.75">
      <c r="A38" s="211">
        <v>8</v>
      </c>
      <c r="B38" s="222">
        <f>AB5</f>
        <v>12</v>
      </c>
      <c r="C38" s="213" t="s">
        <v>32</v>
      </c>
      <c r="D38" s="214"/>
      <c r="E38" s="214"/>
      <c r="F38" s="214"/>
      <c r="G38" s="211" t="s">
        <v>164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1.7204191671122217E-2</v>
      </c>
    </row>
    <row r="39" spans="1:12" s="216" customFormat="1" ht="18.75">
      <c r="A39" s="211">
        <v>9</v>
      </c>
      <c r="B39" s="222">
        <f>AB8</f>
        <v>9</v>
      </c>
      <c r="C39" s="213" t="s">
        <v>33</v>
      </c>
      <c r="D39" s="214"/>
      <c r="E39" s="214"/>
      <c r="F39" s="214"/>
      <c r="G39" s="211" t="s">
        <v>164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2.9911833246382944E-2</v>
      </c>
    </row>
    <row r="40" spans="1:12" s="216" customFormat="1" ht="18.75">
      <c r="A40" s="211">
        <v>2</v>
      </c>
      <c r="B40" s="219">
        <v>5</v>
      </c>
      <c r="C40" s="218" t="s">
        <v>179</v>
      </c>
      <c r="D40" s="211"/>
      <c r="E40" s="211"/>
      <c r="F40" s="211"/>
      <c r="G40" s="211" t="s">
        <v>180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4.8875544520233572E-4</v>
      </c>
    </row>
    <row r="41" spans="1:12" s="216" customFormat="1" ht="18.75">
      <c r="A41" s="211">
        <v>3</v>
      </c>
      <c r="B41" s="212">
        <v>5</v>
      </c>
      <c r="C41" s="218" t="s">
        <v>181</v>
      </c>
      <c r="D41" s="211"/>
      <c r="E41" s="211"/>
      <c r="F41" s="211"/>
      <c r="G41" s="211" t="s">
        <v>180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4.8875544520233572E-4</v>
      </c>
    </row>
    <row r="42" spans="1:12" s="216" customFormat="1" ht="18.75">
      <c r="A42" s="211">
        <v>4</v>
      </c>
      <c r="B42" s="219">
        <v>10</v>
      </c>
      <c r="C42" s="213" t="s">
        <v>182</v>
      </c>
      <c r="D42" s="214"/>
      <c r="E42" s="214"/>
      <c r="F42" s="214"/>
      <c r="G42" s="211" t="s">
        <v>183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1.6291848173411189E-3</v>
      </c>
    </row>
    <row r="43" spans="1:12" s="216" customFormat="1" ht="18.75">
      <c r="A43" s="211">
        <v>5</v>
      </c>
      <c r="B43" s="212">
        <v>5</v>
      </c>
      <c r="C43" s="213" t="s">
        <v>184</v>
      </c>
      <c r="D43" s="214"/>
      <c r="E43" s="214"/>
      <c r="F43" s="214"/>
      <c r="G43" s="211" t="s">
        <v>183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4.8875544520233568E-3</v>
      </c>
    </row>
    <row r="44" spans="1:12" s="216" customFormat="1" ht="18.75">
      <c r="A44" s="211">
        <v>6</v>
      </c>
      <c r="B44" s="219">
        <v>5</v>
      </c>
      <c r="C44" s="213" t="s">
        <v>185</v>
      </c>
      <c r="D44" s="214"/>
      <c r="E44" s="214"/>
      <c r="F44" s="214"/>
      <c r="G44" s="211" t="s">
        <v>164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1.3033478538728952E-3</v>
      </c>
    </row>
    <row r="45" spans="1:12" s="216" customFormat="1" ht="18.75">
      <c r="A45" s="211">
        <v>10</v>
      </c>
      <c r="B45" s="212"/>
      <c r="C45" s="549" t="s">
        <v>587</v>
      </c>
      <c r="D45" s="214"/>
      <c r="E45" s="214"/>
      <c r="F45" s="214"/>
      <c r="G45" s="211"/>
      <c r="H45" s="211"/>
      <c r="I45" s="211"/>
      <c r="J45" s="248">
        <v>30</v>
      </c>
      <c r="K45" s="240">
        <f t="shared" ref="K45" si="12">B45*J45</f>
        <v>0</v>
      </c>
      <c r="L45" s="251">
        <f t="shared" si="11"/>
        <v>0</v>
      </c>
    </row>
    <row r="46" spans="1:12" s="216" customFormat="1" ht="18.75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24</v>
      </c>
      <c r="D46" s="214"/>
      <c r="E46" s="214"/>
      <c r="F46" s="214"/>
      <c r="G46" s="211" t="s">
        <v>189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spans="1:12" s="216" customFormat="1" ht="18.75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26</v>
      </c>
      <c r="D47" s="214"/>
      <c r="E47" s="214"/>
      <c r="F47" s="214"/>
      <c r="G47" s="218" t="s">
        <v>190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spans="1:12" s="216" customFormat="1" ht="18.75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28</v>
      </c>
      <c r="D48" s="214"/>
      <c r="E48" s="214"/>
      <c r="F48" s="214"/>
      <c r="G48" s="218" t="s">
        <v>191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spans="1:12" s="216" customFormat="1" ht="18.75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29</v>
      </c>
      <c r="D49" s="214"/>
      <c r="E49" s="214"/>
      <c r="F49" s="214"/>
      <c r="G49" s="218" t="s">
        <v>191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spans="1:12" s="216" customFormat="1" ht="18.75">
      <c r="A50" s="211" t="s">
        <v>146</v>
      </c>
      <c r="B50" s="212"/>
      <c r="C50" s="213" t="s">
        <v>146</v>
      </c>
      <c r="D50" s="214"/>
      <c r="E50" s="214"/>
      <c r="F50" s="214"/>
      <c r="G50" s="211" t="s">
        <v>192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6.5900525861448261E-2</v>
      </c>
    </row>
    <row r="51" spans="1:12" s="216" customFormat="1" ht="18.75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spans="1:12" s="216" customFormat="1" ht="18.75">
      <c r="C52" s="217"/>
      <c r="D52" s="884" t="s">
        <v>193</v>
      </c>
      <c r="E52" s="884"/>
      <c r="F52" s="884"/>
      <c r="G52" s="884"/>
      <c r="H52" s="884"/>
      <c r="I52" s="884"/>
    </row>
    <row r="53" spans="1:12" s="216" customFormat="1" ht="18.75">
      <c r="A53" s="211" t="s">
        <v>123</v>
      </c>
      <c r="B53" s="211" t="s">
        <v>124</v>
      </c>
      <c r="C53" s="218" t="s">
        <v>125</v>
      </c>
      <c r="D53" s="211" t="s">
        <v>9</v>
      </c>
      <c r="E53" s="211" t="s">
        <v>8</v>
      </c>
      <c r="F53" s="211" t="s">
        <v>151</v>
      </c>
      <c r="G53" s="211" t="s">
        <v>127</v>
      </c>
      <c r="H53" s="211" t="s">
        <v>128</v>
      </c>
      <c r="I53" s="211" t="s">
        <v>160</v>
      </c>
      <c r="J53" s="211" t="s">
        <v>130</v>
      </c>
      <c r="K53" s="245" t="s">
        <v>131</v>
      </c>
      <c r="L53" s="211" t="s">
        <v>132</v>
      </c>
    </row>
    <row r="54" spans="1:12" s="216" customFormat="1" ht="19.5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194</v>
      </c>
      <c r="D54" s="214"/>
      <c r="E54" s="214"/>
      <c r="F54" s="214"/>
      <c r="G54" s="398" t="s">
        <v>137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t="shared" ref="K54:K55" si="13">B54*J54</f>
        <v>1323</v>
      </c>
      <c r="L54" s="241">
        <f>(Table161027[[#This Row],[اجمالي]])/$G$85</f>
        <v>8.6216460533692016E-3</v>
      </c>
    </row>
    <row r="55" spans="1:12" s="216" customFormat="1" ht="19.5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38</v>
      </c>
      <c r="D55" s="214"/>
      <c r="E55" s="214"/>
      <c r="F55" s="214"/>
      <c r="G55" s="398" t="s">
        <v>195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spans="1:12" s="216" customFormat="1" ht="19.5">
      <c r="A56" s="211" t="s">
        <v>146</v>
      </c>
      <c r="B56" s="219"/>
      <c r="C56" s="214" t="s">
        <v>146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spans="1:12" s="216" customFormat="1" ht="18.75">
      <c r="C57" s="217"/>
      <c r="D57" s="884" t="s">
        <v>196</v>
      </c>
      <c r="E57" s="884"/>
      <c r="F57" s="884"/>
      <c r="G57" s="884"/>
      <c r="H57" s="884"/>
      <c r="I57" s="884"/>
    </row>
    <row r="58" spans="1:12" s="216" customFormat="1" ht="18.75">
      <c r="A58" s="211" t="s">
        <v>123</v>
      </c>
      <c r="B58" s="211" t="s">
        <v>124</v>
      </c>
      <c r="C58" s="214" t="s">
        <v>197</v>
      </c>
      <c r="D58" s="211" t="s">
        <v>151</v>
      </c>
      <c r="E58" s="211" t="s">
        <v>8</v>
      </c>
      <c r="F58" s="400" t="s">
        <v>198</v>
      </c>
      <c r="G58" s="216" t="s">
        <v>199</v>
      </c>
      <c r="H58" s="401" t="s">
        <v>51</v>
      </c>
      <c r="I58" s="211" t="s">
        <v>9</v>
      </c>
      <c r="J58" s="211" t="s">
        <v>200</v>
      </c>
      <c r="K58" s="245" t="s">
        <v>131</v>
      </c>
      <c r="L58" s="211" t="s">
        <v>132</v>
      </c>
    </row>
    <row r="59" spans="1:12" s="216" customFormat="1" ht="19.5">
      <c r="A59" s="211">
        <v>1</v>
      </c>
      <c r="B59" s="219">
        <f>IF((تسعير!T31=Sheet2!A6),0,1)</f>
        <v>1</v>
      </c>
      <c r="C59" s="214" t="s">
        <v>201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spans="1:12" s="216" customFormat="1" ht="19.5">
      <c r="A60" s="576"/>
      <c r="B60" s="562">
        <f>IF((تسعير!T31=Sheet2!A6),1,0)</f>
        <v>0</v>
      </c>
      <c r="C60" s="572" t="s">
        <v>596</v>
      </c>
      <c r="D60" s="572"/>
      <c r="E60" s="576"/>
      <c r="F60" s="577"/>
      <c r="G60" s="577"/>
      <c r="H60" s="398">
        <f>'Cutting Ro-2'!$O$7</f>
        <v>2907.2003302590206</v>
      </c>
      <c r="I60" s="578"/>
      <c r="J60" s="403">
        <f>IF((Table161128[[#This Row],[عدد]]&gt;0),'Cutting Ro-2'!O8,0)</f>
        <v>0</v>
      </c>
      <c r="K60" s="580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spans="1:12" s="216" customFormat="1" ht="18.75">
      <c r="A61" s="211">
        <v>4</v>
      </c>
      <c r="B61" s="212">
        <f>IF((F81="الاسكندرية"),0.25,0.1)</f>
        <v>0.1</v>
      </c>
      <c r="C61" s="213" t="s">
        <v>202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3.0312746489773335E-2</v>
      </c>
    </row>
    <row r="62" spans="1:12" s="216" customFormat="1" ht="18.75">
      <c r="A62" s="571" t="s">
        <v>146</v>
      </c>
      <c r="B62" s="570"/>
      <c r="C62" s="549" t="s">
        <v>146</v>
      </c>
      <c r="D62" s="573">
        <f>SUBTOTAL(109,Table161128[Column12])</f>
        <v>0</v>
      </c>
      <c r="E62" s="571"/>
      <c r="F62" s="572"/>
      <c r="G62" s="572"/>
      <c r="H62" s="571"/>
      <c r="I62" s="571"/>
      <c r="J62" s="242"/>
      <c r="K62" s="574">
        <f>SUBTOTAL(109,Table161128[اجمالي])</f>
        <v>51166.725812558761</v>
      </c>
      <c r="L62" s="575">
        <f>Table161128[[#Totals],[اجمالي]]/$G$85</f>
        <v>0.33344021138750668</v>
      </c>
    </row>
    <row r="63" spans="1:12" s="216" customFormat="1" ht="18.75">
      <c r="C63" s="217"/>
      <c r="D63" s="884" t="s">
        <v>228</v>
      </c>
      <c r="E63" s="884"/>
      <c r="F63" s="884"/>
      <c r="G63" s="884"/>
      <c r="H63" s="884"/>
      <c r="I63" s="884"/>
    </row>
    <row r="64" spans="1:12" s="216" customFormat="1" ht="18.75">
      <c r="A64" s="211" t="s">
        <v>123</v>
      </c>
      <c r="B64" s="211" t="s">
        <v>124</v>
      </c>
      <c r="C64" s="218" t="s">
        <v>125</v>
      </c>
      <c r="D64" s="211" t="s">
        <v>9</v>
      </c>
      <c r="E64" s="211" t="s">
        <v>8</v>
      </c>
      <c r="F64" s="211" t="s">
        <v>151</v>
      </c>
      <c r="G64" s="211" t="s">
        <v>127</v>
      </c>
      <c r="H64" s="211" t="s">
        <v>128</v>
      </c>
      <c r="I64" s="211" t="s">
        <v>160</v>
      </c>
      <c r="J64" s="211" t="s">
        <v>130</v>
      </c>
      <c r="K64" s="245" t="s">
        <v>131</v>
      </c>
      <c r="L64" s="211" t="s">
        <v>132</v>
      </c>
    </row>
    <row r="65" spans="1:20" s="216" customFormat="1" ht="18.75">
      <c r="A65" s="211">
        <v>1</v>
      </c>
      <c r="B65" s="219">
        <f>IF((تسعير!T25="جلفنة + جوتن"),(Table118[[#Totals],[اجمالي الميزان]]+Table1624[[#Totals],[الوزن]]+Table1421[[#Totals],[الوزن]]),0)</f>
        <v>0</v>
      </c>
      <c r="C65" s="214" t="s">
        <v>188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spans="1:20" s="216" customFormat="1" ht="18.75">
      <c r="A66" s="211" t="s">
        <v>146</v>
      </c>
      <c r="B66" s="212"/>
      <c r="C66" s="213" t="s">
        <v>146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spans="1:20" s="216" customFormat="1" ht="18.75">
      <c r="C67" s="217"/>
      <c r="D67" s="884" t="s">
        <v>203</v>
      </c>
      <c r="E67" s="884"/>
      <c r="F67" s="884"/>
      <c r="G67" s="884"/>
      <c r="H67" s="884"/>
      <c r="I67" s="884"/>
    </row>
    <row r="68" spans="1:20" s="216" customFormat="1" ht="18.75">
      <c r="A68" s="211" t="s">
        <v>123</v>
      </c>
      <c r="B68" s="211" t="s">
        <v>124</v>
      </c>
      <c r="C68" s="218" t="s">
        <v>125</v>
      </c>
      <c r="D68" s="211" t="s">
        <v>204</v>
      </c>
      <c r="E68" s="211" t="s">
        <v>110</v>
      </c>
      <c r="F68" s="211" t="s">
        <v>205</v>
      </c>
      <c r="G68" s="211" t="s">
        <v>206</v>
      </c>
      <c r="H68" s="211" t="s">
        <v>151</v>
      </c>
      <c r="I68" s="211" t="s">
        <v>207</v>
      </c>
      <c r="J68" s="211" t="s">
        <v>208</v>
      </c>
      <c r="K68" s="245" t="s">
        <v>131</v>
      </c>
      <c r="L68" s="211" t="s">
        <v>132</v>
      </c>
    </row>
    <row r="69" spans="1:20" s="216" customFormat="1" ht="18.75">
      <c r="A69" s="211">
        <v>1</v>
      </c>
      <c r="B69" s="219">
        <v>4</v>
      </c>
      <c r="C69" s="220" t="s">
        <v>209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210</v>
      </c>
      <c r="G69" s="214" t="s">
        <v>133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t="shared" ref="K69:K81" si="14">B69*J69</f>
        <v>1680</v>
      </c>
      <c r="L69" s="241">
        <f t="shared" ref="L69:L81" si="15">(K69)/$G$85</f>
        <v>1.094812197253232E-2</v>
      </c>
    </row>
    <row r="70" spans="1:20" s="216" customFormat="1" ht="18.75">
      <c r="A70" s="211">
        <v>2</v>
      </c>
      <c r="B70" s="219">
        <v>3</v>
      </c>
      <c r="C70" s="220" t="s">
        <v>211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210</v>
      </c>
      <c r="G70" s="214" t="s">
        <v>133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5.4740609862661601E-3</v>
      </c>
    </row>
    <row r="71" spans="1:20" s="216" customFormat="1" ht="18.75">
      <c r="A71" s="211">
        <v>3</v>
      </c>
      <c r="B71" s="219">
        <v>3</v>
      </c>
      <c r="C71" s="220" t="s">
        <v>212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210</v>
      </c>
      <c r="G71" s="214" t="s">
        <v>133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1.094812197253232E-2</v>
      </c>
    </row>
    <row r="72" spans="1:20" s="216" customFormat="1" ht="18.75">
      <c r="A72" s="211">
        <v>4</v>
      </c>
      <c r="B72" s="212">
        <v>3</v>
      </c>
      <c r="C72" s="220" t="s">
        <v>213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210</v>
      </c>
      <c r="G72" s="214" t="s">
        <v>133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5.4740609862661601E-3</v>
      </c>
    </row>
    <row r="73" spans="1:20" s="216" customFormat="1" ht="18.75">
      <c r="A73" s="211">
        <v>5</v>
      </c>
      <c r="B73" s="212">
        <v>4</v>
      </c>
      <c r="C73" s="220" t="s">
        <v>214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133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2.6066957077457903E-2</v>
      </c>
    </row>
    <row r="74" spans="1:20" s="216" customFormat="1" ht="18.75">
      <c r="A74" s="211">
        <v>6</v>
      </c>
      <c r="B74" s="212">
        <v>3</v>
      </c>
      <c r="C74" s="220" t="s">
        <v>215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133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2.9325326712140141E-2</v>
      </c>
      <c r="N74" s="207"/>
      <c r="O74" s="207"/>
      <c r="P74" s="207"/>
      <c r="Q74" s="207"/>
      <c r="R74" s="207"/>
      <c r="S74" s="207"/>
      <c r="T74" s="207"/>
    </row>
    <row r="75" spans="1:20" s="216" customFormat="1" ht="18.75">
      <c r="A75" s="211">
        <v>7</v>
      </c>
      <c r="B75" s="212">
        <v>0</v>
      </c>
      <c r="C75" s="220" t="s">
        <v>216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133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spans="1:20" s="216" customFormat="1" ht="18.75">
      <c r="A76" s="211">
        <v>8</v>
      </c>
      <c r="B76" s="212">
        <v>4</v>
      </c>
      <c r="C76" s="220" t="s">
        <v>217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133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2.6066957077457903E-2</v>
      </c>
      <c r="N76" s="207"/>
      <c r="O76" s="207"/>
      <c r="P76" s="207"/>
      <c r="Q76" s="207"/>
      <c r="R76" s="207"/>
      <c r="S76" s="207"/>
      <c r="T76" s="207"/>
    </row>
    <row r="77" spans="1:20" s="216" customFormat="1" ht="18.75">
      <c r="A77" s="211">
        <v>9</v>
      </c>
      <c r="B77" s="212">
        <f>(B73+B74+B75+B76)*2</f>
        <v>22</v>
      </c>
      <c r="C77" s="220" t="s">
        <v>218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5.7347305570407389E-2</v>
      </c>
      <c r="N77" s="207"/>
      <c r="O77" s="207"/>
      <c r="P77" s="207"/>
      <c r="Q77" s="207"/>
      <c r="R77" s="207"/>
      <c r="S77" s="207"/>
      <c r="T77" s="207"/>
    </row>
    <row r="78" spans="1:20" s="216" customFormat="1" ht="18.75">
      <c r="A78" s="211">
        <v>10</v>
      </c>
      <c r="B78" s="212">
        <f>((I73+I74+I75+I76)*2)-2</f>
        <v>12</v>
      </c>
      <c r="C78" s="220" t="s">
        <v>219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3.1280348492949486E-2</v>
      </c>
      <c r="N78" s="207"/>
      <c r="O78" s="207"/>
      <c r="P78" s="207"/>
      <c r="Q78" s="207"/>
      <c r="R78" s="207"/>
      <c r="S78" s="207"/>
      <c r="T78" s="207"/>
    </row>
    <row r="79" spans="1:20" s="216" customFormat="1" ht="18.75">
      <c r="A79" s="211">
        <v>11</v>
      </c>
      <c r="B79" s="212">
        <v>2</v>
      </c>
      <c r="C79" s="220" t="s">
        <v>220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4.561717488555133E-2</v>
      </c>
      <c r="N79" s="207"/>
      <c r="O79" s="207"/>
      <c r="P79" s="207"/>
      <c r="Q79" s="207"/>
      <c r="R79" s="207"/>
      <c r="S79" s="207"/>
      <c r="T79" s="207"/>
    </row>
    <row r="80" spans="1:20" s="216" customFormat="1" ht="18.75">
      <c r="A80" s="211">
        <v>12</v>
      </c>
      <c r="B80" s="212">
        <v>1</v>
      </c>
      <c r="C80" s="220" t="s">
        <v>221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3.9100435616186854E-2</v>
      </c>
      <c r="N80" s="207"/>
      <c r="O80" s="207"/>
      <c r="P80" s="207"/>
      <c r="Q80" s="207"/>
      <c r="R80" s="207"/>
      <c r="S80" s="207"/>
      <c r="T80" s="207"/>
    </row>
    <row r="81" spans="1:20" s="216" customFormat="1" ht="18.75">
      <c r="A81" s="211">
        <v>13</v>
      </c>
      <c r="B81" s="212">
        <f>B78</f>
        <v>12</v>
      </c>
      <c r="C81" s="220" t="s">
        <v>113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1.1730130684856057E-2</v>
      </c>
      <c r="N81" s="207"/>
      <c r="O81" s="207"/>
      <c r="P81" s="207"/>
      <c r="Q81" s="207"/>
      <c r="R81" s="207"/>
      <c r="S81" s="207"/>
      <c r="T81" s="207"/>
    </row>
    <row r="82" spans="1:20" ht="18.75">
      <c r="A82" s="571" t="s">
        <v>146</v>
      </c>
      <c r="B82" s="570"/>
      <c r="C82" s="549" t="s">
        <v>146</v>
      </c>
      <c r="D82" s="571"/>
      <c r="E82" s="571"/>
      <c r="F82" s="572"/>
      <c r="G82" s="572"/>
      <c r="H82" s="573">
        <f>SUBTOTAL(109,Table161229[Column12])</f>
        <v>10450</v>
      </c>
      <c r="I82" s="571"/>
      <c r="J82" s="242"/>
      <c r="K82" s="574">
        <f>SUBTOTAL(109,Table161229[اجمالي])</f>
        <v>45940</v>
      </c>
      <c r="L82" s="575">
        <f>Table161229[[#Totals],[اجمالي]]/$G$85</f>
        <v>0.29937900203460405</v>
      </c>
    </row>
    <row r="83" spans="1:20" ht="18.75">
      <c r="A83" s="216"/>
      <c r="B83" s="216"/>
      <c r="C83" s="217"/>
      <c r="D83" s="889"/>
      <c r="E83" s="889"/>
      <c r="F83" s="889"/>
      <c r="G83" s="889"/>
      <c r="H83" s="889"/>
      <c r="I83" s="889"/>
      <c r="J83" s="216"/>
      <c r="K83" s="216"/>
      <c r="L83" s="216"/>
    </row>
    <row r="84" spans="1:20" ht="18.75">
      <c r="A84" s="211"/>
      <c r="B84" s="211"/>
      <c r="C84" s="218" t="s">
        <v>8</v>
      </c>
      <c r="D84" s="211" t="s">
        <v>222</v>
      </c>
      <c r="E84" s="211" t="s">
        <v>223</v>
      </c>
      <c r="F84" s="211" t="s">
        <v>3</v>
      </c>
      <c r="G84" s="211" t="s">
        <v>9</v>
      </c>
      <c r="H84" s="211"/>
      <c r="I84" s="211"/>
      <c r="J84" s="211"/>
      <c r="K84" s="245"/>
      <c r="L84" s="211"/>
    </row>
    <row r="85" spans="1:20" ht="18.75">
      <c r="A85" s="211"/>
      <c r="B85" s="219"/>
      <c r="C85" s="213" t="s">
        <v>224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spans="1:20" ht="18.75">
      <c r="A86" s="211"/>
      <c r="B86" s="212"/>
      <c r="C86" s="213" t="s">
        <v>225</v>
      </c>
      <c r="D86" s="214"/>
      <c r="E86" s="211"/>
      <c r="F86" s="310">
        <f t="shared" ref="F86" si="16"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199486.26855632639</v>
      </c>
      <c r="H86" s="211"/>
      <c r="I86" s="211"/>
      <c r="J86" s="243"/>
      <c r="K86" s="282"/>
      <c r="L86" s="283"/>
    </row>
    <row r="87" spans="1:20" ht="18.75">
      <c r="A87" s="211"/>
      <c r="B87" s="219"/>
      <c r="H87" s="211"/>
      <c r="I87" s="211"/>
      <c r="J87" s="243"/>
      <c r="K87" s="282"/>
      <c r="L87" s="283"/>
    </row>
    <row r="88" spans="1:20" ht="18.75">
      <c r="A88" s="211"/>
      <c r="B88" s="212"/>
      <c r="H88" s="211"/>
      <c r="I88" s="242"/>
      <c r="J88" s="243"/>
      <c r="K88" s="282"/>
      <c r="L88" s="283"/>
    </row>
    <row r="89" spans="1:20" ht="18.75">
      <c r="A89" s="211"/>
      <c r="B89" s="219"/>
      <c r="H89" s="211"/>
      <c r="I89" s="242"/>
      <c r="J89" s="247"/>
      <c r="K89" s="282"/>
      <c r="L89" s="283"/>
    </row>
    <row r="90" spans="1:20" ht="18.75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 count="13"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 r:id="rId1"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40625" defaultRowHeight="15"/>
  <cols>
    <col min="1" max="1" width="38.28515625" style="1" customWidth="1"/>
    <col min="2" max="3" width="13" style="1" customWidth="1"/>
    <col min="4" max="4" width="11" style="1" customWidth="1"/>
    <col min="5" max="5" width="14.140625" style="1" customWidth="1"/>
    <col min="6" max="6" width="19.85546875" style="1" customWidth="1"/>
    <col min="7" max="7" width="5.5703125" style="1" customWidth="1"/>
    <col min="8" max="8" width="4.28515625" style="1" customWidth="1"/>
    <col min="9" max="9" width="4" style="1" customWidth="1"/>
    <col min="10" max="10" width="9.140625" style="1"/>
    <col min="11" max="11" width="9.140625" style="1" customWidth="1"/>
    <col min="12" max="12" width="5.85546875" style="1" customWidth="1"/>
    <col min="13" max="13" width="15.140625" style="1" customWidth="1"/>
    <col min="14" max="14" width="56.28515625" style="1" customWidth="1"/>
    <col min="15" max="17" width="9.140625" style="1"/>
    <col min="18" max="18" width="19.28515625" style="1" customWidth="1"/>
    <col min="19" max="19" width="16.42578125" style="1" customWidth="1"/>
    <col min="20" max="20" width="20.7109375" style="1" customWidth="1"/>
    <col min="21" max="21" width="25.28515625" style="1" customWidth="1"/>
    <col min="22" max="22" width="16.85546875" style="1" customWidth="1"/>
    <col min="23" max="23" width="18.140625" style="1" customWidth="1"/>
    <col min="24" max="24" width="9.140625" style="1"/>
    <col min="25" max="25" width="14.5703125" style="1" customWidth="1"/>
    <col min="26" max="35" width="9.140625" style="1"/>
    <col min="36" max="36" width="40.28515625" style="1" customWidth="1"/>
    <col min="37" max="37" width="9.140625" style="1"/>
    <col min="38" max="38" width="16.7109375" style="1" customWidth="1"/>
    <col min="39" max="39" width="17" style="1" customWidth="1"/>
    <col min="40" max="16384" width="9.140625" style="1"/>
  </cols>
  <sheetData>
    <row r="1" spans="1:54" ht="21">
      <c r="A1" s="382" t="s">
        <v>229</v>
      </c>
      <c r="B1" s="269">
        <f>(F1*D1)/10000</f>
        <v>12.5</v>
      </c>
      <c r="C1" s="270" t="s">
        <v>230</v>
      </c>
      <c r="D1" s="271">
        <f>تسعير!BA12</f>
        <v>500</v>
      </c>
      <c r="E1" s="270" t="s">
        <v>198</v>
      </c>
      <c r="F1" s="271">
        <f>تسعير!AV10</f>
        <v>250</v>
      </c>
      <c r="G1" s="167"/>
      <c r="H1" s="167"/>
      <c r="I1" s="167"/>
      <c r="J1" s="167"/>
      <c r="K1" s="167"/>
      <c r="L1" s="878" t="s">
        <v>99</v>
      </c>
      <c r="M1" s="879"/>
      <c r="N1" s="880"/>
      <c r="O1" s="201" t="s">
        <v>100</v>
      </c>
      <c r="P1" s="202" t="s">
        <v>101</v>
      </c>
      <c r="Q1" s="223" t="s">
        <v>102</v>
      </c>
      <c r="R1" s="224" t="s">
        <v>103</v>
      </c>
      <c r="S1" s="224" t="s">
        <v>104</v>
      </c>
      <c r="T1" s="224" t="s">
        <v>105</v>
      </c>
      <c r="U1" s="224" t="s">
        <v>106</v>
      </c>
      <c r="V1" s="392" t="s">
        <v>107</v>
      </c>
      <c r="W1" s="233"/>
      <c r="X1" s="207"/>
      <c r="Y1" s="207" t="s">
        <v>8</v>
      </c>
      <c r="Z1" s="207" t="s">
        <v>108</v>
      </c>
      <c r="AA1" s="207" t="s">
        <v>109</v>
      </c>
      <c r="AB1" s="207" t="s">
        <v>110</v>
      </c>
      <c r="AC1" s="207" t="s">
        <v>111</v>
      </c>
      <c r="AD1" s="207" t="s">
        <v>112</v>
      </c>
      <c r="AE1" s="207" t="s">
        <v>113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spans="1:54" ht="21">
      <c r="A2" s="383" t="s">
        <v>231</v>
      </c>
      <c r="B2" s="187" t="s">
        <v>232</v>
      </c>
      <c r="C2" s="187" t="s">
        <v>233</v>
      </c>
      <c r="D2" s="187" t="s">
        <v>160</v>
      </c>
      <c r="E2" s="187" t="s">
        <v>234</v>
      </c>
      <c r="F2" s="187" t="s">
        <v>224</v>
      </c>
      <c r="G2" s="1" t="s">
        <v>8</v>
      </c>
      <c r="H2" s="1" t="s">
        <v>9</v>
      </c>
      <c r="I2" s="1" t="s">
        <v>3</v>
      </c>
      <c r="J2" s="1" t="s">
        <v>122</v>
      </c>
      <c r="L2" s="881"/>
      <c r="M2" s="882"/>
      <c r="N2" s="883"/>
      <c r="O2" s="203"/>
      <c r="P2" s="204"/>
      <c r="Q2" s="228">
        <f>O2*P2</f>
        <v>0</v>
      </c>
      <c r="R2" s="229" t="e">
        <f ca="1"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114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spans="1:54" ht="21">
      <c r="A3" s="187" t="s">
        <v>235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5" t="s">
        <v>115</v>
      </c>
      <c r="M3" s="886"/>
      <c r="N3" s="206" t="str">
        <f>IF(AND((تسعير!AT12="بالتات"),(تسعير!AV10&lt;=300)),"A1",IF(AND((تسعير!AT12="بالتات"),(تسعير!AV10&gt;300)),"A2",IF(AND((تسعير!AT12="قواعد عادية"),(تسعير!AV10&lt;=300)),"B1",IF(AND((تسعير!AT12="قواعد عادية"),(تسعير!AV10&gt;300)),"B2",0))))</f>
        <v>A1</v>
      </c>
      <c r="O3" s="207"/>
      <c r="P3" s="207"/>
      <c r="Q3" s="234" t="s">
        <v>116</v>
      </c>
      <c r="R3" s="887">
        <f ca="1">NOW()</f>
        <v>46132.673925578703</v>
      </c>
      <c r="S3" s="888"/>
      <c r="T3" s="888"/>
      <c r="U3" s="235"/>
      <c r="V3" s="235"/>
      <c r="W3" s="235"/>
      <c r="X3" s="207"/>
      <c r="Y3" s="216" t="s">
        <v>96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spans="1:54" s="187" customFormat="1" ht="18.75">
      <c r="A4" s="187" t="s">
        <v>236</v>
      </c>
      <c r="B4" s="187">
        <f>MAX(G4:J4)</f>
        <v>2.5</v>
      </c>
      <c r="C4" s="187">
        <v>0.56000000000000005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4" t="s">
        <v>117</v>
      </c>
      <c r="P4" s="884"/>
      <c r="Q4" s="884"/>
      <c r="R4" s="884"/>
      <c r="S4" s="884"/>
      <c r="T4" s="884"/>
      <c r="U4" s="236"/>
      <c r="V4" s="236"/>
      <c r="W4" s="236"/>
      <c r="X4" s="207"/>
      <c r="Y4" s="216" t="s">
        <v>53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118</v>
      </c>
      <c r="AG4" s="207"/>
      <c r="AH4" s="207"/>
      <c r="AI4" s="207"/>
      <c r="AJ4" s="207" t="s">
        <v>119</v>
      </c>
      <c r="AK4" s="207" t="s">
        <v>120</v>
      </c>
      <c r="AL4" s="207" t="s">
        <v>121</v>
      </c>
      <c r="AM4" s="207" t="s">
        <v>122</v>
      </c>
      <c r="AN4" s="207"/>
      <c r="AO4" s="207" t="s">
        <v>8</v>
      </c>
      <c r="AP4" s="207" t="s">
        <v>9</v>
      </c>
      <c r="AQ4" s="207" t="s">
        <v>3</v>
      </c>
      <c r="AR4" s="207" t="s">
        <v>122</v>
      </c>
      <c r="AS4" s="207" t="s">
        <v>237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spans="1:54" s="187" customFormat="1" ht="18.75">
      <c r="A5" s="187" t="s">
        <v>238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123</v>
      </c>
      <c r="M5" s="208" t="s">
        <v>124</v>
      </c>
      <c r="N5" s="210" t="s">
        <v>125</v>
      </c>
      <c r="O5" s="208" t="s">
        <v>9</v>
      </c>
      <c r="P5" s="208" t="s">
        <v>8</v>
      </c>
      <c r="Q5" s="208" t="s">
        <v>126</v>
      </c>
      <c r="R5" s="237" t="s">
        <v>127</v>
      </c>
      <c r="S5" s="237" t="s">
        <v>128</v>
      </c>
      <c r="T5" s="237" t="s">
        <v>160</v>
      </c>
      <c r="U5" s="237" t="s">
        <v>130</v>
      </c>
      <c r="V5" s="238" t="s">
        <v>131</v>
      </c>
      <c r="W5" s="237" t="s">
        <v>132</v>
      </c>
      <c r="X5" s="207"/>
      <c r="Y5" s="216" t="s">
        <v>89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133</v>
      </c>
      <c r="AG5" s="207"/>
      <c r="AH5" s="207"/>
      <c r="AI5" s="207"/>
      <c r="AJ5" s="233" t="s">
        <v>134</v>
      </c>
      <c r="AK5" s="233">
        <v>0.4</v>
      </c>
      <c r="AL5" s="237" t="s">
        <v>135</v>
      </c>
      <c r="AM5" s="216">
        <f>IF((تسعير!AT5="ايبوكسي +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239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spans="1:54" s="187" customFormat="1" ht="18.75">
      <c r="A6" s="187" t="s">
        <v>240</v>
      </c>
      <c r="B6" s="187">
        <f>E4*2</f>
        <v>20</v>
      </c>
      <c r="D6" s="187">
        <v>15</v>
      </c>
      <c r="F6" s="384">
        <f t="shared" ref="F6:F14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0</v>
      </c>
      <c r="N6" s="215" t="s">
        <v>136</v>
      </c>
      <c r="O6" s="214">
        <v>0.03</v>
      </c>
      <c r="P6" s="214">
        <v>0.03</v>
      </c>
      <c r="Q6" s="214">
        <f>(Table158[[#This Row],[Column1]]+Table158[[#This Row],[Column2]])*12*Table158[[#This Row],[عدد]]</f>
        <v>0</v>
      </c>
      <c r="R6" s="242" t="s">
        <v>137</v>
      </c>
      <c r="S6" s="211">
        <v>8.5</v>
      </c>
      <c r="T6" s="211">
        <f>Table158[[#This Row],[المسطح]]*Table158[[#This Row],[عدد]]</f>
        <v>0</v>
      </c>
      <c r="U6" s="243">
        <f>S6*$S$2/1000</f>
        <v>382.5</v>
      </c>
      <c r="V6" s="240">
        <f>M6*U6</f>
        <v>0</v>
      </c>
      <c r="W6" s="241">
        <f ca="1">(V6)/$R$71</f>
        <v>0</v>
      </c>
      <c r="X6" s="216"/>
      <c r="Y6" s="216" t="s">
        <v>88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31</v>
      </c>
      <c r="AK6" s="216">
        <v>0.25</v>
      </c>
      <c r="AL6" s="216" t="s">
        <v>138</v>
      </c>
      <c r="AM6" s="216">
        <f>AM5*Table663[[#This Row],[المعدل]]+4</f>
        <v>4</v>
      </c>
      <c r="AN6" s="216"/>
      <c r="AO6" s="216" t="s">
        <v>241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spans="1:54" s="187" customFormat="1" ht="18.75">
      <c r="A7" s="187" t="s">
        <v>242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</v>
      </c>
      <c r="N7" s="215" t="s">
        <v>227</v>
      </c>
      <c r="O7" s="391">
        <v>0.1</v>
      </c>
      <c r="P7" s="391">
        <v>0.05</v>
      </c>
      <c r="Q7" s="216">
        <f>(Table158[[#This Row],[Column1]]+Table158[[#This Row],[Column2]])*12*Table158[[#This Row],[عدد]]</f>
        <v>3.6000000000000005</v>
      </c>
      <c r="R7" s="211" t="s">
        <v>137</v>
      </c>
      <c r="S7" s="211">
        <v>28.5</v>
      </c>
      <c r="T7" s="211">
        <f>Table158[[#This Row],[المسطح]]*Table158[[#This Row],[عدد]]</f>
        <v>7.2000000000000011</v>
      </c>
      <c r="U7" s="243">
        <f>S7*$S$2/1000</f>
        <v>1282.5</v>
      </c>
      <c r="V7" s="240">
        <f>M7*U7</f>
        <v>2565</v>
      </c>
      <c r="W7" s="241">
        <f ca="1">(V7)/$R$71</f>
        <v>3.4900309612688203E-2</v>
      </c>
      <c r="X7" s="216"/>
      <c r="Y7" s="216" t="s">
        <v>140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141</v>
      </c>
      <c r="AK7" s="216">
        <v>0.25</v>
      </c>
      <c r="AL7" s="211" t="s">
        <v>142</v>
      </c>
      <c r="AM7" s="216">
        <f>IF((تسعير!AT5="ايبوكسي +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243</v>
      </c>
      <c r="AP7" s="216">
        <v>7.0000000000000007E-2</v>
      </c>
      <c r="AQ7" s="216">
        <v>7.0000000000000007E-2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spans="1:54" s="187" customFormat="1" ht="18.75">
      <c r="A8" s="187" t="s">
        <v>244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146</v>
      </c>
      <c r="O8" s="214"/>
      <c r="P8" s="214"/>
      <c r="Q8" s="216">
        <f>SUBTOTAL(109,Table158[المسطح])</f>
        <v>3.6000000000000005</v>
      </c>
      <c r="R8" s="211"/>
      <c r="S8" s="211">
        <f>(S7*M7)</f>
        <v>57</v>
      </c>
      <c r="T8" s="211">
        <f>SUBTOTAL(109,Table158[سعر الكيلو])</f>
        <v>7.2000000000000011</v>
      </c>
      <c r="U8" s="242"/>
      <c r="V8" s="240">
        <f>SUBTOTAL(109,Table158[اجمالي])</f>
        <v>2565</v>
      </c>
      <c r="W8" s="244">
        <f ca="1">Table158[[#Totals],[اجمالي]]/$R$71</f>
        <v>3.4900309612688203E-2</v>
      </c>
      <c r="X8" s="216"/>
      <c r="Y8" s="216" t="s">
        <v>144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145</v>
      </c>
      <c r="AK8" s="216">
        <v>0.4</v>
      </c>
      <c r="AL8" s="211" t="s">
        <v>142</v>
      </c>
      <c r="AM8" s="216">
        <f>IF((تسعير!AT5="ايبوكسي +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245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spans="1:54" s="187" customFormat="1" ht="18.75">
      <c r="A9" s="187" t="s">
        <v>246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4" t="s">
        <v>158</v>
      </c>
      <c r="P9" s="884"/>
      <c r="Q9" s="884"/>
      <c r="R9" s="884"/>
      <c r="S9" s="884"/>
      <c r="T9" s="884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147</v>
      </c>
      <c r="AK9" s="216"/>
      <c r="AL9" s="216" t="s">
        <v>148</v>
      </c>
      <c r="AM9" s="216"/>
      <c r="AN9" s="216"/>
      <c r="AO9" s="216" t="s">
        <v>247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spans="1:54" s="187" customFormat="1" ht="18.75">
      <c r="A10" s="187" t="s">
        <v>248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123</v>
      </c>
      <c r="M10" s="211" t="s">
        <v>124</v>
      </c>
      <c r="N10" s="218" t="s">
        <v>125</v>
      </c>
      <c r="O10" s="211" t="s">
        <v>9</v>
      </c>
      <c r="P10" s="211" t="s">
        <v>8</v>
      </c>
      <c r="Q10" s="211" t="s">
        <v>151</v>
      </c>
      <c r="R10" s="211" t="s">
        <v>127</v>
      </c>
      <c r="S10" s="211" t="s">
        <v>128</v>
      </c>
      <c r="T10" s="211" t="s">
        <v>160</v>
      </c>
      <c r="U10" s="211" t="s">
        <v>130</v>
      </c>
      <c r="V10" s="245" t="s">
        <v>131</v>
      </c>
      <c r="W10" s="211" t="s">
        <v>132</v>
      </c>
      <c r="X10" s="216"/>
      <c r="Y10" s="216" t="s">
        <v>150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24</v>
      </c>
      <c r="AK10" s="216">
        <v>0.6</v>
      </c>
      <c r="AL10" s="216"/>
      <c r="AM10" s="216">
        <f>IF(AND((تسعير!$AT$5="جلفنة + جوتن"),(Table158[[#Totals],[المسطح]]+Table1662[[#Totals],[Column12]])&gt;0),(((Table158[[#Totals],[المسطح]]+Table1662[[#Totals],[Column12]])+1)*Table663[[#This Row],[المعدل]]),0)</f>
        <v>3.0240000000000005</v>
      </c>
      <c r="AN10" s="216"/>
      <c r="AO10" s="216" t="s">
        <v>249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spans="1:54" s="187" customFormat="1" ht="18.75">
      <c r="A11" s="187" t="s">
        <v>250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34</v>
      </c>
      <c r="O11" s="214"/>
      <c r="P11" s="214"/>
      <c r="Q11" s="214"/>
      <c r="R11" s="211" t="s">
        <v>162</v>
      </c>
      <c r="S11" s="211"/>
      <c r="T11" s="242"/>
      <c r="U11" s="246">
        <f>Sheet2!B28</f>
        <v>400</v>
      </c>
      <c r="V11" s="240">
        <f t="shared" ref="V11:V17" si="1">M11*U11</f>
        <v>400</v>
      </c>
      <c r="W11" s="241">
        <f t="shared" ref="W11:W17" ca="1" si="2">(V11)/$R$71</f>
        <v>5.4425434093860739E-3</v>
      </c>
      <c r="X11" s="216"/>
      <c r="Y11" s="216" t="s">
        <v>152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26</v>
      </c>
      <c r="AK11" s="216">
        <v>0.6</v>
      </c>
      <c r="AL11" s="216"/>
      <c r="AM11" s="216">
        <f>IF(AND((تسعير!$AT$5="جلفنة + جوتن"),(Table158[[#Totals],[المسطح]]+Table1662[[#Totals],[Column12]])&gt;0),(((Table158[[#Totals],[المسطح]]+Table1662[[#Totals],[Column12]])+1)*Table663[[#This Row],[المعدل]]),0)</f>
        <v>3.0240000000000005</v>
      </c>
      <c r="AN11" s="216"/>
      <c r="AO11" s="216" t="s">
        <v>251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spans="1:54" s="187" customFormat="1" ht="18.75">
      <c r="A12" s="187" t="s">
        <v>252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165</v>
      </c>
      <c r="O12" s="214"/>
      <c r="P12" s="214"/>
      <c r="Q12" s="214"/>
      <c r="R12" s="211" t="s">
        <v>124</v>
      </c>
      <c r="S12" s="211"/>
      <c r="T12" s="242"/>
      <c r="U12" s="246">
        <v>110</v>
      </c>
      <c r="V12" s="240">
        <f t="shared" si="1"/>
        <v>220</v>
      </c>
      <c r="W12" s="241">
        <f t="shared" ca="1" si="2"/>
        <v>2.9933988751623406E-3</v>
      </c>
      <c r="X12" s="216"/>
      <c r="Y12" s="216" t="s">
        <v>78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28</v>
      </c>
      <c r="AK12" s="216">
        <v>0.1</v>
      </c>
      <c r="AL12" s="216"/>
      <c r="AM12" s="216">
        <f>IF(AND((تسعير!$AT$5="جلفنة + جوتن"),(Table158[[#Totals],[المسطح]]+Table1662[[#Totals],[Column12]])&gt;0),(((Table158[[#Totals],[المسطح]]+Table1662[[#Totals],[Column12]])+1)*Table663[[#This Row],[المعدل]]),0)</f>
        <v>0.50400000000000011</v>
      </c>
      <c r="AN12" s="216"/>
      <c r="AO12" s="216" t="s">
        <v>253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spans="1:54" s="187" customFormat="1" ht="18.75">
      <c r="A13" s="187" t="s">
        <v>254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167</v>
      </c>
      <c r="O13" s="214"/>
      <c r="P13" s="214"/>
      <c r="Q13" s="214"/>
      <c r="R13" s="211" t="s">
        <v>124</v>
      </c>
      <c r="S13" s="211"/>
      <c r="T13" s="242"/>
      <c r="U13" s="246">
        <v>130</v>
      </c>
      <c r="V13" s="240">
        <f t="shared" si="1"/>
        <v>130</v>
      </c>
      <c r="W13" s="241">
        <f t="shared" ca="1" si="2"/>
        <v>1.7688266080504742E-3</v>
      </c>
      <c r="X13" s="216"/>
      <c r="Y13" s="216" t="s">
        <v>54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29</v>
      </c>
      <c r="AK13" s="216">
        <v>0.1</v>
      </c>
      <c r="AL13" s="216"/>
      <c r="AM13" s="216">
        <f>IF(AND((تسعير!$AT$5="جلفنة + جوتن"),(Table158[[#Totals],[المسطح]]+Table1662[[#Totals],[Column12]])&gt;0),(((Table158[[#Totals],[المسطح]]+Table1662[[#Totals],[Column12]])+1)*Table663[[#This Row],[المعدل]]),0)</f>
        <v>0.50400000000000011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spans="1:54" s="187" customFormat="1" ht="18.75">
      <c r="A14" s="195" t="s">
        <v>91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12</v>
      </c>
      <c r="N14" s="213" t="s">
        <v>169</v>
      </c>
      <c r="O14" s="214"/>
      <c r="P14" s="214"/>
      <c r="Q14" s="214"/>
      <c r="R14" s="247" t="s">
        <v>170</v>
      </c>
      <c r="S14" s="247"/>
      <c r="T14" s="242"/>
      <c r="U14" s="246">
        <v>50</v>
      </c>
      <c r="V14" s="240">
        <f t="shared" si="1"/>
        <v>600</v>
      </c>
      <c r="W14" s="241">
        <f t="shared" ca="1" si="2"/>
        <v>8.1638151140791104E-3</v>
      </c>
      <c r="X14" s="216"/>
      <c r="Y14" s="216" t="s">
        <v>156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spans="1:54" s="187" customFormat="1" ht="18.75">
      <c r="A15" s="386" t="s">
        <v>146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255</v>
      </c>
      <c r="O15" s="214"/>
      <c r="P15" s="214"/>
      <c r="Q15" s="214"/>
      <c r="R15" s="393" t="s">
        <v>256</v>
      </c>
      <c r="S15" s="250"/>
      <c r="T15" s="393"/>
      <c r="U15" s="248">
        <v>450</v>
      </c>
      <c r="V15" s="240">
        <f t="shared" si="1"/>
        <v>0</v>
      </c>
      <c r="W15" s="241">
        <f t="shared" ca="1" si="2"/>
        <v>0</v>
      </c>
      <c r="X15" s="216"/>
      <c r="Y15" s="216" t="s">
        <v>159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spans="1:54" s="187" customFormat="1" ht="18.75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257</v>
      </c>
      <c r="O16" s="214"/>
      <c r="P16" s="214"/>
      <c r="Q16" s="214"/>
      <c r="R16" s="211" t="s">
        <v>258</v>
      </c>
      <c r="S16" s="211"/>
      <c r="T16" s="242"/>
      <c r="U16" s="243">
        <v>400</v>
      </c>
      <c r="V16" s="240">
        <f t="shared" si="1"/>
        <v>0</v>
      </c>
      <c r="W16" s="241">
        <f t="shared" ca="1" si="2"/>
        <v>0</v>
      </c>
      <c r="X16" s="216"/>
      <c r="Y16" s="216" t="s">
        <v>161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spans="1:54" s="187" customFormat="1" ht="18.75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0</v>
      </c>
      <c r="N17" s="213" t="s">
        <v>36</v>
      </c>
      <c r="O17" s="214"/>
      <c r="P17" s="214"/>
      <c r="Q17" s="214"/>
      <c r="R17" s="211" t="s">
        <v>170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ca="1" si="2"/>
        <v>0</v>
      </c>
      <c r="X17" s="216"/>
      <c r="Y17" s="216" t="s">
        <v>79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spans="1:54" s="187" customFormat="1" ht="18.75">
      <c r="F18" s="384"/>
      <c r="G18" s="195"/>
      <c r="H18" s="195"/>
      <c r="I18" s="195"/>
      <c r="J18" s="195"/>
      <c r="L18" s="211" t="s">
        <v>146</v>
      </c>
      <c r="M18" s="212"/>
      <c r="N18" s="213" t="s">
        <v>146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1350</v>
      </c>
      <c r="W18" s="244">
        <f ca="1">Table1561[[#Totals],[اجمالي]]/$R$71</f>
        <v>1.8368584006677999E-2</v>
      </c>
      <c r="X18" s="216"/>
      <c r="Y18" s="216" t="s">
        <v>77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spans="1:54" ht="18.75">
      <c r="A19" s="388" t="s">
        <v>68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4" t="s">
        <v>175</v>
      </c>
      <c r="P19" s="884"/>
      <c r="Q19" s="884"/>
      <c r="R19" s="884"/>
      <c r="S19" s="884"/>
      <c r="T19" s="884"/>
      <c r="U19" s="216"/>
      <c r="V19" s="216"/>
      <c r="W19" s="216"/>
      <c r="X19" s="216"/>
      <c r="Y19" s="216" t="s">
        <v>166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spans="1:54" ht="18.75">
      <c r="A20" s="384" t="s">
        <v>91</v>
      </c>
      <c r="B20" s="389"/>
      <c r="C20" s="389"/>
      <c r="D20" s="389"/>
      <c r="E20" s="389"/>
      <c r="F20" s="389"/>
      <c r="L20" s="211" t="s">
        <v>123</v>
      </c>
      <c r="M20" s="211" t="s">
        <v>124</v>
      </c>
      <c r="N20" s="218" t="s">
        <v>125</v>
      </c>
      <c r="O20" s="211" t="s">
        <v>9</v>
      </c>
      <c r="P20" s="211" t="s">
        <v>8</v>
      </c>
      <c r="Q20" s="211" t="s">
        <v>151</v>
      </c>
      <c r="R20" s="211" t="s">
        <v>127</v>
      </c>
      <c r="S20" s="211" t="s">
        <v>128</v>
      </c>
      <c r="T20" s="211" t="s">
        <v>160</v>
      </c>
      <c r="U20" s="211" t="s">
        <v>130</v>
      </c>
      <c r="V20" s="245" t="s">
        <v>131</v>
      </c>
      <c r="W20" s="211" t="s">
        <v>132</v>
      </c>
      <c r="X20" s="216"/>
      <c r="Y20" s="216" t="s">
        <v>168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spans="1:54" ht="18.75">
      <c r="A21" s="390"/>
      <c r="L21" s="211">
        <v>3</v>
      </c>
      <c r="M21" s="219">
        <f>IF((N3="A1"),2,IF((N3="A2"),2,0))</f>
        <v>2</v>
      </c>
      <c r="N21" s="220" t="s">
        <v>259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0.36</v>
      </c>
      <c r="R21" s="250" t="s">
        <v>164</v>
      </c>
      <c r="S21" s="250">
        <v>7</v>
      </c>
      <c r="T21" s="211"/>
      <c r="U21" s="243">
        <f>S21*$S$2/1000</f>
        <v>315</v>
      </c>
      <c r="V21" s="240">
        <f>M21*U21</f>
        <v>630</v>
      </c>
      <c r="W21" s="241">
        <f ca="1">(V21)/$R$71</f>
        <v>8.5720058697830673E-3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spans="1:54" ht="18.75">
      <c r="L22" s="211">
        <v>8</v>
      </c>
      <c r="M22" s="212">
        <f>M21*4</f>
        <v>8</v>
      </c>
      <c r="N22" s="213" t="s">
        <v>177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8.0000000000000016E-2</v>
      </c>
      <c r="R22" s="211" t="s">
        <v>164</v>
      </c>
      <c r="S22" s="211">
        <v>0.75</v>
      </c>
      <c r="T22" s="211"/>
      <c r="U22" s="243">
        <f>S22*$S$2/1000</f>
        <v>33.75</v>
      </c>
      <c r="V22" s="240">
        <f>M22*U22</f>
        <v>270</v>
      </c>
      <c r="W22" s="251">
        <f ca="1">(V22)/$R$71</f>
        <v>3.6737168013355999E-3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spans="1:54" ht="18.75">
      <c r="L23" s="211" t="s">
        <v>146</v>
      </c>
      <c r="M23" s="212">
        <f>SUBTOTAL(103,Table1662[عدد])</f>
        <v>2</v>
      </c>
      <c r="N23" s="213" t="s">
        <v>146</v>
      </c>
      <c r="O23" s="214"/>
      <c r="P23" s="214"/>
      <c r="Q23" s="216">
        <f>SUBTOTAL(109,Table1662[Column12])</f>
        <v>0.44</v>
      </c>
      <c r="R23" s="211"/>
      <c r="S23" s="211">
        <f>(S21*M21)+(M22*S22)</f>
        <v>20</v>
      </c>
      <c r="T23" s="211"/>
      <c r="U23" s="242"/>
      <c r="V23" s="240">
        <f>SUBTOTAL(109,Table1662[اجمالي])</f>
        <v>900</v>
      </c>
      <c r="W23" s="244">
        <f ca="1">Table1662[[#Totals],[اجمالي]]/$R$71</f>
        <v>1.2245722671118666E-2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spans="1:54" ht="18.75">
      <c r="L24" s="216"/>
      <c r="M24" s="216"/>
      <c r="N24" s="217"/>
      <c r="O24" s="884" t="s">
        <v>178</v>
      </c>
      <c r="P24" s="884"/>
      <c r="Q24" s="884"/>
      <c r="R24" s="884"/>
      <c r="S24" s="884"/>
      <c r="T24" s="884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spans="1:54" ht="18.75">
      <c r="L25" s="211" t="s">
        <v>123</v>
      </c>
      <c r="M25" s="211" t="s">
        <v>124</v>
      </c>
      <c r="N25" s="218" t="s">
        <v>125</v>
      </c>
      <c r="O25" s="211" t="s">
        <v>9</v>
      </c>
      <c r="P25" s="211" t="s">
        <v>8</v>
      </c>
      <c r="Q25" s="211" t="s">
        <v>151</v>
      </c>
      <c r="R25" s="211" t="s">
        <v>127</v>
      </c>
      <c r="S25" s="211" t="s">
        <v>128</v>
      </c>
      <c r="T25" s="211" t="s">
        <v>160</v>
      </c>
      <c r="U25" s="211" t="s">
        <v>130</v>
      </c>
      <c r="V25" s="245" t="s">
        <v>131</v>
      </c>
      <c r="W25" s="211" t="s">
        <v>132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spans="1:54" ht="18.75">
      <c r="L26" s="211">
        <v>3</v>
      </c>
      <c r="M26" s="222">
        <f>AM7/3</f>
        <v>0</v>
      </c>
      <c r="N26" s="213" t="s">
        <v>30</v>
      </c>
      <c r="O26" s="214"/>
      <c r="P26" s="214"/>
      <c r="Q26" s="214"/>
      <c r="R26" s="211" t="s">
        <v>186</v>
      </c>
      <c r="S26" s="211"/>
      <c r="T26" s="211"/>
      <c r="U26" s="248">
        <f>Sheet2!B24</f>
        <v>400</v>
      </c>
      <c r="V26" s="240">
        <f t="shared" ref="V26:V34" si="3">M26*U26</f>
        <v>0</v>
      </c>
      <c r="W26" s="241">
        <f t="shared" ref="W26:W44" ca="1" si="4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spans="1:54" ht="18.75">
      <c r="L27" s="211">
        <v>4</v>
      </c>
      <c r="M27" s="219">
        <v>3</v>
      </c>
      <c r="N27" s="218" t="s">
        <v>179</v>
      </c>
      <c r="O27" s="211"/>
      <c r="P27" s="211"/>
      <c r="Q27" s="211"/>
      <c r="R27" s="211" t="s">
        <v>180</v>
      </c>
      <c r="S27" s="211"/>
      <c r="T27" s="211"/>
      <c r="U27" s="248">
        <v>15</v>
      </c>
      <c r="V27" s="240">
        <f t="shared" si="3"/>
        <v>45</v>
      </c>
      <c r="W27" s="241">
        <f t="shared" ca="1" si="4"/>
        <v>6.1228613355593332E-4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spans="1:54" ht="18.75">
      <c r="L28" s="211">
        <v>5</v>
      </c>
      <c r="M28" s="212">
        <v>3</v>
      </c>
      <c r="N28" s="218" t="s">
        <v>181</v>
      </c>
      <c r="O28" s="211"/>
      <c r="P28" s="211"/>
      <c r="Q28" s="211"/>
      <c r="R28" s="211" t="s">
        <v>180</v>
      </c>
      <c r="S28" s="211"/>
      <c r="T28" s="211"/>
      <c r="U28" s="248">
        <v>15</v>
      </c>
      <c r="V28" s="240">
        <f t="shared" si="3"/>
        <v>45</v>
      </c>
      <c r="W28" s="241">
        <f t="shared" ca="1" si="4"/>
        <v>6.1228613355593332E-4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spans="1:54" ht="18.75">
      <c r="L29" s="211">
        <v>6</v>
      </c>
      <c r="M29" s="219">
        <v>1</v>
      </c>
      <c r="N29" s="213" t="s">
        <v>182</v>
      </c>
      <c r="O29" s="214"/>
      <c r="P29" s="214"/>
      <c r="Q29" s="214"/>
      <c r="R29" s="211" t="s">
        <v>183</v>
      </c>
      <c r="S29" s="211"/>
      <c r="T29" s="211"/>
      <c r="U29" s="248">
        <v>25</v>
      </c>
      <c r="V29" s="240">
        <f t="shared" si="3"/>
        <v>25</v>
      </c>
      <c r="W29" s="241">
        <f t="shared" ca="1" si="4"/>
        <v>3.4015896308662962E-4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spans="1:54" ht="18.75">
      <c r="L30" s="211">
        <v>7</v>
      </c>
      <c r="M30" s="212">
        <v>1</v>
      </c>
      <c r="N30" s="213" t="s">
        <v>184</v>
      </c>
      <c r="O30" s="214"/>
      <c r="P30" s="214"/>
      <c r="Q30" s="214"/>
      <c r="R30" s="211" t="s">
        <v>183</v>
      </c>
      <c r="S30" s="211"/>
      <c r="T30" s="211"/>
      <c r="U30" s="248">
        <v>150</v>
      </c>
      <c r="V30" s="240">
        <f t="shared" si="3"/>
        <v>150</v>
      </c>
      <c r="W30" s="241">
        <f t="shared" ca="1" si="4"/>
        <v>2.0409537785197776E-3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spans="1:54" ht="18.75">
      <c r="L31" s="211">
        <v>8</v>
      </c>
      <c r="M31" s="219">
        <v>2</v>
      </c>
      <c r="N31" s="213" t="s">
        <v>185</v>
      </c>
      <c r="O31" s="214"/>
      <c r="P31" s="214"/>
      <c r="Q31" s="214"/>
      <c r="R31" s="211" t="s">
        <v>164</v>
      </c>
      <c r="S31" s="211"/>
      <c r="T31" s="211"/>
      <c r="U31" s="248">
        <v>40</v>
      </c>
      <c r="V31" s="240">
        <f t="shared" si="3"/>
        <v>80</v>
      </c>
      <c r="W31" s="241">
        <f t="shared" ca="1" si="4"/>
        <v>1.0885086818772148E-3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spans="1:54" ht="18.75">
      <c r="L32" s="211">
        <v>2</v>
      </c>
      <c r="M32" s="222">
        <f>AM6/1.9</f>
        <v>2.1052631578947367</v>
      </c>
      <c r="N32" s="213" t="s">
        <v>31</v>
      </c>
      <c r="O32" s="214"/>
      <c r="P32" s="214"/>
      <c r="Q32" s="214"/>
      <c r="R32" s="211" t="s">
        <v>187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ca="1" si="4"/>
        <v>2.7212717046930369E-3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spans="12:54" ht="18.75">
      <c r="L33" s="211">
        <v>1</v>
      </c>
      <c r="M33" s="222">
        <f>AM5</f>
        <v>0</v>
      </c>
      <c r="N33" s="213" t="s">
        <v>32</v>
      </c>
      <c r="O33" s="214"/>
      <c r="P33" s="214"/>
      <c r="Q33" s="214"/>
      <c r="R33" s="211" t="s">
        <v>164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ca="1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spans="12:54" ht="18.75">
      <c r="L34" s="211">
        <v>9</v>
      </c>
      <c r="M34" s="222">
        <f>AM8</f>
        <v>0</v>
      </c>
      <c r="N34" s="213" t="s">
        <v>33</v>
      </c>
      <c r="O34" s="214"/>
      <c r="P34" s="214"/>
      <c r="Q34" s="214"/>
      <c r="R34" s="211" t="s">
        <v>164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ca="1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spans="12:54" ht="18.75" hidden="1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t="shared" ref="V35:V44" si="5">M35*U35</f>
        <v>0</v>
      </c>
      <c r="W35" s="251">
        <f t="shared" ca="1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spans="12:54" ht="18.75" hidden="1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ca="1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spans="12:54" ht="18.75" hidden="1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ca="1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spans="12:54" ht="18.75" hidden="1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ca="1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spans="12:54" ht="18.75" hidden="1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ca="1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spans="12:54" ht="18.75">
      <c r="L40" s="211"/>
      <c r="M40" s="212">
        <f>IF((تسعير!AT5="جلفنة + جوتن"),(Table158[[#Totals],[الوزن]]+Table1662[[#Totals],[الوزن]]),0)</f>
        <v>77</v>
      </c>
      <c r="N40" s="213" t="s">
        <v>188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2310</v>
      </c>
      <c r="W40" s="251">
        <f t="shared" ca="1" si="4"/>
        <v>3.1430688189204581E-2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spans="12:54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24</v>
      </c>
      <c r="O41" s="214"/>
      <c r="P41" s="214"/>
      <c r="Q41" s="214"/>
      <c r="R41" s="211" t="s">
        <v>189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ca="1" si="4"/>
        <v>2.4491445342237333E-2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spans="12:54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26</v>
      </c>
      <c r="O42" s="214"/>
      <c r="P42" s="214"/>
      <c r="Q42" s="214"/>
      <c r="R42" s="218" t="s">
        <v>190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ca="1" si="4"/>
        <v>2.9593829788536776E-2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spans="12:54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28</v>
      </c>
      <c r="O43" s="214"/>
      <c r="P43" s="214"/>
      <c r="Q43" s="214"/>
      <c r="R43" s="218" t="s">
        <v>191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ca="1" si="4"/>
        <v>1.2926040597291926E-2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spans="12:5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29</v>
      </c>
      <c r="O44" s="214"/>
      <c r="P44" s="214"/>
      <c r="Q44" s="214"/>
      <c r="R44" s="218" t="s">
        <v>191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ca="1" si="4"/>
        <v>1.2926040597291926E-2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spans="12:54" ht="18.75">
      <c r="L45" s="211" t="s">
        <v>146</v>
      </c>
      <c r="M45" s="212"/>
      <c r="N45" s="213" t="s">
        <v>146</v>
      </c>
      <c r="O45" s="214"/>
      <c r="P45" s="214"/>
      <c r="Q45" s="214"/>
      <c r="R45" s="211" t="s">
        <v>192</v>
      </c>
      <c r="S45" s="211"/>
      <c r="T45" s="211"/>
      <c r="U45" s="242"/>
      <c r="V45" s="240">
        <f>SUBTOTAL(109,Table1359[اجمالي])</f>
        <v>8730</v>
      </c>
      <c r="W45" s="244">
        <f ca="1">Table1359[[#Totals],[اجمالي]]/$R$71</f>
        <v>0.11878350990985106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spans="12:54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spans="12:54" ht="18.75">
      <c r="L47" s="216"/>
      <c r="M47" s="216"/>
      <c r="N47" s="217"/>
      <c r="O47" s="884" t="s">
        <v>228</v>
      </c>
      <c r="P47" s="884"/>
      <c r="Q47" s="884"/>
      <c r="R47" s="884"/>
      <c r="S47" s="884"/>
      <c r="T47" s="884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spans="12:54" ht="18.75">
      <c r="L48" s="211" t="s">
        <v>123</v>
      </c>
      <c r="M48" s="211" t="s">
        <v>124</v>
      </c>
      <c r="N48" s="218" t="s">
        <v>125</v>
      </c>
      <c r="O48" s="211" t="s">
        <v>9</v>
      </c>
      <c r="P48" s="211" t="s">
        <v>8</v>
      </c>
      <c r="Q48" s="211" t="s">
        <v>151</v>
      </c>
      <c r="R48" s="211" t="s">
        <v>127</v>
      </c>
      <c r="S48" s="211" t="s">
        <v>128</v>
      </c>
      <c r="T48" s="211" t="s">
        <v>160</v>
      </c>
      <c r="U48" s="211" t="s">
        <v>130</v>
      </c>
      <c r="V48" s="245" t="s">
        <v>131</v>
      </c>
      <c r="W48" s="211" t="s">
        <v>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spans="12:54" ht="18.75">
      <c r="L49" s="211">
        <v>1</v>
      </c>
      <c r="M49" s="219">
        <v>0</v>
      </c>
      <c r="N49" s="214" t="s">
        <v>260</v>
      </c>
      <c r="O49" s="214"/>
      <c r="P49" s="211"/>
      <c r="Q49" s="216"/>
      <c r="R49" s="247" t="s">
        <v>261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t="shared" ref="W49:W51" ca="1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spans="12:54" ht="18.75">
      <c r="L50" s="211">
        <v>5</v>
      </c>
      <c r="M50" s="219">
        <v>1</v>
      </c>
      <c r="N50" s="213" t="s">
        <v>262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ca="1" si="6"/>
        <v>0.46051400740594095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spans="12:54" ht="18.75">
      <c r="L51" s="211">
        <v>4</v>
      </c>
      <c r="M51" s="212">
        <f>IF((Q67="الاسكندرية"),0.25,0.1)</f>
        <v>0.1</v>
      </c>
      <c r="N51" s="213" t="s">
        <v>202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ca="1" si="6"/>
        <v>4.6051400740594092E-2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spans="12:54" ht="18.75">
      <c r="L52" s="211" t="s">
        <v>146</v>
      </c>
      <c r="M52" s="212"/>
      <c r="N52" s="213" t="s">
        <v>146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37230.050000000003</v>
      </c>
      <c r="W52" s="244">
        <f ca="1">Table161368[[#Totals],[اجمالي]]/$R$71</f>
        <v>0.50656540814653506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spans="12:54" ht="18.75">
      <c r="L53" s="216"/>
      <c r="M53" s="216"/>
      <c r="N53" s="217"/>
      <c r="O53" s="884" t="s">
        <v>203</v>
      </c>
      <c r="P53" s="884"/>
      <c r="Q53" s="884"/>
      <c r="R53" s="884"/>
      <c r="S53" s="884"/>
      <c r="T53" s="884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spans="12:54" ht="18.75">
      <c r="L54" s="211" t="s">
        <v>123</v>
      </c>
      <c r="M54" s="211" t="s">
        <v>124</v>
      </c>
      <c r="N54" s="218" t="s">
        <v>125</v>
      </c>
      <c r="O54" s="211" t="s">
        <v>204</v>
      </c>
      <c r="P54" s="211" t="s">
        <v>110</v>
      </c>
      <c r="Q54" s="211" t="s">
        <v>205</v>
      </c>
      <c r="R54" s="211" t="s">
        <v>206</v>
      </c>
      <c r="S54" s="211" t="s">
        <v>151</v>
      </c>
      <c r="T54" s="211" t="s">
        <v>207</v>
      </c>
      <c r="U54" s="211" t="s">
        <v>208</v>
      </c>
      <c r="V54" s="245" t="s">
        <v>131</v>
      </c>
      <c r="W54" s="211" t="s">
        <v>132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spans="12:54" ht="18.75">
      <c r="L55" s="211">
        <v>1</v>
      </c>
      <c r="M55" s="219">
        <v>2</v>
      </c>
      <c r="N55" s="220" t="s">
        <v>209</v>
      </c>
      <c r="O55" s="211">
        <f>IF((Table161267[[#This Row],[موقع العمل]]="المصنع"),280,IF((Table161267[[#This Row],[موقع العمل]]="الاسكندرية"),320,400))</f>
        <v>280</v>
      </c>
      <c r="P55" s="211">
        <f ca="1">SUMIF(Table1769[Column1],Table161267[[#This Row],[موقع العمل]],$AB$2:$AB$20)</f>
        <v>0</v>
      </c>
      <c r="Q55" s="211" t="s">
        <v>210</v>
      </c>
      <c r="R55" s="214" t="s">
        <v>133</v>
      </c>
      <c r="S55" s="216"/>
      <c r="T55" s="243">
        <f>IF((تسعير!$AT$12="بالتات"),2,1)</f>
        <v>2</v>
      </c>
      <c r="U55" s="243">
        <f ca="1"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560</v>
      </c>
      <c r="V55" s="240">
        <f t="shared" ref="V55:V67" ca="1" si="7">M55*U55</f>
        <v>1120</v>
      </c>
      <c r="W55" s="241">
        <f t="shared" ref="W55:W67" ca="1" si="8">(V55)/$R$71</f>
        <v>1.5239121546281008E-2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spans="12:54" ht="18.75">
      <c r="L56" s="211">
        <v>2</v>
      </c>
      <c r="M56" s="219">
        <v>2</v>
      </c>
      <c r="N56" s="220" t="s">
        <v>211</v>
      </c>
      <c r="O56" s="211">
        <f>IF((Table161267[[#This Row],[موقع العمل]]="المصنع"),280,IF((Table161267[[#This Row],[موقع العمل]]="الاسكندرية"),320,400))</f>
        <v>280</v>
      </c>
      <c r="P56" s="211">
        <f ca="1">SUMIF(Table1769[Column1],Table161267[[#This Row],[موقع العمل]],$AB$2:$AB$20)</f>
        <v>0</v>
      </c>
      <c r="Q56" s="211" t="s">
        <v>210</v>
      </c>
      <c r="R56" s="214" t="s">
        <v>133</v>
      </c>
      <c r="S56" s="216"/>
      <c r="T56" s="243">
        <f>IF((تسعير!$AT$12="بالتات"),2,1)</f>
        <v>2</v>
      </c>
      <c r="U56" s="243">
        <f ca="1"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560</v>
      </c>
      <c r="V56" s="240">
        <f t="shared" ca="1" si="7"/>
        <v>1120</v>
      </c>
      <c r="W56" s="241">
        <f t="shared" ca="1" si="8"/>
        <v>1.5239121546281008E-2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spans="12:54" ht="18.75">
      <c r="L57" s="211">
        <v>3</v>
      </c>
      <c r="M57" s="219">
        <v>3</v>
      </c>
      <c r="N57" s="220" t="s">
        <v>212</v>
      </c>
      <c r="O57" s="211">
        <f>IF((Table161267[[#This Row],[موقع العمل]]="المصنع"),280,IF((Table161267[[#This Row],[موقع العمل]]="الاسكندرية"),320,400))</f>
        <v>280</v>
      </c>
      <c r="P57" s="211">
        <f ca="1">SUMIF(Table1769[Column1],Table161267[[#This Row],[موقع العمل]],$AB$2:$AB$20)</f>
        <v>0</v>
      </c>
      <c r="Q57" s="211" t="s">
        <v>210</v>
      </c>
      <c r="R57" s="214" t="s">
        <v>133</v>
      </c>
      <c r="S57" s="216"/>
      <c r="T57" s="243">
        <v>1</v>
      </c>
      <c r="U57" s="243">
        <f ca="1"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ca="1" si="7"/>
        <v>840</v>
      </c>
      <c r="W57" s="241">
        <f t="shared" ca="1" si="8"/>
        <v>1.1429341159710756E-2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spans="12:54" ht="18.75">
      <c r="L58" s="211">
        <v>4</v>
      </c>
      <c r="M58" s="212">
        <v>3</v>
      </c>
      <c r="N58" s="220" t="s">
        <v>213</v>
      </c>
      <c r="O58" s="211">
        <f>IF((Table161267[[#This Row],[موقع العمل]]="المصنع"),280,IF((Table161267[[#This Row],[موقع العمل]]="الاسكندرية"),320,400))</f>
        <v>280</v>
      </c>
      <c r="P58" s="211">
        <f ca="1">SUMIF(Table1769[Column1],Table161267[[#This Row],[موقع العمل]],$AB$2:$AB$20)</f>
        <v>0</v>
      </c>
      <c r="Q58" s="211" t="s">
        <v>210</v>
      </c>
      <c r="R58" s="214" t="s">
        <v>133</v>
      </c>
      <c r="S58" s="216"/>
      <c r="T58" s="243">
        <v>1</v>
      </c>
      <c r="U58" s="243">
        <f ca="1"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ca="1" si="7"/>
        <v>840</v>
      </c>
      <c r="W58" s="241">
        <f t="shared" ca="1" si="8"/>
        <v>1.1429341159710756E-2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spans="12:54" ht="18.75">
      <c r="L59" s="211">
        <v>5</v>
      </c>
      <c r="M59" s="212">
        <v>4</v>
      </c>
      <c r="N59" s="220" t="s">
        <v>214</v>
      </c>
      <c r="O59" s="211">
        <f>IF((Table161267[[#This Row],[موقع العمل]]="المصنع"),280,IF((Table161267[[#This Row],[موقع العمل]]="الاسكندرية"),320,400))</f>
        <v>400</v>
      </c>
      <c r="P59" s="211">
        <f ca="1">SUMIF(Table1769[Column1],Table161267[[#This Row],[موقع العمل]],$AB$2:$AB$20)</f>
        <v>100</v>
      </c>
      <c r="Q59" s="211" t="str">
        <f>تسعير!$AT$4</f>
        <v>الشيخ زايد</v>
      </c>
      <c r="R59" s="214" t="s">
        <v>133</v>
      </c>
      <c r="S59" s="216"/>
      <c r="T59" s="243">
        <f>IF((تسعير!$AT$12="بالتات"),1,2)</f>
        <v>1</v>
      </c>
      <c r="U59" s="243">
        <f ca="1"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59" s="240">
        <f t="shared" ca="1" si="7"/>
        <v>2000</v>
      </c>
      <c r="W59" s="241">
        <f t="shared" ca="1" si="8"/>
        <v>2.721271704693037E-2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spans="12:54" ht="18.75">
      <c r="L60" s="211">
        <v>6</v>
      </c>
      <c r="M60" s="212">
        <v>3</v>
      </c>
      <c r="N60" s="220" t="s">
        <v>215</v>
      </c>
      <c r="O60" s="211">
        <f>IF((Table161267[[#This Row],[موقع العمل]]="المصنع"),280,IF((Table161267[[#This Row],[موقع العمل]]="الاسكندرية"),320,400))</f>
        <v>400</v>
      </c>
      <c r="P60" s="211">
        <f ca="1">SUMIF(Table1769[Column1],Table161267[[#This Row],[موقع العمل]],$AB$2:$AB$20)</f>
        <v>100</v>
      </c>
      <c r="Q60" s="211" t="str">
        <f>تسعير!$AT$4</f>
        <v>الشيخ زايد</v>
      </c>
      <c r="R60" s="214" t="s">
        <v>133</v>
      </c>
      <c r="S60" s="216"/>
      <c r="T60" s="243">
        <f>IF((تسعير!$AT$12="بالتات"),0,2)</f>
        <v>0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0" s="240">
        <f t="shared" si="7"/>
        <v>0</v>
      </c>
      <c r="W60" s="241">
        <f t="shared" ca="1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spans="12:54" ht="18.75">
      <c r="L61" s="211">
        <v>7</v>
      </c>
      <c r="M61" s="212">
        <v>0</v>
      </c>
      <c r="N61" s="220" t="s">
        <v>216</v>
      </c>
      <c r="O61" s="211">
        <f>IF((Table161267[[#This Row],[موقع العمل]]="المصنع"),280,IF((Table161267[[#This Row],[موقع العمل]]="الاسكندرية"),320,400))</f>
        <v>400</v>
      </c>
      <c r="P61" s="211">
        <f ca="1">SUMIF(Table1769[Column1],Table161267[[#This Row],[موقع العمل]],$AB$2:$AB$20)</f>
        <v>100</v>
      </c>
      <c r="Q61" s="211" t="str">
        <f>تسعير!$AT$4</f>
        <v>الشيخ زايد</v>
      </c>
      <c r="R61" s="214" t="s">
        <v>133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ca="1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spans="12:54" ht="18.75">
      <c r="L62" s="211">
        <v>8</v>
      </c>
      <c r="M62" s="212">
        <v>4</v>
      </c>
      <c r="N62" s="220" t="s">
        <v>217</v>
      </c>
      <c r="O62" s="211">
        <f>IF((Table161267[[#This Row],[موقع العمل]]="المصنع"),280,IF((Table161267[[#This Row],[موقع العمل]]="الاسكندرية"),320,400))</f>
        <v>400</v>
      </c>
      <c r="P62" s="211">
        <f ca="1">SUMIF(Table1769[Column1],Table161267[[#This Row],[موقع العمل]],$AB$2:$AB$20)</f>
        <v>100</v>
      </c>
      <c r="Q62" s="211" t="str">
        <f>تسعير!$AT$4</f>
        <v>الشيخ زايد</v>
      </c>
      <c r="R62" s="214" t="s">
        <v>133</v>
      </c>
      <c r="S62" s="216"/>
      <c r="T62" s="243">
        <v>1</v>
      </c>
      <c r="U62" s="243">
        <f ca="1"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ca="1" si="7"/>
        <v>2000</v>
      </c>
      <c r="W62" s="241">
        <f t="shared" ca="1" si="8"/>
        <v>2.721271704693037E-2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spans="12:54" ht="18.75">
      <c r="L63" s="211">
        <v>9</v>
      </c>
      <c r="M63" s="212">
        <f>(M59+M60+M61+M62)*2</f>
        <v>22</v>
      </c>
      <c r="N63" s="220" t="s">
        <v>218</v>
      </c>
      <c r="O63" s="211"/>
      <c r="P63" s="211"/>
      <c r="Q63" s="211" t="str">
        <f>تسعير!$AT$4</f>
        <v>الشيخ زايد</v>
      </c>
      <c r="R63" s="214"/>
      <c r="S63" s="247">
        <f ca="1">SUMIF(Table1769[Column1],Table161267[[#This Row],[موقع العمل]],$Z$2:$Z$20)</f>
        <v>400</v>
      </c>
      <c r="T63" s="247"/>
      <c r="U63" s="243">
        <f ca="1">Table161267[[#This Row],[Column12]]</f>
        <v>400</v>
      </c>
      <c r="V63" s="240">
        <f t="shared" ca="1" si="7"/>
        <v>8800</v>
      </c>
      <c r="W63" s="241">
        <f t="shared" ca="1" si="8"/>
        <v>0.11973595500649363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spans="12:54" ht="18.75">
      <c r="L64" s="211">
        <v>10</v>
      </c>
      <c r="M64" s="212">
        <f>IF((تسعير!$AT$12="بالتات"),0,((T59+T60+T61+T62)*2)-3)</f>
        <v>0</v>
      </c>
      <c r="N64" s="220" t="s">
        <v>219</v>
      </c>
      <c r="O64" s="211"/>
      <c r="P64" s="211"/>
      <c r="Q64" s="211" t="str">
        <f>تسعير!$AT$4</f>
        <v>الشيخ زايد</v>
      </c>
      <c r="R64" s="214"/>
      <c r="S64" s="247">
        <f ca="1">SUMIF(Table1769[Column1],Table161267[[#This Row],[موقع العمل]],$AA$2:$AA$20)</f>
        <v>400</v>
      </c>
      <c r="T64" s="247"/>
      <c r="U64" s="243">
        <f ca="1">Table161267[[#This Row],[Column12]]</f>
        <v>400</v>
      </c>
      <c r="V64" s="240">
        <f t="shared" ca="1" si="7"/>
        <v>0</v>
      </c>
      <c r="W64" s="241">
        <f t="shared" ca="1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spans="12:54" ht="18.75">
      <c r="L65" s="211">
        <v>11</v>
      </c>
      <c r="M65" s="212">
        <v>0</v>
      </c>
      <c r="N65" s="220" t="s">
        <v>220</v>
      </c>
      <c r="O65" s="211"/>
      <c r="P65" s="211"/>
      <c r="Q65" s="211" t="str">
        <f>تسعير!$AT$4</f>
        <v>الشيخ زايد</v>
      </c>
      <c r="R65" s="214"/>
      <c r="S65" s="247">
        <f ca="1">SUMIF(Table1769[Column1],Table161267[[#This Row],[موقع العمل]],$AC$2:$AC$20)</f>
        <v>3500</v>
      </c>
      <c r="T65" s="247"/>
      <c r="U65" s="243">
        <f ca="1">Table161267[[#This Row],[Column12]]</f>
        <v>3500</v>
      </c>
      <c r="V65" s="240">
        <f t="shared" ca="1" si="7"/>
        <v>0</v>
      </c>
      <c r="W65" s="241">
        <f t="shared" ca="1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spans="12:54" ht="18.75">
      <c r="L66" s="211">
        <v>12</v>
      </c>
      <c r="M66" s="212">
        <f>IF((تسعير!$AT$12="بالتات"),1,2)</f>
        <v>1</v>
      </c>
      <c r="N66" s="220" t="s">
        <v>221</v>
      </c>
      <c r="O66" s="211"/>
      <c r="P66" s="211"/>
      <c r="Q66" s="211" t="str">
        <f>تسعير!$AT$4</f>
        <v>الشيخ زايد</v>
      </c>
      <c r="R66" s="214"/>
      <c r="S66" s="247">
        <f ca="1">SUMIF(Table1769[Column1],Table161267[[#This Row],[موقع العمل]],$AD$2:$AD$20)</f>
        <v>6000</v>
      </c>
      <c r="T66" s="247"/>
      <c r="U66" s="243">
        <f ca="1">Table161267[[#This Row],[Column12]]</f>
        <v>6000</v>
      </c>
      <c r="V66" s="240">
        <f t="shared" ca="1" si="7"/>
        <v>6000</v>
      </c>
      <c r="W66" s="241">
        <f t="shared" ca="1" si="8"/>
        <v>8.1638151140791107E-2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spans="12:54" ht="18.75">
      <c r="L67" s="211">
        <v>13</v>
      </c>
      <c r="M67" s="212">
        <f>IF((تسعير!$AT$12="بالتات"),0,M64-2)</f>
        <v>0</v>
      </c>
      <c r="N67" s="220" t="s">
        <v>113</v>
      </c>
      <c r="O67" s="211"/>
      <c r="P67" s="211"/>
      <c r="Q67" s="211" t="str">
        <f>تسعير!$AT$4</f>
        <v>الشيخ زايد</v>
      </c>
      <c r="R67" s="214"/>
      <c r="S67" s="247">
        <f ca="1">SUMIF(Table1769[Column1],Table161267[[#This Row],[موقع العمل]],$AE$2:$AE$8)</f>
        <v>150</v>
      </c>
      <c r="T67" s="247"/>
      <c r="U67" s="243">
        <f ca="1">Table161267[[#This Row],[Column12]]</f>
        <v>150</v>
      </c>
      <c r="V67" s="240">
        <f t="shared" ca="1" si="7"/>
        <v>0</v>
      </c>
      <c r="W67" s="241">
        <f t="shared" ca="1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spans="12:54" ht="18.75">
      <c r="L68" s="571" t="s">
        <v>146</v>
      </c>
      <c r="M68" s="570"/>
      <c r="N68" s="549" t="s">
        <v>146</v>
      </c>
      <c r="O68" s="571"/>
      <c r="P68" s="571"/>
      <c r="Q68" s="572"/>
      <c r="R68" s="572"/>
      <c r="S68" s="573">
        <f ca="1">SUBTOTAL(109,Table161267[Column12])</f>
        <v>10450</v>
      </c>
      <c r="T68" s="571"/>
      <c r="U68" s="242"/>
      <c r="V68" s="574">
        <f ca="1">SUBTOTAL(109,Table161267[اجمالي])</f>
        <v>22720</v>
      </c>
      <c r="W68" s="575">
        <f ca="1">Table161267[[#Totals],[اجمالي]]/$R$71</f>
        <v>0.30913646565312902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spans="12:54" ht="18.75">
      <c r="L69" s="216"/>
      <c r="M69" s="216"/>
      <c r="N69" s="217"/>
      <c r="O69" s="889"/>
      <c r="P69" s="889"/>
      <c r="Q69" s="889"/>
      <c r="R69" s="889"/>
      <c r="S69" s="889"/>
      <c r="T69" s="88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spans="12:54" ht="18.75">
      <c r="L70" s="211"/>
      <c r="M70" s="211"/>
      <c r="N70" s="218" t="s">
        <v>8</v>
      </c>
      <c r="O70" s="211" t="s">
        <v>222</v>
      </c>
      <c r="P70" s="211" t="s">
        <v>223</v>
      </c>
      <c r="Q70" s="211" t="s">
        <v>3</v>
      </c>
      <c r="R70" s="211" t="s">
        <v>9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spans="12:54" ht="18.75">
      <c r="L71" s="211"/>
      <c r="M71" s="219"/>
      <c r="N71" s="213" t="s">
        <v>224</v>
      </c>
      <c r="O71" s="214"/>
      <c r="P71" s="211"/>
      <c r="Q71" s="280"/>
      <c r="R71" s="281">
        <f ca="1">Table161267[[#Totals],[اجمالي]]+Table161368[[#Totals],[اجمالي]]+Table1359[[#Totals],[اجمالي]]+Table1662[[#Totals],[اجمالي]]+Table1561[[#Totals],[اجمالي]]+Table158[[#Totals],[اجمالي]]</f>
        <v>73495.05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spans="12:54" ht="18.75">
      <c r="L72" s="211"/>
      <c r="M72" s="212"/>
      <c r="N72" s="213" t="s">
        <v>225</v>
      </c>
      <c r="O72" s="214"/>
      <c r="P72" s="211"/>
      <c r="Q72" s="310">
        <f t="shared" ref="Q72" si="9">IF((Q67="المقطم"),0.3,IF((Q67="التجمع"),0.3,IF((Q67="الشيخ زايد"),0.3,IF((Q67="الاسكندرية"),0.5,0.35))))</f>
        <v>0.3</v>
      </c>
      <c r="R72" s="281">
        <f ca="1">R71*(1+Table1870[[#This Row],[Column3]])</f>
        <v>95543.565000000002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spans="12:54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spans="12:5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spans="12:54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spans="12:54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spans="12:54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spans="12:54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spans="12:54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spans="12:54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spans="24:54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spans="24:54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spans="24:54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spans="24:5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spans="24:54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spans="24:54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spans="24:54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spans="24:54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spans="24:54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spans="24:54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spans="24:54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spans="24:54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spans="24:54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spans="24:5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spans="24:54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spans="24:54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spans="24:54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spans="24:54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spans="24:54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spans="24:54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spans="24:54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spans="24:54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spans="24:54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spans="24:5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spans="24:54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spans="24:54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spans="24:54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spans="24:54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spans="24:54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spans="24:54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spans="24:54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spans="24:54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spans="24:54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spans="24:5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spans="24:54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spans="24:54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spans="24:54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spans="24:54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spans="24:54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spans="24:54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spans="24:54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spans="24:54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spans="24:54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spans="24:5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spans="24:54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spans="24:54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spans="24:54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spans="24:54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spans="24:54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spans="24:54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spans="24:54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spans="24:54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spans="24:54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spans="24:5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spans="24:54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spans="24:54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spans="24:54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spans="24:54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spans="24:54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 spans="24:54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 spans="24:54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 spans="24:54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 spans="24:54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 spans="24:5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 spans="24:54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 spans="24:54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 spans="24:54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 spans="24:54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 spans="24:54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 spans="24:54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 spans="24:54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 spans="24:54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 spans="24:54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 spans="24: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 spans="24:54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 spans="24:54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 spans="24:54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 spans="24:54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 spans="24:54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 spans="24:54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 spans="24:54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 spans="24:54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 spans="24:54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 spans="24:5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 spans="24:54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 spans="24:54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 spans="24:54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 spans="24:54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 spans="24:54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 spans="24:54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 spans="24:54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 spans="24:54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 spans="24:54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 spans="24:5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 spans="24:54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 spans="24:54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 spans="24:54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 spans="24:54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 spans="24:54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 count="10"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40625" defaultRowHeight="15"/>
  <cols>
    <col min="1" max="1" width="38.28515625" style="1" customWidth="1"/>
    <col min="2" max="3" width="13" style="1" customWidth="1"/>
    <col min="4" max="4" width="11" style="1" customWidth="1"/>
    <col min="5" max="5" width="14.140625" style="1" customWidth="1"/>
    <col min="6" max="6" width="19.85546875" style="1" customWidth="1"/>
    <col min="7" max="7" width="5.5703125" style="1" customWidth="1"/>
    <col min="8" max="8" width="4.28515625" style="1" customWidth="1"/>
    <col min="9" max="9" width="4" style="1" customWidth="1"/>
    <col min="10" max="10" width="9.140625" style="1"/>
    <col min="11" max="11" width="9.140625" style="1" customWidth="1"/>
    <col min="12" max="12" width="5.85546875" style="1" customWidth="1"/>
    <col min="13" max="13" width="15.140625" style="1" customWidth="1"/>
    <col min="14" max="14" width="56.28515625" style="1" customWidth="1"/>
    <col min="15" max="17" width="9.140625" style="1"/>
    <col min="18" max="18" width="19.28515625" style="1" customWidth="1"/>
    <col min="19" max="19" width="16.42578125" style="1" customWidth="1"/>
    <col min="20" max="20" width="20.7109375" style="1" customWidth="1"/>
    <col min="21" max="21" width="25.28515625" style="1" customWidth="1"/>
    <col min="22" max="22" width="16.85546875" style="1" customWidth="1"/>
    <col min="23" max="23" width="18.140625" style="1" customWidth="1"/>
    <col min="24" max="24" width="9.140625" style="1"/>
    <col min="25" max="25" width="14.5703125" style="1" customWidth="1"/>
    <col min="26" max="35" width="9.140625" style="1"/>
    <col min="36" max="36" width="55.140625" style="1" customWidth="1"/>
    <col min="37" max="37" width="9.140625" style="1"/>
    <col min="38" max="38" width="19.5703125" style="1" customWidth="1"/>
    <col min="39" max="39" width="18.42578125" style="1" customWidth="1"/>
    <col min="40" max="16384" width="9.140625" style="1"/>
  </cols>
  <sheetData>
    <row r="1" spans="1:45" ht="21">
      <c r="A1" s="382" t="s">
        <v>229</v>
      </c>
      <c r="B1" s="269">
        <f>(F1*D1)/10000</f>
        <v>35</v>
      </c>
      <c r="C1" s="270" t="s">
        <v>230</v>
      </c>
      <c r="D1" s="271">
        <f>تسعير!BL12</f>
        <v>700</v>
      </c>
      <c r="E1" s="270" t="s">
        <v>198</v>
      </c>
      <c r="F1" s="271">
        <f>تسعير!BG10</f>
        <v>500</v>
      </c>
      <c r="G1" s="167"/>
      <c r="H1" s="167"/>
      <c r="I1" s="167"/>
      <c r="J1" s="167"/>
      <c r="K1" s="167"/>
      <c r="L1" s="878" t="s">
        <v>99</v>
      </c>
      <c r="M1" s="879"/>
      <c r="N1" s="880"/>
      <c r="O1" s="201" t="s">
        <v>100</v>
      </c>
      <c r="P1" s="202" t="s">
        <v>101</v>
      </c>
      <c r="Q1" s="223" t="s">
        <v>102</v>
      </c>
      <c r="R1" s="224" t="s">
        <v>103</v>
      </c>
      <c r="S1" s="224" t="s">
        <v>104</v>
      </c>
      <c r="T1" s="224" t="s">
        <v>105</v>
      </c>
      <c r="U1" s="224" t="s">
        <v>106</v>
      </c>
      <c r="V1" s="392" t="s">
        <v>107</v>
      </c>
      <c r="W1" s="233"/>
      <c r="X1" s="207"/>
      <c r="Y1" s="207" t="s">
        <v>8</v>
      </c>
      <c r="Z1" s="207" t="s">
        <v>108</v>
      </c>
      <c r="AA1" s="207" t="s">
        <v>109</v>
      </c>
      <c r="AB1" s="207" t="s">
        <v>110</v>
      </c>
      <c r="AC1" s="207" t="s">
        <v>111</v>
      </c>
      <c r="AD1" s="207" t="s">
        <v>112</v>
      </c>
      <c r="AE1" s="207" t="s">
        <v>113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spans="1:45" ht="21">
      <c r="A2" s="383" t="s">
        <v>231</v>
      </c>
      <c r="B2" s="187" t="s">
        <v>232</v>
      </c>
      <c r="C2" s="187" t="s">
        <v>233</v>
      </c>
      <c r="D2" s="187" t="s">
        <v>160</v>
      </c>
      <c r="E2" s="187" t="s">
        <v>234</v>
      </c>
      <c r="F2" s="187" t="s">
        <v>224</v>
      </c>
      <c r="G2" s="1" t="s">
        <v>8</v>
      </c>
      <c r="H2" s="1" t="s">
        <v>9</v>
      </c>
      <c r="I2" s="1" t="s">
        <v>3</v>
      </c>
      <c r="J2" s="1" t="s">
        <v>122</v>
      </c>
      <c r="L2" s="881"/>
      <c r="M2" s="882"/>
      <c r="N2" s="883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114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spans="1:45" ht="21">
      <c r="A3" s="187" t="s">
        <v>235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5" t="s">
        <v>115</v>
      </c>
      <c r="M3" s="886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116</v>
      </c>
      <c r="R3" s="887">
        <f ca="1">NOW()</f>
        <v>46132.673925578703</v>
      </c>
      <c r="S3" s="888"/>
      <c r="T3" s="888"/>
      <c r="U3" s="235"/>
      <c r="V3" s="235"/>
      <c r="W3" s="235"/>
      <c r="X3" s="207"/>
      <c r="Y3" s="216" t="s">
        <v>96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spans="1:45" s="187" customFormat="1" ht="18.75">
      <c r="A4" s="187" t="s">
        <v>236</v>
      </c>
      <c r="B4" s="187">
        <f>MAX(G4:J4)</f>
        <v>5</v>
      </c>
      <c r="C4" s="187">
        <v>0.56000000000000005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4" t="s">
        <v>117</v>
      </c>
      <c r="P4" s="884"/>
      <c r="Q4" s="884"/>
      <c r="R4" s="884"/>
      <c r="S4" s="884"/>
      <c r="T4" s="884"/>
      <c r="U4" s="236"/>
      <c r="V4" s="236"/>
      <c r="W4" s="236"/>
      <c r="X4" s="207"/>
      <c r="Y4" s="216" t="s">
        <v>53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118</v>
      </c>
      <c r="AG4" s="207"/>
      <c r="AH4" s="207"/>
      <c r="AI4" s="207"/>
      <c r="AJ4" s="207" t="s">
        <v>119</v>
      </c>
      <c r="AK4" s="207" t="s">
        <v>120</v>
      </c>
      <c r="AL4" s="207" t="s">
        <v>121</v>
      </c>
      <c r="AM4" s="207" t="s">
        <v>122</v>
      </c>
      <c r="AN4" s="207"/>
      <c r="AO4" s="207"/>
      <c r="AP4" s="207"/>
      <c r="AQ4" s="207"/>
      <c r="AR4" s="207"/>
      <c r="AS4" s="207"/>
    </row>
    <row r="5" spans="1:45" s="187" customFormat="1" ht="18.75">
      <c r="A5" s="187" t="s">
        <v>238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123</v>
      </c>
      <c r="M5" s="208" t="s">
        <v>124</v>
      </c>
      <c r="N5" s="210" t="s">
        <v>125</v>
      </c>
      <c r="O5" s="208" t="s">
        <v>9</v>
      </c>
      <c r="P5" s="208" t="s">
        <v>8</v>
      </c>
      <c r="Q5" s="208" t="s">
        <v>126</v>
      </c>
      <c r="R5" s="237" t="s">
        <v>127</v>
      </c>
      <c r="S5" s="237" t="s">
        <v>128</v>
      </c>
      <c r="T5" s="237" t="s">
        <v>160</v>
      </c>
      <c r="U5" s="237" t="s">
        <v>130</v>
      </c>
      <c r="V5" s="238" t="s">
        <v>131</v>
      </c>
      <c r="W5" s="237" t="s">
        <v>132</v>
      </c>
      <c r="X5" s="207"/>
      <c r="Y5" s="216" t="s">
        <v>89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133</v>
      </c>
      <c r="AG5" s="207"/>
      <c r="AH5" s="207"/>
      <c r="AI5" s="207"/>
      <c r="AJ5" s="233" t="s">
        <v>134</v>
      </c>
      <c r="AK5" s="233">
        <v>0.4</v>
      </c>
      <c r="AL5" s="237" t="s">
        <v>135</v>
      </c>
      <c r="AM5" s="216">
        <f>IF((تسعير!BE5="ايبوكسي + دوكو"),IF(((Table15855[[#Totals],[المسطح]]+Table166241[[#Totals],[Column12]])&gt;0),(Table15855[[#Totals],[المسطح]]+Table166241[[#Totals],[Column12]]+1)*Table66342[[#This Row],[المعدل]]),0)</f>
        <v>3.632000000000001</v>
      </c>
      <c r="AN5" s="207"/>
      <c r="AO5" s="207"/>
      <c r="AP5" s="207"/>
      <c r="AQ5" s="207"/>
      <c r="AR5" s="207"/>
      <c r="AS5" s="207"/>
    </row>
    <row r="6" spans="1:45" s="187" customFormat="1" ht="18.75">
      <c r="A6" s="187" t="s">
        <v>240</v>
      </c>
      <c r="B6" s="187">
        <f>E4*2</f>
        <v>26</v>
      </c>
      <c r="D6" s="187">
        <v>15</v>
      </c>
      <c r="F6" s="384">
        <f t="shared" ref="F6:F14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136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137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88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31</v>
      </c>
      <c r="AK6" s="216">
        <v>0.25</v>
      </c>
      <c r="AL6" s="216" t="s">
        <v>138</v>
      </c>
      <c r="AM6" s="216">
        <f>AM5*Table66342[[#This Row],[المعدل]]+4</f>
        <v>4.9080000000000004</v>
      </c>
      <c r="AN6" s="216"/>
      <c r="AO6" s="216"/>
      <c r="AP6" s="216"/>
      <c r="AQ6" s="216"/>
      <c r="AR6" s="216"/>
      <c r="AS6" s="216"/>
    </row>
    <row r="7" spans="1:45" s="187" customFormat="1" ht="18.75">
      <c r="A7" s="187" t="s">
        <v>242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227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137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4.6705569968494523E-2</v>
      </c>
      <c r="X7" s="216"/>
      <c r="Y7" s="216" t="s">
        <v>140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141</v>
      </c>
      <c r="AK7" s="216">
        <v>0.25</v>
      </c>
      <c r="AL7" s="211" t="s">
        <v>142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spans="1:45" s="187" customFormat="1" ht="18.75">
      <c r="A8" s="187" t="s">
        <v>244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146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4.6705569968494523E-2</v>
      </c>
      <c r="X8" s="216"/>
      <c r="Y8" s="216" t="s">
        <v>144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145</v>
      </c>
      <c r="AK8" s="216">
        <v>0.4</v>
      </c>
      <c r="AL8" s="211" t="s">
        <v>142</v>
      </c>
      <c r="AM8" s="216">
        <f>IF((تسعير!BE5="ايبوكسي + دوكو"),IF(((Table15855[[#Totals],[المسطح]]+Table166241[[#Totals],[Column12]])&gt;0),(Table15855[[#Totals],[المسطح]]+Table166241[[#Totals],[Column12]]+1)*Table66342[[#This Row],[المعدل]]),0)</f>
        <v>3.632000000000001</v>
      </c>
      <c r="AN8" s="216"/>
      <c r="AO8" s="216"/>
      <c r="AP8" s="216"/>
      <c r="AQ8" s="216"/>
      <c r="AR8" s="216"/>
      <c r="AS8" s="216"/>
    </row>
    <row r="9" spans="1:45" s="187" customFormat="1" ht="18.75">
      <c r="A9" s="187" t="s">
        <v>246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4" t="s">
        <v>158</v>
      </c>
      <c r="P9" s="884"/>
      <c r="Q9" s="884"/>
      <c r="R9" s="884"/>
      <c r="S9" s="884"/>
      <c r="T9" s="884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147</v>
      </c>
      <c r="AK9" s="216"/>
      <c r="AL9" s="216" t="s">
        <v>148</v>
      </c>
      <c r="AM9" s="216"/>
      <c r="AN9" s="216"/>
      <c r="AO9" s="216"/>
      <c r="AP9" s="216"/>
      <c r="AQ9" s="216"/>
      <c r="AR9" s="216"/>
      <c r="AS9" s="216"/>
    </row>
    <row r="10" spans="1:45" s="187" customFormat="1" ht="18.75">
      <c r="A10" s="187" t="s">
        <v>248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123</v>
      </c>
      <c r="M10" s="211" t="s">
        <v>124</v>
      </c>
      <c r="N10" s="218" t="s">
        <v>125</v>
      </c>
      <c r="O10" s="211" t="s">
        <v>9</v>
      </c>
      <c r="P10" s="211" t="s">
        <v>8</v>
      </c>
      <c r="Q10" s="211" t="s">
        <v>151</v>
      </c>
      <c r="R10" s="211" t="s">
        <v>127</v>
      </c>
      <c r="S10" s="211" t="s">
        <v>128</v>
      </c>
      <c r="T10" s="211" t="s">
        <v>160</v>
      </c>
      <c r="U10" s="211" t="s">
        <v>130</v>
      </c>
      <c r="V10" s="245" t="s">
        <v>131</v>
      </c>
      <c r="W10" s="211" t="s">
        <v>132</v>
      </c>
      <c r="X10" s="216"/>
      <c r="Y10" s="216" t="s">
        <v>150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24</v>
      </c>
      <c r="AK10" s="216">
        <v>0.6</v>
      </c>
      <c r="AL10" s="216"/>
      <c r="AM10" s="216">
        <f>IF(AND((تسعير!$BE$5="جلفنة + جوتن"),(Table15855[[#Totals],[المسطح]]+Table166241[[#Totals],[Column12]])&gt;0),(((Table15855[[#Totals],[المسطح]]+Table166241[[#Totals],[Column12]])+1)*Table66342[[#This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spans="1:45" s="187" customFormat="1" ht="18.75">
      <c r="A11" s="187" t="s">
        <v>250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34</v>
      </c>
      <c r="O11" s="214"/>
      <c r="P11" s="214"/>
      <c r="Q11" s="214"/>
      <c r="R11" s="211" t="s">
        <v>162</v>
      </c>
      <c r="S11" s="211"/>
      <c r="T11" s="242"/>
      <c r="U11" s="246">
        <f>Sheet2!B28</f>
        <v>400</v>
      </c>
      <c r="V11" s="240">
        <f t="shared" ref="V11:V17" si="1">M11*U11</f>
        <v>400</v>
      </c>
      <c r="W11" s="241">
        <f t="shared" ref="W11:W17" si="2">(V11)/$R$71</f>
        <v>3.6417598415980136E-3</v>
      </c>
      <c r="X11" s="216"/>
      <c r="Y11" s="216" t="s">
        <v>152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25</v>
      </c>
      <c r="AK11" s="216"/>
      <c r="AL11" s="216"/>
      <c r="AM11" s="216">
        <f>IF(AND((تسعير!$BE$5="جلفنة +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spans="1:45" s="187" customFormat="1" ht="18.75">
      <c r="A12" s="187" t="s">
        <v>252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165</v>
      </c>
      <c r="O12" s="214"/>
      <c r="P12" s="214"/>
      <c r="Q12" s="214"/>
      <c r="R12" s="211" t="s">
        <v>124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2.0029679128789075E-3</v>
      </c>
      <c r="X12" s="216"/>
      <c r="Y12" s="216" t="s">
        <v>78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26</v>
      </c>
      <c r="AK12" s="216">
        <v>0.6</v>
      </c>
      <c r="AL12" s="216"/>
      <c r="AM12" s="216">
        <f>IF(AND((تسعير!$BE$5="جلفنة + جوتن"),(Table15855[[#Totals],[المسطح]]+Table166241[[#Totals],[Column12]])&gt;0),(((Table15855[[#Totals],[المسطح]]+Table166241[[#Totals],[Column12]])+1)*Table66342[[#This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spans="1:45" s="187" customFormat="1" ht="18.75">
      <c r="A13" s="187" t="s">
        <v>254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167</v>
      </c>
      <c r="O13" s="214"/>
      <c r="P13" s="214"/>
      <c r="Q13" s="214"/>
      <c r="R13" s="211" t="s">
        <v>124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1.1835719485193544E-3</v>
      </c>
      <c r="X13" s="216"/>
      <c r="Y13" s="216" t="s">
        <v>54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27</v>
      </c>
      <c r="AK13" s="216"/>
      <c r="AL13" s="216"/>
      <c r="AM13" s="216">
        <f>IF(AND((تسعير!$BE$5="جلفنة +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spans="1:45" s="187" customFormat="1" ht="18.75">
      <c r="A14" s="195" t="s">
        <v>91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169</v>
      </c>
      <c r="O14" s="214"/>
      <c r="P14" s="214"/>
      <c r="Q14" s="214"/>
      <c r="R14" s="247" t="s">
        <v>170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7.2835196831960271E-3</v>
      </c>
      <c r="X14" s="216"/>
      <c r="Y14" s="216" t="s">
        <v>156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157</v>
      </c>
      <c r="AK14" s="216"/>
      <c r="AL14" s="216"/>
      <c r="AM14" s="216">
        <f>IF(AND((تسعير!$BE$5="جلفنة +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spans="1:45" s="187" customFormat="1" ht="18.75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255</v>
      </c>
      <c r="O15" s="214"/>
      <c r="P15" s="214"/>
      <c r="Q15" s="214"/>
      <c r="R15" s="393" t="s">
        <v>256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159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28</v>
      </c>
      <c r="AK15" s="216">
        <v>0.1</v>
      </c>
      <c r="AL15" s="216"/>
      <c r="AM15" s="216">
        <f>IF(AND((تسعير!$BE$5="جلفنة + جوتن"),(Table15855[[#Totals],[المسطح]]+Table166241[[#Totals],[Column12]])&gt;0),(((Table15855[[#Totals],[المسطح]]+Table166241[[#Totals],[Column12]])+1)*Table66342[[#This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spans="1:45" s="187" customFormat="1" ht="18.75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257</v>
      </c>
      <c r="O16" s="214"/>
      <c r="P16" s="214"/>
      <c r="Q16" s="214"/>
      <c r="R16" s="211" t="s">
        <v>258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161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29</v>
      </c>
      <c r="AK16" s="216">
        <v>0.1</v>
      </c>
      <c r="AL16" s="216"/>
      <c r="AM16" s="216">
        <f>IF(AND((تسعير!$BE$5="جلفنة + جوتن"),(Table15855[[#Totals],[المسطح]]+Table166241[[#Totals],[Column12]])&gt;0),(((Table15855[[#Totals],[المسطح]]+Table166241[[#Totals],[Column12]])+1)*Table66342[[#This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spans="1:45" s="187" customFormat="1" ht="18.75">
      <c r="A17" s="386" t="s">
        <v>146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36</v>
      </c>
      <c r="O17" s="214"/>
      <c r="P17" s="214"/>
      <c r="Q17" s="214"/>
      <c r="R17" s="211" t="s">
        <v>170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spans="1:45" s="187" customFormat="1" ht="18.75">
      <c r="F18" s="384"/>
      <c r="G18" s="195"/>
      <c r="H18" s="195"/>
      <c r="I18" s="195"/>
      <c r="J18" s="195"/>
      <c r="L18" s="211" t="s">
        <v>146</v>
      </c>
      <c r="M18" s="212"/>
      <c r="N18" s="213" t="s">
        <v>146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1.4111819386192302E-2</v>
      </c>
      <c r="X18" s="216"/>
      <c r="Y18" s="216" t="s">
        <v>77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spans="1:45" ht="18.75">
      <c r="A19" s="388" t="s">
        <v>68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4" t="s">
        <v>175</v>
      </c>
      <c r="P19" s="884"/>
      <c r="Q19" s="884"/>
      <c r="R19" s="884"/>
      <c r="S19" s="884"/>
      <c r="T19" s="884"/>
      <c r="U19" s="216"/>
      <c r="V19" s="216"/>
      <c r="W19" s="216"/>
      <c r="X19" s="216"/>
      <c r="Y19" s="216" t="s">
        <v>166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spans="1:45" ht="18.75">
      <c r="A20" s="384" t="s">
        <v>91</v>
      </c>
      <c r="B20" s="389"/>
      <c r="C20" s="389"/>
      <c r="D20" s="389"/>
      <c r="E20" s="389"/>
      <c r="F20" s="389"/>
      <c r="L20" s="211" t="s">
        <v>123</v>
      </c>
      <c r="M20" s="211" t="s">
        <v>124</v>
      </c>
      <c r="N20" s="218" t="s">
        <v>125</v>
      </c>
      <c r="O20" s="211" t="s">
        <v>9</v>
      </c>
      <c r="P20" s="211" t="s">
        <v>8</v>
      </c>
      <c r="Q20" s="211" t="s">
        <v>151</v>
      </c>
      <c r="R20" s="211" t="s">
        <v>127</v>
      </c>
      <c r="S20" s="211" t="s">
        <v>128</v>
      </c>
      <c r="T20" s="211" t="s">
        <v>160</v>
      </c>
      <c r="U20" s="211" t="s">
        <v>130</v>
      </c>
      <c r="V20" s="245" t="s">
        <v>131</v>
      </c>
      <c r="W20" s="211" t="s">
        <v>132</v>
      </c>
      <c r="X20" s="216"/>
      <c r="Y20" s="216" t="s">
        <v>168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spans="1:45" ht="18.75">
      <c r="A21" s="390"/>
      <c r="L21" s="211">
        <v>3</v>
      </c>
      <c r="M21" s="219">
        <f>IF((N3="c1"),4,IF((N3="c2"),4,0))</f>
        <v>4</v>
      </c>
      <c r="N21" s="220" t="s">
        <v>259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164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1.1471543501033743E-2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spans="1:45" ht="18.75">
      <c r="L22" s="211">
        <v>8</v>
      </c>
      <c r="M22" s="212">
        <f>M21*4</f>
        <v>16</v>
      </c>
      <c r="N22" s="213" t="s">
        <v>177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164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4.9163757861573178E-3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spans="1:45" ht="18.75">
      <c r="L23" s="211" t="s">
        <v>146</v>
      </c>
      <c r="M23" s="212">
        <f>SUBTOTAL(103,Table166241[عدد])</f>
        <v>2</v>
      </c>
      <c r="N23" s="213" t="s">
        <v>146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1.638791928719106E-2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spans="1:45" ht="18.75">
      <c r="L24" s="216"/>
      <c r="M24" s="216"/>
      <c r="N24" s="217"/>
      <c r="O24" s="884" t="s">
        <v>178</v>
      </c>
      <c r="P24" s="884"/>
      <c r="Q24" s="884"/>
      <c r="R24" s="884"/>
      <c r="S24" s="884"/>
      <c r="T24" s="884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spans="1:45" ht="18.75">
      <c r="L25" s="211" t="s">
        <v>123</v>
      </c>
      <c r="M25" s="211" t="s">
        <v>124</v>
      </c>
      <c r="N25" s="218" t="s">
        <v>125</v>
      </c>
      <c r="O25" s="211" t="s">
        <v>9</v>
      </c>
      <c r="P25" s="211" t="s">
        <v>8</v>
      </c>
      <c r="Q25" s="211" t="s">
        <v>151</v>
      </c>
      <c r="R25" s="211" t="s">
        <v>127</v>
      </c>
      <c r="S25" s="211" t="s">
        <v>128</v>
      </c>
      <c r="T25" s="211" t="s">
        <v>160</v>
      </c>
      <c r="U25" s="211" t="s">
        <v>130</v>
      </c>
      <c r="V25" s="245" t="s">
        <v>131</v>
      </c>
      <c r="W25" s="211" t="s">
        <v>132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spans="1:45" ht="18.75">
      <c r="L26" s="211">
        <v>1</v>
      </c>
      <c r="M26" s="222">
        <f>AM7/3</f>
        <v>0.75666666666666682</v>
      </c>
      <c r="N26" s="213" t="s">
        <v>30</v>
      </c>
      <c r="O26" s="214"/>
      <c r="P26" s="214"/>
      <c r="Q26" s="214"/>
      <c r="R26" s="211" t="s">
        <v>186</v>
      </c>
      <c r="S26" s="211"/>
      <c r="T26" s="211"/>
      <c r="U26" s="248">
        <f>Sheet2!B24</f>
        <v>400</v>
      </c>
      <c r="V26" s="240">
        <f t="shared" ref="V26:V34" si="3">M26*U26</f>
        <v>302.66666666666674</v>
      </c>
      <c r="W26" s="241">
        <f t="shared" ref="W26:W44" si="4">(V26)/$R$71</f>
        <v>2.7555982801424975E-3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spans="1:45" ht="18.75">
      <c r="L27" s="211">
        <v>2</v>
      </c>
      <c r="M27" s="219">
        <v>3</v>
      </c>
      <c r="N27" s="218" t="s">
        <v>179</v>
      </c>
      <c r="O27" s="211"/>
      <c r="P27" s="211"/>
      <c r="Q27" s="211"/>
      <c r="R27" s="211" t="s">
        <v>180</v>
      </c>
      <c r="S27" s="211"/>
      <c r="T27" s="211"/>
      <c r="U27" s="248">
        <v>15</v>
      </c>
      <c r="V27" s="240">
        <f t="shared" si="3"/>
        <v>45</v>
      </c>
      <c r="W27" s="241">
        <f t="shared" si="4"/>
        <v>4.0969798217977652E-4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spans="1:45" ht="18.75">
      <c r="L28" s="211">
        <v>3</v>
      </c>
      <c r="M28" s="212">
        <v>3</v>
      </c>
      <c r="N28" s="218" t="s">
        <v>181</v>
      </c>
      <c r="O28" s="211"/>
      <c r="P28" s="211"/>
      <c r="Q28" s="211"/>
      <c r="R28" s="211" t="s">
        <v>180</v>
      </c>
      <c r="S28" s="211"/>
      <c r="T28" s="211"/>
      <c r="U28" s="248">
        <v>15</v>
      </c>
      <c r="V28" s="240">
        <f t="shared" si="3"/>
        <v>45</v>
      </c>
      <c r="W28" s="241">
        <f t="shared" si="4"/>
        <v>4.0969798217977652E-4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spans="1:45" ht="18.75">
      <c r="L29" s="211">
        <v>4</v>
      </c>
      <c r="M29" s="219">
        <v>3</v>
      </c>
      <c r="N29" s="213" t="s">
        <v>182</v>
      </c>
      <c r="O29" s="214"/>
      <c r="P29" s="214"/>
      <c r="Q29" s="214"/>
      <c r="R29" s="211" t="s">
        <v>183</v>
      </c>
      <c r="S29" s="211"/>
      <c r="T29" s="211"/>
      <c r="U29" s="248">
        <v>25</v>
      </c>
      <c r="V29" s="240">
        <f t="shared" si="3"/>
        <v>75</v>
      </c>
      <c r="W29" s="241">
        <f t="shared" si="4"/>
        <v>6.8282997029962746E-4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spans="1:45" ht="18.75">
      <c r="L30" s="211">
        <v>5</v>
      </c>
      <c r="M30" s="212">
        <v>3</v>
      </c>
      <c r="N30" s="213" t="s">
        <v>184</v>
      </c>
      <c r="O30" s="214"/>
      <c r="P30" s="214"/>
      <c r="Q30" s="214"/>
      <c r="R30" s="211" t="s">
        <v>183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4.096979821797765E-3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spans="1:45" ht="18.75">
      <c r="L31" s="211">
        <v>6</v>
      </c>
      <c r="M31" s="219">
        <v>3</v>
      </c>
      <c r="N31" s="213" t="s">
        <v>185</v>
      </c>
      <c r="O31" s="214"/>
      <c r="P31" s="214"/>
      <c r="Q31" s="214"/>
      <c r="R31" s="211" t="s">
        <v>164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1.092527952479404E-3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spans="1:45" ht="18.75">
      <c r="L32" s="211">
        <v>7</v>
      </c>
      <c r="M32" s="222">
        <f>AM6/1.9</f>
        <v>2.5831578947368423</v>
      </c>
      <c r="N32" s="213" t="s">
        <v>31</v>
      </c>
      <c r="O32" s="214"/>
      <c r="P32" s="214"/>
      <c r="Q32" s="214"/>
      <c r="R32" s="211" t="s">
        <v>187</v>
      </c>
      <c r="S32" s="211"/>
      <c r="T32" s="211"/>
      <c r="U32" s="248">
        <f>Sheet2!B25</f>
        <v>95</v>
      </c>
      <c r="V32" s="240">
        <f t="shared" si="3"/>
        <v>245.40000000000003</v>
      </c>
      <c r="W32" s="241">
        <f t="shared" si="4"/>
        <v>2.2342196628203814E-3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spans="12:45" ht="18.75">
      <c r="L33" s="211">
        <v>8</v>
      </c>
      <c r="M33" s="222">
        <f>AM5</f>
        <v>3.632000000000001</v>
      </c>
      <c r="N33" s="213" t="s">
        <v>32</v>
      </c>
      <c r="O33" s="214"/>
      <c r="P33" s="214"/>
      <c r="Q33" s="214"/>
      <c r="R33" s="211" t="s">
        <v>164</v>
      </c>
      <c r="S33" s="211"/>
      <c r="T33" s="211"/>
      <c r="U33" s="248">
        <f>Sheet2!B26</f>
        <v>220</v>
      </c>
      <c r="V33" s="240">
        <f t="shared" si="3"/>
        <v>799.04000000000019</v>
      </c>
      <c r="W33" s="241">
        <f t="shared" si="4"/>
        <v>7.2747794595761934E-3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spans="12:45" ht="18.75">
      <c r="L34" s="211">
        <v>9</v>
      </c>
      <c r="M34" s="222">
        <f>AM8</f>
        <v>3.632000000000001</v>
      </c>
      <c r="N34" s="213" t="s">
        <v>33</v>
      </c>
      <c r="O34" s="214"/>
      <c r="P34" s="214"/>
      <c r="Q34" s="214"/>
      <c r="R34" s="211" t="s">
        <v>164</v>
      </c>
      <c r="S34" s="211"/>
      <c r="T34" s="211"/>
      <c r="U34" s="248">
        <f>Sheet2!B27</f>
        <v>510</v>
      </c>
      <c r="V34" s="240">
        <f t="shared" si="3"/>
        <v>1852.3200000000006</v>
      </c>
      <c r="W34" s="241">
        <f t="shared" si="4"/>
        <v>1.6864261474472085E-2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spans="12:45" ht="18.75" hidden="1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t="shared" ref="V35:V44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spans="12:45" ht="18.75" hidden="1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spans="12:45" ht="18.75" hidden="1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spans="12:45" ht="18.75" hidden="1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spans="12:45" ht="18.75" hidden="1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spans="12:45" ht="18.75">
      <c r="L40" s="211">
        <v>15</v>
      </c>
      <c r="M40" s="212">
        <f>IF((تسعير!BE5="جلفنة + جوتن"),(Table15855[[#Totals],[الوزن]]+Table166241[[#Totals],[الوزن]]),0)</f>
        <v>0</v>
      </c>
      <c r="N40" s="213" t="s">
        <v>188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spans="12:45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24</v>
      </c>
      <c r="O41" s="214"/>
      <c r="P41" s="214"/>
      <c r="Q41" s="214"/>
      <c r="R41" s="211" t="s">
        <v>189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spans="12:45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26</v>
      </c>
      <c r="O42" s="214"/>
      <c r="P42" s="214"/>
      <c r="Q42" s="214"/>
      <c r="R42" s="218" t="s">
        <v>190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spans="12:45" ht="18.75">
      <c r="L43" s="211">
        <v>18</v>
      </c>
      <c r="M43" s="212">
        <f>AM15</f>
        <v>0</v>
      </c>
      <c r="N43" s="218" t="s">
        <v>28</v>
      </c>
      <c r="O43" s="214"/>
      <c r="P43" s="214"/>
      <c r="Q43" s="214"/>
      <c r="R43" s="218" t="s">
        <v>191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spans="12:45" ht="18.75">
      <c r="L44" s="211">
        <v>19</v>
      </c>
      <c r="M44" s="212">
        <f>AM16</f>
        <v>0</v>
      </c>
      <c r="N44" s="218" t="s">
        <v>29</v>
      </c>
      <c r="O44" s="214"/>
      <c r="P44" s="214"/>
      <c r="Q44" s="214"/>
      <c r="R44" s="218" t="s">
        <v>191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spans="12:45" ht="18.75" hidden="1">
      <c r="L45" s="508" t="s">
        <v>146</v>
      </c>
      <c r="M45" s="509"/>
      <c r="N45" s="510" t="s">
        <v>146</v>
      </c>
      <c r="O45" s="511"/>
      <c r="P45" s="511"/>
      <c r="Q45" s="511"/>
      <c r="R45" s="508" t="s">
        <v>192</v>
      </c>
      <c r="S45" s="508"/>
      <c r="T45" s="508"/>
      <c r="U45" s="512"/>
      <c r="V45" s="513">
        <f>SUBTOTAL(109,Table135926[اجمالي])</f>
        <v>3934.4266666666676</v>
      </c>
      <c r="W45" s="514">
        <f>Table135926[[#Totals],[اجمالي]]/$R$71</f>
        <v>3.5820592585947511E-2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spans="12:45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spans="12:45" ht="18.75">
      <c r="L47" s="216"/>
      <c r="M47" s="216"/>
      <c r="N47" s="217"/>
      <c r="O47" s="884" t="s">
        <v>228</v>
      </c>
      <c r="P47" s="884"/>
      <c r="Q47" s="884"/>
      <c r="R47" s="884"/>
      <c r="S47" s="884"/>
      <c r="T47" s="884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spans="12:45" ht="18.75">
      <c r="L48" s="211" t="s">
        <v>123</v>
      </c>
      <c r="M48" s="211" t="s">
        <v>124</v>
      </c>
      <c r="N48" s="218" t="s">
        <v>125</v>
      </c>
      <c r="O48" s="211" t="s">
        <v>9</v>
      </c>
      <c r="P48" s="211" t="s">
        <v>8</v>
      </c>
      <c r="Q48" s="211" t="s">
        <v>151</v>
      </c>
      <c r="R48" s="211" t="s">
        <v>127</v>
      </c>
      <c r="S48" s="211" t="s">
        <v>128</v>
      </c>
      <c r="T48" s="211" t="s">
        <v>160</v>
      </c>
      <c r="U48" s="211" t="s">
        <v>130</v>
      </c>
      <c r="V48" s="245" t="s">
        <v>131</v>
      </c>
      <c r="W48" s="211" t="s">
        <v>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spans="12:45" ht="18.75">
      <c r="L49" s="211">
        <v>1</v>
      </c>
      <c r="M49" s="219">
        <v>0</v>
      </c>
      <c r="N49" s="214" t="s">
        <v>260</v>
      </c>
      <c r="O49" s="214"/>
      <c r="P49" s="211"/>
      <c r="Q49" s="216"/>
      <c r="R49" s="247" t="s">
        <v>261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t="shared" ref="W49:W51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spans="12:45" ht="18.75">
      <c r="L50" s="211">
        <v>5</v>
      </c>
      <c r="M50" s="219">
        <v>1</v>
      </c>
      <c r="N50" s="213" t="s">
        <v>262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0.63137008285792695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spans="12:45" ht="18.75">
      <c r="L51" s="211">
        <v>4</v>
      </c>
      <c r="M51" s="212">
        <f>IF((Q67="الاسكندرية"),0.25,0.1)</f>
        <v>0.1</v>
      </c>
      <c r="N51" s="213" t="s">
        <v>202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6.3137008285792703E-2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spans="12:45" ht="18.75">
      <c r="L52" s="211" t="s">
        <v>146</v>
      </c>
      <c r="M52" s="212"/>
      <c r="N52" s="213" t="s">
        <v>146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0.69450709114371956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spans="12:45" ht="18.75">
      <c r="L53" s="216"/>
      <c r="M53" s="216"/>
      <c r="N53" s="217"/>
      <c r="O53" s="884" t="s">
        <v>203</v>
      </c>
      <c r="P53" s="884"/>
      <c r="Q53" s="884"/>
      <c r="R53" s="884"/>
      <c r="S53" s="884"/>
      <c r="T53" s="884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spans="12:45" ht="18.75">
      <c r="L54" s="211" t="s">
        <v>123</v>
      </c>
      <c r="M54" s="211" t="s">
        <v>124</v>
      </c>
      <c r="N54" s="218" t="s">
        <v>125</v>
      </c>
      <c r="O54" s="211" t="s">
        <v>204</v>
      </c>
      <c r="P54" s="211" t="s">
        <v>110</v>
      </c>
      <c r="Q54" s="211" t="s">
        <v>205</v>
      </c>
      <c r="R54" s="211" t="s">
        <v>206</v>
      </c>
      <c r="S54" s="211" t="s">
        <v>151</v>
      </c>
      <c r="T54" s="211" t="s">
        <v>207</v>
      </c>
      <c r="U54" s="211" t="s">
        <v>208</v>
      </c>
      <c r="V54" s="245" t="s">
        <v>131</v>
      </c>
      <c r="W54" s="211" t="s">
        <v>132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spans="12:45" ht="18.75">
      <c r="L55" s="211">
        <v>1</v>
      </c>
      <c r="M55" s="219">
        <v>2</v>
      </c>
      <c r="N55" s="220" t="s">
        <v>209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210</v>
      </c>
      <c r="R55" s="214" t="s">
        <v>133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t="shared" ref="V55:V67" si="7">M55*U55</f>
        <v>1120</v>
      </c>
      <c r="W55" s="241">
        <f t="shared" ref="W55:W67" si="8">(V55)/$R$71</f>
        <v>1.0196927556474437E-2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spans="12:45" ht="18.75">
      <c r="L56" s="211">
        <v>2</v>
      </c>
      <c r="M56" s="219">
        <v>2</v>
      </c>
      <c r="N56" s="220" t="s">
        <v>211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210</v>
      </c>
      <c r="R56" s="214" t="s">
        <v>133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1.0196927556474437E-2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spans="12:45" ht="18.75">
      <c r="L57" s="211">
        <v>3</v>
      </c>
      <c r="M57" s="219">
        <v>2</v>
      </c>
      <c r="N57" s="220" t="s">
        <v>212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210</v>
      </c>
      <c r="R57" s="214" t="s">
        <v>133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5.0984637782372187E-3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spans="12:45" ht="18.75">
      <c r="L58" s="211">
        <v>4</v>
      </c>
      <c r="M58" s="212">
        <v>3</v>
      </c>
      <c r="N58" s="220" t="s">
        <v>213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210</v>
      </c>
      <c r="R58" s="214" t="s">
        <v>133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7.6476956673558281E-3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spans="12:45" ht="18.75">
      <c r="L59" s="211">
        <v>5</v>
      </c>
      <c r="M59" s="212">
        <v>4</v>
      </c>
      <c r="N59" s="220" t="s">
        <v>214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133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1.8208799207990067E-2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spans="12:45" ht="18.75">
      <c r="L60" s="211">
        <v>6</v>
      </c>
      <c r="M60" s="212">
        <v>3</v>
      </c>
      <c r="N60" s="220" t="s">
        <v>215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133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spans="12:45" ht="18.75">
      <c r="L61" s="211">
        <v>7</v>
      </c>
      <c r="M61" s="212">
        <v>0</v>
      </c>
      <c r="N61" s="220" t="s">
        <v>216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133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spans="12:45" ht="18.75">
      <c r="L62" s="211">
        <v>8</v>
      </c>
      <c r="M62" s="212">
        <v>3</v>
      </c>
      <c r="N62" s="220" t="s">
        <v>217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133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1.3656599405992551E-2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spans="12:45" ht="18.75">
      <c r="L63" s="211">
        <v>9</v>
      </c>
      <c r="M63" s="212">
        <f>(M59+M60+M61+M62)*2</f>
        <v>20</v>
      </c>
      <c r="N63" s="220" t="s">
        <v>218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7.2835196831960269E-2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spans="12:45" ht="18.75">
      <c r="L64" s="211">
        <v>10</v>
      </c>
      <c r="M64" s="212">
        <f>IF((تسعير!$BF$14="بالتات"),0,((T59+T60+T61+T62)*2)-3)</f>
        <v>0</v>
      </c>
      <c r="N64" s="220" t="s">
        <v>219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spans="12:45" ht="18.75">
      <c r="L65" s="211">
        <v>11</v>
      </c>
      <c r="M65" s="212">
        <v>0</v>
      </c>
      <c r="N65" s="220" t="s">
        <v>220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spans="12:45" ht="18.75">
      <c r="L66" s="211">
        <v>12</v>
      </c>
      <c r="M66" s="212">
        <f>IF((تسعير!$BF$14="بالتات"),1,2)</f>
        <v>1</v>
      </c>
      <c r="N66" s="220" t="s">
        <v>221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5.4626397623970202E-2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spans="12:45" ht="18.75">
      <c r="L67" s="211">
        <v>13</v>
      </c>
      <c r="M67" s="212">
        <f>IF((تسعير!$BF$14="بالتات"),0,M64-2)</f>
        <v>0</v>
      </c>
      <c r="N67" s="220" t="s">
        <v>113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spans="12:45" ht="18.75">
      <c r="L68" s="571" t="s">
        <v>146</v>
      </c>
      <c r="M68" s="570"/>
      <c r="N68" s="549" t="s">
        <v>146</v>
      </c>
      <c r="O68" s="571"/>
      <c r="P68" s="571"/>
      <c r="Q68" s="572"/>
      <c r="R68" s="572"/>
      <c r="S68" s="573">
        <f>SUBTOTAL(109,Table16126744[Column12])</f>
        <v>10450</v>
      </c>
      <c r="T68" s="571"/>
      <c r="U68" s="242"/>
      <c r="V68" s="574">
        <f>SUBTOTAL(109,Table16126744[اجمالي])</f>
        <v>21140</v>
      </c>
      <c r="W68" s="575">
        <f>Table16126744[[#Totals],[اجمالي]]/$R$71</f>
        <v>0.19246700762845501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spans="12:45" ht="18.75">
      <c r="L69" s="216"/>
      <c r="M69" s="216"/>
      <c r="N69" s="217"/>
      <c r="O69" s="889"/>
      <c r="P69" s="889"/>
      <c r="Q69" s="889"/>
      <c r="R69" s="889"/>
      <c r="S69" s="889"/>
      <c r="T69" s="88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spans="12:45" ht="18.75">
      <c r="L70" s="211"/>
      <c r="M70" s="211"/>
      <c r="N70" s="218" t="s">
        <v>8</v>
      </c>
      <c r="O70" s="211" t="s">
        <v>222</v>
      </c>
      <c r="P70" s="211" t="s">
        <v>223</v>
      </c>
      <c r="Q70" s="211" t="s">
        <v>3</v>
      </c>
      <c r="R70" s="211" t="s">
        <v>9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spans="12:45" ht="18.75">
      <c r="L71" s="211"/>
      <c r="M71" s="219"/>
      <c r="N71" s="213" t="s">
        <v>224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109837.00666666668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spans="12:45" ht="18.75">
      <c r="L72" s="211"/>
      <c r="M72" s="212"/>
      <c r="N72" s="213" t="s">
        <v>225</v>
      </c>
      <c r="O72" s="214"/>
      <c r="P72" s="211"/>
      <c r="Q72" s="310">
        <f t="shared" ref="Q72" si="9">IF((Q67="المقطم"),0.3,IF((Q67="التجمع"),0.3,IF((Q67="الشيخ زايد"),0.3,IF((Q67="الاسكندرية"),0.5,0.35))))</f>
        <v>0.3</v>
      </c>
      <c r="R72" s="281">
        <f>R71*(1+Table187054[[#This Row],[Column3]])</f>
        <v>142788.1086666667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spans="12:45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spans="12:45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spans="12:4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spans="12:45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spans="12:45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spans="12:45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spans="12:45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spans="12:45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spans="24:45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spans="24:45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spans="24:45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spans="24:45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spans="24:4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spans="24:45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spans="24:45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spans="24:45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spans="24:45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spans="24:45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spans="24:45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spans="24:45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spans="24:45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spans="24:45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spans="24:4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spans="24:45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spans="24:45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spans="24:45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spans="24:45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spans="24:45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spans="24:45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spans="24:45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spans="24:45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spans="24:45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spans="24:4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spans="24:45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spans="24:45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spans="24:45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spans="24:45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spans="24:45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spans="24:45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spans="24:45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spans="24:45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spans="24:45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spans="24:4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spans="24:45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spans="24:45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spans="24:45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spans="24:45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spans="24:45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spans="24:45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spans="24:45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spans="24:45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spans="24:45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spans="24:4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spans="24:45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spans="24:45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spans="24:45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spans="24:45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spans="24:45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spans="24:45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spans="24:45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spans="24:45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spans="24:45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spans="24:4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spans="24:45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spans="24:45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spans="24:45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spans="24:45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 spans="24:45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 spans="24:45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 spans="24:45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 spans="24:45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 spans="24:45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 spans="24: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 spans="24:45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 spans="24:45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 spans="24:45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 spans="24:45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 spans="24:45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 spans="24:45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 spans="24:45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 spans="24:45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 spans="24:45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 spans="24:4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 spans="24:45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 spans="24:45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 spans="24:45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 spans="24:45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 spans="24:45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 spans="24:45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 spans="24:45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 spans="24:45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 spans="24:45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 spans="24:4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 spans="24:45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 spans="24:45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 spans="24:45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 spans="24:45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 spans="24:45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 spans="24:45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 spans="24:45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 spans="24:45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 spans="24:45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 spans="24:4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 spans="24:45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 spans="24:45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 spans="24:45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 spans="24:45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 count="10"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0" zoomScale="55" zoomScaleNormal="55" workbookViewId="0">
      <selection activeCell="A47" sqref="A47"/>
    </sheetView>
  </sheetViews>
  <sheetFormatPr defaultColWidth="9.140625" defaultRowHeight="15"/>
  <cols>
    <col min="1" max="1" width="11.28515625" style="313" customWidth="1"/>
    <col min="2" max="2" width="11.5703125" style="313" customWidth="1"/>
    <col min="3" max="3" width="38" style="313" customWidth="1"/>
    <col min="4" max="4" width="11.5703125" style="313" customWidth="1"/>
    <col min="5" max="5" width="11.85546875" style="314" customWidth="1"/>
    <col min="6" max="6" width="14.140625" style="313" customWidth="1"/>
    <col min="7" max="7" width="13" style="313" customWidth="1"/>
    <col min="8" max="8" width="27.28515625" style="313" customWidth="1"/>
    <col min="9" max="9" width="8.85546875" style="313" customWidth="1"/>
    <col min="10" max="10" width="37.5703125" style="313" customWidth="1"/>
    <col min="11" max="11" width="8.85546875" style="313" customWidth="1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 spans="1:33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spans="1:33" ht="18.75">
      <c r="A2" s="318" t="s">
        <v>263</v>
      </c>
      <c r="B2" s="313" t="s">
        <v>80</v>
      </c>
      <c r="C2" s="313" t="s">
        <v>264</v>
      </c>
      <c r="E2" s="314" t="s">
        <v>8</v>
      </c>
      <c r="F2" s="313" t="s">
        <v>9</v>
      </c>
      <c r="H2" s="319" t="s">
        <v>8</v>
      </c>
      <c r="I2" s="353" t="s">
        <v>265</v>
      </c>
      <c r="J2" s="354" t="s">
        <v>266</v>
      </c>
      <c r="K2" s="355" t="s">
        <v>267</v>
      </c>
      <c r="M2" s="356" t="s">
        <v>268</v>
      </c>
      <c r="N2" s="356" t="s">
        <v>269</v>
      </c>
      <c r="O2" t="s">
        <v>8</v>
      </c>
      <c r="P2" s="357"/>
      <c r="R2" s="332"/>
      <c r="S2" s="313" t="s">
        <v>80</v>
      </c>
      <c r="T2" s="313" t="s">
        <v>264</v>
      </c>
      <c r="U2" s="313"/>
      <c r="V2" s="314" t="s">
        <v>8</v>
      </c>
      <c r="W2" s="313" t="s">
        <v>9</v>
      </c>
      <c r="X2" s="313"/>
      <c r="Y2" s="331" t="s">
        <v>8</v>
      </c>
      <c r="Z2" s="379" t="s">
        <v>265</v>
      </c>
      <c r="AA2" s="320" t="s">
        <v>266</v>
      </c>
      <c r="AB2" s="320" t="s">
        <v>267</v>
      </c>
      <c r="AD2" t="s">
        <v>268</v>
      </c>
      <c r="AE2" t="s">
        <v>269</v>
      </c>
      <c r="AF2" t="s">
        <v>8</v>
      </c>
      <c r="AG2" s="357"/>
    </row>
    <row r="3" spans="1:33" ht="26.25">
      <c r="A3" s="547" t="s">
        <v>270</v>
      </c>
      <c r="B3" s="546">
        <v>2.5</v>
      </c>
      <c r="C3" s="546">
        <v>11.75</v>
      </c>
      <c r="E3" s="320" t="s">
        <v>65</v>
      </c>
      <c r="F3" s="320">
        <f>Sheet2!B42</f>
        <v>750</v>
      </c>
      <c r="H3" s="321" t="s">
        <v>271</v>
      </c>
      <c r="I3" s="358">
        <v>2</v>
      </c>
      <c r="J3" s="359">
        <v>75</v>
      </c>
      <c r="K3" s="360">
        <f t="shared" ref="K3:K10" si="0">I3*J3</f>
        <v>150</v>
      </c>
      <c r="M3" s="361" t="s">
        <v>272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239</v>
      </c>
      <c r="T3" s="320">
        <v>17</v>
      </c>
      <c r="U3" s="313"/>
      <c r="V3" s="320" t="s">
        <v>65</v>
      </c>
      <c r="W3" s="320">
        <f>Sheet2!B42</f>
        <v>750</v>
      </c>
      <c r="X3" s="313"/>
      <c r="Y3" s="331" t="s">
        <v>273</v>
      </c>
      <c r="Z3" s="367">
        <v>8</v>
      </c>
      <c r="AA3" s="320">
        <v>50</v>
      </c>
      <c r="AB3" s="320">
        <f t="shared" ref="AB3:AB11" si="1">Z3*AA3</f>
        <v>400</v>
      </c>
      <c r="AD3" s="380" t="s">
        <v>272</v>
      </c>
      <c r="AE3" s="380">
        <f>IF((تسعير!AH28="3*3"),1,IF((تسعير!AH28="4*4"),2,no))</f>
        <v>2</v>
      </c>
      <c r="AF3" s="380"/>
      <c r="AG3" s="357"/>
    </row>
    <row r="4" spans="1:33" ht="22.5" customHeight="1">
      <c r="A4" s="547" t="s">
        <v>270</v>
      </c>
      <c r="B4" s="546">
        <v>2.7</v>
      </c>
      <c r="C4" s="546">
        <v>13.5</v>
      </c>
      <c r="E4" s="320" t="s">
        <v>275</v>
      </c>
      <c r="F4" s="320">
        <f>Sheet2!B43</f>
        <v>130</v>
      </c>
      <c r="H4" s="321" t="s">
        <v>276</v>
      </c>
      <c r="I4" s="358">
        <v>2</v>
      </c>
      <c r="J4" s="359"/>
      <c r="K4" s="360">
        <f t="shared" si="0"/>
        <v>0</v>
      </c>
      <c r="M4" s="361" t="s">
        <v>277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81</v>
      </c>
      <c r="T4" s="320">
        <v>18.75</v>
      </c>
      <c r="U4" s="313"/>
      <c r="V4" s="320" t="s">
        <v>275</v>
      </c>
      <c r="W4" s="320">
        <f>Sheet2!B43</f>
        <v>130</v>
      </c>
      <c r="X4" s="313"/>
      <c r="Y4" s="331" t="s">
        <v>276</v>
      </c>
      <c r="Z4" s="367">
        <v>2</v>
      </c>
      <c r="AA4" s="320">
        <v>15</v>
      </c>
      <c r="AB4" s="320">
        <f t="shared" si="1"/>
        <v>30</v>
      </c>
      <c r="AD4" s="380" t="s">
        <v>277</v>
      </c>
      <c r="AE4" s="380">
        <f>IF((AE3=1),T3,IF((AE3=2),Table122[[#This Row],[ميزان]],no))</f>
        <v>18.75</v>
      </c>
      <c r="AF4" s="380"/>
      <c r="AG4" s="357"/>
    </row>
    <row r="5" spans="1:33" ht="18.75">
      <c r="A5" s="547" t="s">
        <v>270</v>
      </c>
      <c r="B5" s="546">
        <v>3</v>
      </c>
      <c r="C5" s="546">
        <v>13.5</v>
      </c>
      <c r="E5" s="546" t="s">
        <v>700</v>
      </c>
      <c r="F5" s="320">
        <f>Sheet2!B44</f>
        <v>400</v>
      </c>
      <c r="H5" s="321" t="s">
        <v>278</v>
      </c>
      <c r="I5" s="358">
        <v>16</v>
      </c>
      <c r="J5" s="359">
        <v>10</v>
      </c>
      <c r="K5" s="360">
        <f t="shared" si="0"/>
        <v>160</v>
      </c>
      <c r="M5" s="361" t="s">
        <v>279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546" t="s">
        <v>700</v>
      </c>
      <c r="W5" s="320">
        <f>Sheet2!B44</f>
        <v>400</v>
      </c>
      <c r="X5" s="313"/>
      <c r="Y5" s="331" t="s">
        <v>280</v>
      </c>
      <c r="Z5" s="367">
        <v>1</v>
      </c>
      <c r="AA5" s="320">
        <v>150</v>
      </c>
      <c r="AB5" s="320">
        <f t="shared" si="1"/>
        <v>150</v>
      </c>
      <c r="AD5" s="380" t="s">
        <v>279</v>
      </c>
      <c r="AE5" s="380">
        <f>IF((تسعير!AI28="خشبي"),W8,IF((تسعير!AI28="سادة"),W9,IF((تسعير!AI28="ذهبي"),W10,0)))</f>
        <v>70</v>
      </c>
      <c r="AF5" s="380"/>
      <c r="AG5" s="357"/>
    </row>
    <row r="6" spans="1:33" ht="18.75">
      <c r="A6" s="547" t="s">
        <v>270</v>
      </c>
      <c r="B6" s="546">
        <v>3.5</v>
      </c>
      <c r="C6" s="546">
        <v>14.6</v>
      </c>
      <c r="E6" s="320" t="s">
        <v>281</v>
      </c>
      <c r="F6" s="320">
        <f>Sheet2!B59</f>
        <v>200</v>
      </c>
      <c r="H6" s="321" t="s">
        <v>282</v>
      </c>
      <c r="I6" s="358">
        <v>16</v>
      </c>
      <c r="J6" s="359">
        <v>1</v>
      </c>
      <c r="K6" s="360">
        <f t="shared" si="0"/>
        <v>16</v>
      </c>
      <c r="M6" s="361" t="s">
        <v>283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284</v>
      </c>
      <c r="W6" s="320">
        <f>Sheet2!B59</f>
        <v>200</v>
      </c>
      <c r="X6" s="313"/>
      <c r="Y6" s="331" t="s">
        <v>285</v>
      </c>
      <c r="Z6" s="367">
        <v>1</v>
      </c>
      <c r="AA6" s="320">
        <v>150</v>
      </c>
      <c r="AB6" s="320">
        <f t="shared" si="1"/>
        <v>150</v>
      </c>
      <c r="AD6" s="380" t="s">
        <v>283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spans="1:33" ht="18.75">
      <c r="A7" s="547" t="s">
        <v>64</v>
      </c>
      <c r="B7" s="546">
        <v>2</v>
      </c>
      <c r="C7" s="546">
        <v>10.5</v>
      </c>
      <c r="E7" s="320" t="s">
        <v>8</v>
      </c>
      <c r="F7" s="320" t="s">
        <v>9</v>
      </c>
      <c r="H7" s="321" t="s">
        <v>286</v>
      </c>
      <c r="I7" s="358">
        <v>2</v>
      </c>
      <c r="J7" s="359">
        <v>80</v>
      </c>
      <c r="K7" s="360">
        <f t="shared" si="0"/>
        <v>160</v>
      </c>
      <c r="M7" s="361" t="s">
        <v>287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8</v>
      </c>
      <c r="W7" s="320" t="s">
        <v>9</v>
      </c>
      <c r="X7" s="313"/>
      <c r="Y7" s="331" t="s">
        <v>288</v>
      </c>
      <c r="Z7" s="367">
        <v>1</v>
      </c>
      <c r="AA7" s="320">
        <v>150</v>
      </c>
      <c r="AB7" s="320">
        <f t="shared" si="1"/>
        <v>150</v>
      </c>
      <c r="AD7" s="380" t="s">
        <v>287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spans="1:33" ht="18.75">
      <c r="A8" s="547" t="s">
        <v>64</v>
      </c>
      <c r="B8" s="546">
        <v>2.5</v>
      </c>
      <c r="C8" s="546">
        <v>11.75</v>
      </c>
      <c r="E8" s="320" t="s">
        <v>11</v>
      </c>
      <c r="F8" s="320">
        <f>Table626[[#This Row],[Column2]]</f>
        <v>70</v>
      </c>
      <c r="H8" s="321" t="s">
        <v>289</v>
      </c>
      <c r="I8" s="358">
        <v>2</v>
      </c>
      <c r="J8" s="359">
        <v>20</v>
      </c>
      <c r="K8" s="360">
        <f t="shared" si="0"/>
        <v>40</v>
      </c>
      <c r="M8" s="361" t="s">
        <v>290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11</v>
      </c>
      <c r="W8" s="320">
        <f>Sheet2!B15/1000</f>
        <v>70</v>
      </c>
      <c r="X8" s="313"/>
      <c r="Y8" s="331" t="s">
        <v>291</v>
      </c>
      <c r="Z8" s="367">
        <v>2</v>
      </c>
      <c r="AA8" s="320">
        <v>50</v>
      </c>
      <c r="AB8" s="320">
        <f t="shared" si="1"/>
        <v>100</v>
      </c>
      <c r="AD8" s="380" t="s">
        <v>290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spans="1:33" ht="18.75">
      <c r="A9" s="547" t="s">
        <v>64</v>
      </c>
      <c r="B9" s="546">
        <v>3</v>
      </c>
      <c r="C9" s="546">
        <v>13.5</v>
      </c>
      <c r="E9" s="320" t="s">
        <v>6</v>
      </c>
      <c r="F9" s="320">
        <f>Table626[[#This Row],[Column2]]</f>
        <v>30</v>
      </c>
      <c r="H9" s="321" t="s">
        <v>292</v>
      </c>
      <c r="I9" s="358">
        <v>7</v>
      </c>
      <c r="J9" s="359">
        <v>8</v>
      </c>
      <c r="K9" s="360">
        <f t="shared" si="0"/>
        <v>56</v>
      </c>
      <c r="M9" s="361" t="s">
        <v>293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6</v>
      </c>
      <c r="W9" s="320">
        <f>Sheet2!B41</f>
        <v>30</v>
      </c>
      <c r="X9" s="313"/>
      <c r="Y9" s="331" t="s">
        <v>294</v>
      </c>
      <c r="Z9" s="367">
        <v>36</v>
      </c>
      <c r="AA9" s="320">
        <v>25</v>
      </c>
      <c r="AB9" s="320">
        <f t="shared" si="1"/>
        <v>900</v>
      </c>
      <c r="AD9" s="380" t="s">
        <v>293</v>
      </c>
      <c r="AE9" s="380">
        <f>AE8*AE7</f>
        <v>4800</v>
      </c>
      <c r="AF9" s="380"/>
      <c r="AG9" s="357"/>
    </row>
    <row r="10" spans="1:33" ht="18.75">
      <c r="A10" s="547" t="s">
        <v>64</v>
      </c>
      <c r="B10" s="546">
        <v>3.3</v>
      </c>
      <c r="C10" s="546">
        <v>16.5</v>
      </c>
      <c r="E10" s="320" t="s">
        <v>20</v>
      </c>
      <c r="F10" s="320">
        <f>W11</f>
        <v>252</v>
      </c>
      <c r="H10" s="321" t="s">
        <v>295</v>
      </c>
      <c r="I10" s="358">
        <v>8</v>
      </c>
      <c r="J10" s="359">
        <v>50</v>
      </c>
      <c r="K10" s="360">
        <f t="shared" si="0"/>
        <v>400</v>
      </c>
      <c r="M10" s="361" t="s">
        <v>296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297</v>
      </c>
      <c r="Z10" s="367">
        <v>1</v>
      </c>
      <c r="AA10" s="320">
        <v>75</v>
      </c>
      <c r="AB10" s="320">
        <f t="shared" si="1"/>
        <v>75</v>
      </c>
      <c r="AD10" s="380" t="s">
        <v>296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spans="1:33" ht="18.75">
      <c r="A11" s="318"/>
      <c r="E11" s="322" t="s">
        <v>298</v>
      </c>
      <c r="F11" s="323">
        <v>800</v>
      </c>
      <c r="H11" s="324" t="s">
        <v>299</v>
      </c>
      <c r="I11" s="362"/>
      <c r="J11" s="363"/>
      <c r="K11" s="364">
        <v>250</v>
      </c>
      <c r="M11" s="361" t="s">
        <v>300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20</v>
      </c>
      <c r="W11" s="320">
        <f>Sheet2!B14/1000</f>
        <v>252</v>
      </c>
      <c r="X11" s="313"/>
      <c r="Y11" s="331" t="s">
        <v>301</v>
      </c>
      <c r="Z11" s="367">
        <v>1</v>
      </c>
      <c r="AA11" s="320">
        <v>75</v>
      </c>
      <c r="AB11" s="320">
        <f t="shared" si="1"/>
        <v>75</v>
      </c>
      <c r="AD11" s="380" t="s">
        <v>300</v>
      </c>
      <c r="AE11" s="380">
        <f>IF(تسعير!AK28="no",0,W14)</f>
        <v>1200</v>
      </c>
      <c r="AF11" s="380"/>
      <c r="AG11" s="357"/>
    </row>
    <row r="12" spans="1:33" ht="18.75">
      <c r="A12" s="318"/>
      <c r="E12" s="325" t="s">
        <v>302</v>
      </c>
      <c r="F12" s="326">
        <v>800</v>
      </c>
      <c r="H12" s="327" t="s">
        <v>303</v>
      </c>
      <c r="I12" s="358"/>
      <c r="J12" s="359"/>
      <c r="K12" s="365">
        <v>2700</v>
      </c>
      <c r="M12" s="361" t="s">
        <v>304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298</v>
      </c>
      <c r="W12" s="320">
        <v>800</v>
      </c>
      <c r="X12" s="313"/>
      <c r="Y12" s="380" t="s">
        <v>303</v>
      </c>
      <c r="Z12" s="367"/>
      <c r="AA12" s="320"/>
      <c r="AB12" s="217">
        <f>Sheet2!B45</f>
        <v>2000</v>
      </c>
      <c r="AD12" s="380" t="s">
        <v>305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spans="1:33" ht="18.75">
      <c r="A13" s="318"/>
      <c r="E13" s="328" t="s">
        <v>306</v>
      </c>
      <c r="F13" s="329">
        <v>1200</v>
      </c>
      <c r="H13" s="330" t="s">
        <v>146</v>
      </c>
      <c r="I13" s="363"/>
      <c r="J13" s="363"/>
      <c r="K13" s="366">
        <f>SUBTOTAL(109,Table4[قيمة])</f>
        <v>3932</v>
      </c>
      <c r="M13" s="361" t="s">
        <v>305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302</v>
      </c>
      <c r="W13" s="320">
        <v>800</v>
      </c>
      <c r="X13" s="313"/>
      <c r="Y13" s="331" t="s">
        <v>307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spans="1:33" ht="18.75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306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spans="1:33" ht="18.75">
      <c r="A15" s="318"/>
      <c r="H15" s="314" t="s">
        <v>80</v>
      </c>
      <c r="I15" s="313" t="s">
        <v>308</v>
      </c>
      <c r="J15" s="313" t="s">
        <v>309</v>
      </c>
      <c r="K15" s="313" t="s">
        <v>310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146</v>
      </c>
      <c r="Z15" s="320"/>
      <c r="AA15" s="320"/>
      <c r="AB15" s="320">
        <f>SUBTOTAL(109,Table424[قيمة])</f>
        <v>4830</v>
      </c>
      <c r="AG15" s="357"/>
    </row>
    <row r="16" spans="1:33" ht="18.75">
      <c r="A16" s="318"/>
      <c r="E16" s="314" t="s">
        <v>8</v>
      </c>
      <c r="F16" s="314" t="s">
        <v>9</v>
      </c>
      <c r="H16" s="320" t="s">
        <v>311</v>
      </c>
      <c r="I16" s="546">
        <v>5.8</v>
      </c>
      <c r="J16" s="546">
        <v>8.6</v>
      </c>
      <c r="K16" s="546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spans="1:33" ht="18.75">
      <c r="A17" s="332"/>
      <c r="B17"/>
      <c r="C17"/>
      <c r="D17"/>
      <c r="E17" s="314" t="s">
        <v>63</v>
      </c>
      <c r="F17" s="313" t="s">
        <v>66</v>
      </c>
      <c r="H17" s="320" t="s">
        <v>312</v>
      </c>
      <c r="I17" s="546">
        <v>5.65</v>
      </c>
      <c r="J17" s="546" t="s">
        <v>274</v>
      </c>
      <c r="K17" s="546" t="s">
        <v>274</v>
      </c>
      <c r="P17" s="357"/>
      <c r="R17" s="332"/>
      <c r="V17" s="314" t="s">
        <v>8</v>
      </c>
      <c r="W17" s="313" t="s">
        <v>9</v>
      </c>
      <c r="X17" s="313"/>
      <c r="Y17" s="314" t="s">
        <v>80</v>
      </c>
      <c r="Z17" s="313" t="s">
        <v>308</v>
      </c>
      <c r="AA17" s="313" t="s">
        <v>309</v>
      </c>
      <c r="AB17" s="313" t="s">
        <v>310</v>
      </c>
      <c r="AG17" s="357"/>
    </row>
    <row r="18" spans="1:33" ht="18.75">
      <c r="A18" s="332"/>
      <c r="B18"/>
      <c r="C18"/>
      <c r="D18"/>
      <c r="E18" s="314" t="s">
        <v>313</v>
      </c>
      <c r="F18" s="313" t="s">
        <v>94</v>
      </c>
      <c r="H18" s="320" t="s">
        <v>314</v>
      </c>
      <c r="I18" s="546">
        <v>6.1</v>
      </c>
      <c r="J18" s="546" t="s">
        <v>274</v>
      </c>
      <c r="K18" s="546" t="s">
        <v>274</v>
      </c>
      <c r="N18" s="890">
        <f>N6+N9+N10+N11</f>
        <v>14214</v>
      </c>
      <c r="O18" s="890"/>
      <c r="P18" s="357"/>
      <c r="R18" s="332"/>
      <c r="V18" s="320" t="s">
        <v>63</v>
      </c>
      <c r="W18" s="331" t="s">
        <v>66</v>
      </c>
      <c r="X18" s="313"/>
      <c r="Y18" s="320" t="s">
        <v>239</v>
      </c>
      <c r="Z18" s="320">
        <v>10</v>
      </c>
      <c r="AA18" s="320">
        <v>13</v>
      </c>
      <c r="AB18" s="320">
        <v>16</v>
      </c>
      <c r="AG18" s="357"/>
    </row>
    <row r="19" spans="1:33" ht="18.75">
      <c r="A19" s="332"/>
      <c r="B19"/>
      <c r="C19"/>
      <c r="D19"/>
      <c r="E19" s="314" t="s">
        <v>315</v>
      </c>
      <c r="F19" s="313" t="s">
        <v>316</v>
      </c>
      <c r="H19" s="320" t="s">
        <v>317</v>
      </c>
      <c r="I19" s="546">
        <v>6.5</v>
      </c>
      <c r="J19" s="546" t="s">
        <v>274</v>
      </c>
      <c r="K19" s="546" t="s">
        <v>274</v>
      </c>
      <c r="N19" s="890"/>
      <c r="O19" s="890"/>
      <c r="P19" s="357"/>
      <c r="R19" s="332"/>
      <c r="V19" s="320" t="s">
        <v>313</v>
      </c>
      <c r="W19" s="331" t="s">
        <v>94</v>
      </c>
      <c r="X19" s="313"/>
      <c r="Y19" s="320" t="s">
        <v>81</v>
      </c>
      <c r="Z19" s="320">
        <v>16</v>
      </c>
      <c r="AA19" s="320">
        <v>20</v>
      </c>
      <c r="AB19" s="320">
        <v>24</v>
      </c>
      <c r="AG19" s="357"/>
    </row>
    <row r="20" spans="1:33" ht="18.75">
      <c r="A20" s="332"/>
      <c r="B20"/>
      <c r="C20"/>
      <c r="D20"/>
      <c r="F20" s="313" t="s">
        <v>318</v>
      </c>
      <c r="H20" s="320" t="s">
        <v>319</v>
      </c>
      <c r="I20" s="546">
        <v>7.5</v>
      </c>
      <c r="J20" s="546" t="s">
        <v>274</v>
      </c>
      <c r="K20" s="546" t="s">
        <v>274</v>
      </c>
      <c r="N20" s="890"/>
      <c r="O20" s="890"/>
      <c r="P20" s="357"/>
      <c r="R20" s="332"/>
      <c r="V20" s="320"/>
      <c r="W20" s="331" t="s">
        <v>316</v>
      </c>
      <c r="X20" s="313"/>
      <c r="Y20" s="320"/>
      <c r="Z20" s="320"/>
      <c r="AA20" s="320"/>
      <c r="AB20" s="320"/>
      <c r="AG20" s="357"/>
    </row>
    <row r="21" spans="1:33" ht="18.75">
      <c r="A21" s="332"/>
      <c r="B21"/>
      <c r="C21"/>
      <c r="D21"/>
      <c r="H21" s="320" t="s">
        <v>320</v>
      </c>
      <c r="I21" s="546">
        <v>7.1</v>
      </c>
      <c r="J21" s="546">
        <v>10.6</v>
      </c>
      <c r="K21" s="546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spans="1:33" ht="18.75">
      <c r="A22" s="332"/>
      <c r="B22"/>
      <c r="C22"/>
      <c r="D22"/>
      <c r="H22" s="320" t="s">
        <v>321</v>
      </c>
      <c r="I22" s="546">
        <v>8.5</v>
      </c>
      <c r="J22" s="546">
        <v>12.8</v>
      </c>
      <c r="K22" s="546">
        <v>17.100000000000001</v>
      </c>
      <c r="N22" s="890">
        <f>N18*1.8</f>
        <v>25585.200000000001</v>
      </c>
      <c r="O22" s="890"/>
      <c r="P22" s="357"/>
      <c r="R22" s="332"/>
      <c r="AG22" s="357"/>
    </row>
    <row r="23" spans="1:33" ht="18.75">
      <c r="A23" s="332"/>
      <c r="B23"/>
      <c r="C23"/>
      <c r="D23"/>
      <c r="H23" s="320" t="s">
        <v>322</v>
      </c>
      <c r="I23" s="546">
        <v>9.4</v>
      </c>
      <c r="J23" s="546">
        <v>14</v>
      </c>
      <c r="K23" s="546">
        <v>18.5</v>
      </c>
      <c r="N23" s="890"/>
      <c r="O23" s="890"/>
      <c r="P23" s="357"/>
      <c r="R23" s="332"/>
      <c r="AG23" s="357"/>
    </row>
    <row r="24" spans="1:33">
      <c r="A24" s="318"/>
      <c r="N24" s="890"/>
      <c r="O24" s="890"/>
      <c r="P24" s="357"/>
      <c r="R24" s="332"/>
      <c r="AG24" s="357"/>
    </row>
    <row r="25" spans="1:33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 spans="1:33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 spans="1:33">
      <c r="A27" s="336" t="s">
        <v>124</v>
      </c>
      <c r="B27" s="337" t="s">
        <v>264</v>
      </c>
      <c r="C27" s="337" t="s">
        <v>125</v>
      </c>
      <c r="D27" s="337" t="s">
        <v>323</v>
      </c>
      <c r="E27" s="338" t="s">
        <v>237</v>
      </c>
      <c r="F27" s="337" t="s">
        <v>324</v>
      </c>
      <c r="G27" s="337" t="s">
        <v>231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spans="1:33" ht="20.25" customHeight="1">
      <c r="A28" s="339">
        <f>IF((تسعير!T53="بالتات"),0,(تسعير!T47+1))</f>
        <v>0</v>
      </c>
      <c r="B28" s="320">
        <v>70</v>
      </c>
      <c r="C28" s="567" t="s">
        <v>589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spans="1:33" ht="35.25" customHeight="1">
      <c r="A29" s="339">
        <f>IF((تسعير!T53="بالتات"),(تسعير!T47+1),0)</f>
        <v>2</v>
      </c>
      <c r="B29" s="320">
        <v>62</v>
      </c>
      <c r="C29" s="331" t="s">
        <v>326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4.0192000000000005</v>
      </c>
      <c r="G29" s="313">
        <f>Table12[[#This Row],[ميزان]]*Table12[[#This Row],[عدد]]</f>
        <v>124</v>
      </c>
      <c r="I29" s="216"/>
      <c r="J29" s="216"/>
      <c r="K29" s="217"/>
      <c r="L29" s="884" t="s">
        <v>203</v>
      </c>
      <c r="M29" s="884"/>
      <c r="N29" s="884"/>
      <c r="O29" s="884"/>
      <c r="P29" s="884"/>
      <c r="Q29" s="884"/>
      <c r="R29" s="216"/>
      <c r="S29" s="216"/>
      <c r="T29" s="216"/>
      <c r="U29" s="377"/>
    </row>
    <row r="30" spans="1:33" ht="35.25" customHeight="1">
      <c r="A30" s="339">
        <f>A28+A29</f>
        <v>2</v>
      </c>
      <c r="B30" s="320">
        <v>28</v>
      </c>
      <c r="C30" s="331" t="s">
        <v>327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328</v>
      </c>
      <c r="J30" s="218" t="s">
        <v>125</v>
      </c>
      <c r="K30" s="211" t="s">
        <v>204</v>
      </c>
      <c r="L30" s="211" t="s">
        <v>110</v>
      </c>
      <c r="M30" s="211" t="s">
        <v>205</v>
      </c>
      <c r="N30" s="211" t="s">
        <v>206</v>
      </c>
      <c r="O30" s="211" t="s">
        <v>151</v>
      </c>
      <c r="P30" s="211" t="s">
        <v>207</v>
      </c>
      <c r="Q30" s="211" t="s">
        <v>208</v>
      </c>
      <c r="R30" s="245" t="s">
        <v>131</v>
      </c>
      <c r="S30" s="211" t="s">
        <v>132</v>
      </c>
      <c r="U30" s="377"/>
    </row>
    <row r="31" spans="1:33" ht="35.25" customHeight="1">
      <c r="A31" s="339">
        <f>A30</f>
        <v>2</v>
      </c>
      <c r="B31" s="320">
        <v>19</v>
      </c>
      <c r="C31" s="567" t="s">
        <v>590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209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210</v>
      </c>
      <c r="N31" s="214" t="s">
        <v>133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t="shared" ref="S31:S43" si="2">(R31)/$G$84</f>
        <v>#DIV/0!</v>
      </c>
      <c r="U31" s="377"/>
    </row>
    <row r="32" spans="1:33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329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211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210</v>
      </c>
      <c r="N32" s="214" t="s">
        <v>133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spans="1:21" ht="35.25" customHeight="1">
      <c r="A33" s="339">
        <f>A30</f>
        <v>2</v>
      </c>
      <c r="B33" s="320">
        <v>1</v>
      </c>
      <c r="C33" s="331" t="s">
        <v>330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212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210</v>
      </c>
      <c r="N33" s="214" t="s">
        <v>133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spans="1:21" ht="35.25" customHeight="1">
      <c r="A34" s="339">
        <f>(A31+A32)*2</f>
        <v>12</v>
      </c>
      <c r="B34" s="320">
        <v>1</v>
      </c>
      <c r="C34" s="331" t="s">
        <v>331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213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210</v>
      </c>
      <c r="N34" s="214" t="s">
        <v>133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spans="1:21" ht="35.25" customHeight="1">
      <c r="A35" s="339">
        <f>تسعير!T47*4</f>
        <v>4</v>
      </c>
      <c r="B35" s="320">
        <v>1</v>
      </c>
      <c r="C35" s="331" t="s">
        <v>332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214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133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spans="1:21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333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215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133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spans="1:21" ht="35.25" customHeight="1">
      <c r="A37" s="341">
        <f>IF((تسعير!T46="ايبوكسي + دوكو"),Table12[[#This Row],[Column7]],IF((تسعير!T46="جلفنة + جوتن"),Table12[[#This Row],[Column6]]))</f>
        <v>5.9</v>
      </c>
      <c r="B37" s="320">
        <v>1</v>
      </c>
      <c r="C37" s="331" t="s">
        <v>33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216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133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spans="1:21" ht="35.25" customHeight="1">
      <c r="A38" s="341">
        <f>IF((تسعير!T46="ايبوكسي + دوكو"),Table12[[#This Row],[Column7]],IF((تسعير!T46="جلفنة + جوتن"),Table12[[#This Row],[Column6]]))</f>
        <v>5.9</v>
      </c>
      <c r="B38" s="320">
        <v>1</v>
      </c>
      <c r="C38" s="331" t="s">
        <v>32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217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133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spans="1:21" ht="35.25" customHeight="1">
      <c r="A39" s="341">
        <f>IF((تسعير!T46="ايبوكسي + دوكو"),Table12[[#This Row],[Column7]],IF((تسعير!T46="جلفنة + جوتن"),Table12[[#This Row],[Column6]]))</f>
        <v>5.9</v>
      </c>
      <c r="B39" s="320">
        <v>1</v>
      </c>
      <c r="C39" s="331" t="s">
        <v>31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218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t="shared" ref="R39:R43" si="3">I39*Q39</f>
        <v>8000</v>
      </c>
      <c r="S39" s="241" t="e">
        <f t="shared" si="2"/>
        <v>#DIV/0!</v>
      </c>
      <c r="U39" s="377"/>
    </row>
    <row r="40" spans="1:21" ht="35.25" customHeight="1">
      <c r="A40" s="341">
        <f>ROUND((F29+F30+F28)*0.4/3,0)</f>
        <v>1</v>
      </c>
      <c r="B40" s="320">
        <v>1</v>
      </c>
      <c r="C40" s="331" t="s">
        <v>30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219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spans="1:21" ht="35.25" customHeight="1">
      <c r="A41" s="341">
        <f>(A28+A30+A29)*5</f>
        <v>20</v>
      </c>
      <c r="B41" s="320">
        <v>1</v>
      </c>
      <c r="C41" s="331" t="s">
        <v>179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220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spans="1:21" ht="35.25" customHeight="1">
      <c r="A42" s="341">
        <f>(A28+A30+A29)*5</f>
        <v>20</v>
      </c>
      <c r="B42" s="320">
        <v>1</v>
      </c>
      <c r="C42" s="331" t="s">
        <v>181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221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spans="1:21" ht="35.25" customHeight="1">
      <c r="A43" s="341">
        <f>A28+A29+A30</f>
        <v>4</v>
      </c>
      <c r="B43" s="320">
        <v>1</v>
      </c>
      <c r="C43" s="331" t="s">
        <v>182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113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spans="1:21" ht="35.25" customHeight="1">
      <c r="A44" s="341">
        <f>(A28+A30+A29)*1</f>
        <v>4</v>
      </c>
      <c r="B44" s="320">
        <v>1</v>
      </c>
      <c r="C44" s="331" t="s">
        <v>184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0"/>
      <c r="J44" s="549" t="s">
        <v>146</v>
      </c>
      <c r="K44" s="571"/>
      <c r="L44" s="571"/>
      <c r="M44" s="572"/>
      <c r="N44" s="572"/>
      <c r="O44" s="573">
        <f>SUBTOTAL(109,Table161243[Column12])</f>
        <v>10450</v>
      </c>
      <c r="P44" s="571"/>
      <c r="Q44" s="242"/>
      <c r="R44" s="574">
        <f>SUBTOTAL(109,Table161243[اجمالي])</f>
        <v>40160</v>
      </c>
      <c r="S44" s="575" t="e">
        <f>Table161243[[#Totals],[اجمالي]]/$G$84</f>
        <v>#DIV/0!</v>
      </c>
      <c r="U44" s="377"/>
    </row>
    <row r="45" spans="1:21" ht="35.25" customHeight="1">
      <c r="A45" s="341">
        <f>A43</f>
        <v>4</v>
      </c>
      <c r="B45" s="320">
        <v>1</v>
      </c>
      <c r="C45" s="331" t="s">
        <v>185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spans="1:21" ht="25.5" customHeight="1">
      <c r="A46" s="341">
        <f>IF((تسعير!T46="A"),0,IF((تسعير!T46="جلفنة + جوتن"),(G52+G48+G30+G29+G28)))</f>
        <v>248</v>
      </c>
      <c r="B46" s="320">
        <v>1</v>
      </c>
      <c r="C46" s="331" t="s">
        <v>188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spans="1:21" ht="25.5" customHeight="1">
      <c r="A47" s="341">
        <f>IF((تسعير!T53="بالتات"),0,(A28+A29))</f>
        <v>0</v>
      </c>
      <c r="B47" s="320">
        <v>1</v>
      </c>
      <c r="C47" s="331" t="s">
        <v>334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8</v>
      </c>
      <c r="K47" s="211" t="s">
        <v>222</v>
      </c>
      <c r="L47" s="211" t="s">
        <v>223</v>
      </c>
      <c r="M47" s="211" t="s">
        <v>3</v>
      </c>
      <c r="N47" s="211" t="s">
        <v>9</v>
      </c>
      <c r="U47" s="377"/>
    </row>
    <row r="48" spans="1:21" ht="25.5" customHeight="1">
      <c r="A48" s="341">
        <f>IF((تسعير!T53="بالتات"),(A28+A29),0)</f>
        <v>2</v>
      </c>
      <c r="B48" s="320">
        <v>30</v>
      </c>
      <c r="C48" s="331" t="s">
        <v>335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336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spans="1:21" ht="25.5" customHeight="1">
      <c r="A49" s="341">
        <f>A48*2</f>
        <v>4</v>
      </c>
      <c r="B49" s="320">
        <v>1</v>
      </c>
      <c r="C49" s="331" t="s">
        <v>337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338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spans="1:21" ht="25.5" customHeight="1">
      <c r="A50" s="341">
        <f>A47*2</f>
        <v>0</v>
      </c>
      <c r="B50" s="320">
        <v>10</v>
      </c>
      <c r="C50" s="331" t="s">
        <v>339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224</v>
      </c>
      <c r="K50" s="214"/>
      <c r="L50" s="211"/>
      <c r="M50" s="280"/>
      <c r="N50" s="281">
        <f>N49+N48</f>
        <v>79390</v>
      </c>
      <c r="U50" s="377"/>
    </row>
    <row r="51" spans="1:21" ht="25.5" customHeight="1">
      <c r="A51" s="341">
        <f>ROUND((F29+F30)*0.4/3,0)</f>
        <v>1</v>
      </c>
      <c r="B51" s="320">
        <v>1</v>
      </c>
      <c r="C51" s="331" t="s">
        <v>34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225</v>
      </c>
      <c r="K51" s="214"/>
      <c r="L51" s="211"/>
      <c r="M51" s="310">
        <f t="shared" ref="M51" si="4"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spans="1:21" ht="25.5" customHeight="1">
      <c r="A52" s="341">
        <f>A48*4</f>
        <v>8</v>
      </c>
      <c r="B52" s="320">
        <v>1</v>
      </c>
      <c r="C52" s="331" t="s">
        <v>340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spans="1:21" ht="25.5" customHeight="1">
      <c r="A53" s="341">
        <f>ROUND((F29+F30)*0.4/3,0)</f>
        <v>1</v>
      </c>
      <c r="B53" s="320">
        <v>1</v>
      </c>
      <c r="C53" s="331" t="s">
        <v>341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 spans="1:21">
      <c r="A54" s="344" t="s">
        <v>146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 spans="1:21">
      <c r="A55" s="346"/>
      <c r="U55" s="377"/>
    </row>
    <row r="56" spans="1:21">
      <c r="A56" s="346"/>
      <c r="U56" s="377"/>
    </row>
    <row r="57" spans="1:21">
      <c r="A57" s="346"/>
      <c r="U57" s="377"/>
    </row>
    <row r="58" spans="1:21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 spans="1:21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 spans="1:21">
      <c r="A60" s="336" t="s">
        <v>124</v>
      </c>
      <c r="B60" s="337" t="s">
        <v>264</v>
      </c>
      <c r="C60" s="337" t="s">
        <v>125</v>
      </c>
      <c r="D60" s="337" t="s">
        <v>323</v>
      </c>
      <c r="E60" s="338" t="s">
        <v>237</v>
      </c>
      <c r="F60" s="337" t="s">
        <v>324</v>
      </c>
      <c r="G60" s="337" t="s">
        <v>231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spans="1:21" ht="18.75">
      <c r="A61" s="350">
        <f>IF((تسعير!T71="بالتات"),0,(تسعير!T65+1))</f>
        <v>0</v>
      </c>
      <c r="B61" s="320">
        <v>78</v>
      </c>
      <c r="C61" s="331" t="s">
        <v>325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spans="1:21" ht="18.75">
      <c r="A62" s="350">
        <f>IF((تسعير!T71="بالتات"),(تسعير!T65+1),0)</f>
        <v>2</v>
      </c>
      <c r="B62" s="320">
        <v>62</v>
      </c>
      <c r="C62" s="331" t="s">
        <v>326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4.0192000000000005</v>
      </c>
      <c r="G62" s="313">
        <f>Table1257[[#This Row],[ميزان]]*Table1257[[#This Row],[عدد]]</f>
        <v>124</v>
      </c>
      <c r="I62" s="216"/>
      <c r="J62" s="216"/>
      <c r="K62" s="217"/>
      <c r="L62" s="884" t="s">
        <v>203</v>
      </c>
      <c r="M62" s="884"/>
      <c r="N62" s="884"/>
      <c r="O62" s="884"/>
      <c r="P62" s="884"/>
      <c r="Q62" s="884"/>
      <c r="R62" s="216"/>
      <c r="S62" s="216"/>
      <c r="T62" s="216"/>
    </row>
    <row r="63" spans="1:21" ht="18.75">
      <c r="A63" s="350">
        <f>A61+A62</f>
        <v>2</v>
      </c>
      <c r="B63" s="320">
        <v>28</v>
      </c>
      <c r="C63" s="331" t="s">
        <v>327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124</v>
      </c>
      <c r="J63" s="218" t="s">
        <v>125</v>
      </c>
      <c r="K63" s="211" t="s">
        <v>204</v>
      </c>
      <c r="L63" s="211" t="s">
        <v>110</v>
      </c>
      <c r="M63" s="211" t="s">
        <v>205</v>
      </c>
      <c r="N63" s="211" t="s">
        <v>206</v>
      </c>
      <c r="O63" s="211" t="s">
        <v>151</v>
      </c>
      <c r="P63" s="211" t="s">
        <v>207</v>
      </c>
      <c r="Q63" s="211" t="s">
        <v>208</v>
      </c>
      <c r="R63" s="245" t="s">
        <v>131</v>
      </c>
      <c r="S63" s="211" t="s">
        <v>132</v>
      </c>
    </row>
    <row r="64" spans="1:21" ht="21">
      <c r="A64" s="350">
        <f>A63+تسعير!T65*4</f>
        <v>6</v>
      </c>
      <c r="B64" s="320">
        <v>19</v>
      </c>
      <c r="C64" s="567" t="s">
        <v>590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209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210</v>
      </c>
      <c r="N64" s="214" t="s">
        <v>133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t="shared" ref="S64:S76" si="5">(R64)/$G$84</f>
        <v>#DIV/0!</v>
      </c>
    </row>
    <row r="65" spans="1:19" ht="21">
      <c r="A65" s="350">
        <f>تسعير!T65*4</f>
        <v>4</v>
      </c>
      <c r="B65" s="320">
        <v>23</v>
      </c>
      <c r="C65" s="331" t="s">
        <v>342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211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210</v>
      </c>
      <c r="N65" s="214" t="s">
        <v>133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spans="1:19" ht="21">
      <c r="A66" s="350">
        <f>A63</f>
        <v>2</v>
      </c>
      <c r="B66" s="320">
        <v>1</v>
      </c>
      <c r="C66" s="331" t="s">
        <v>330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212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210</v>
      </c>
      <c r="N66" s="214" t="s">
        <v>133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spans="1:19" ht="21">
      <c r="A67" s="350">
        <f>(A64+A65)*2</f>
        <v>20</v>
      </c>
      <c r="B67" s="320">
        <v>1</v>
      </c>
      <c r="C67" s="331" t="s">
        <v>331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213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210</v>
      </c>
      <c r="N67" s="214" t="s">
        <v>133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spans="1:19" ht="21">
      <c r="A68" s="350">
        <f>تسعير!T65*4</f>
        <v>4</v>
      </c>
      <c r="B68" s="320">
        <v>1</v>
      </c>
      <c r="C68" s="331" t="s">
        <v>332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214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133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spans="1:19" ht="21">
      <c r="A69" s="350">
        <f>تسعير!T65</f>
        <v>1</v>
      </c>
      <c r="B69" s="320">
        <v>1</v>
      </c>
      <c r="C69" s="331" t="s">
        <v>297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215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133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spans="1:19" ht="21">
      <c r="A70" s="350">
        <f>تسعير!T65*36</f>
        <v>36</v>
      </c>
      <c r="B70" s="320">
        <v>1</v>
      </c>
      <c r="C70" s="331" t="s">
        <v>333</v>
      </c>
      <c r="D70" s="320">
        <f>Sheet2!B47</f>
        <v>125</v>
      </c>
      <c r="E70" s="568">
        <f>Table1257[[#This Row],[سعر]]*Table1257[[#This Row],[ميزان]]*Table1257[[#This Row],[عدد]]</f>
        <v>4500</v>
      </c>
      <c r="I70" s="212">
        <v>3</v>
      </c>
      <c r="J70" s="371" t="s">
        <v>216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133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spans="1:19" ht="21">
      <c r="A71" s="381">
        <f>IF((تسعير!T64="ايبوكسي + دوكو"),Table1257[[#This Row],[Column7]],IF((تسعير!T64="جلفنة + جوتن"),Table1257[[#This Row],[Column6]]))</f>
        <v>5.9</v>
      </c>
      <c r="B71" s="320">
        <v>1</v>
      </c>
      <c r="C71" s="331" t="s">
        <v>33</v>
      </c>
      <c r="D71" s="320">
        <f>Sheet2!B27</f>
        <v>510</v>
      </c>
      <c r="E71" s="569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217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133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spans="1:19" ht="21">
      <c r="A72" s="381">
        <f>IF((تسعير!T64="ايبوكسي + دوكو"),Table1257[[#This Row],[Column7]],IF((تسعير!T64="جلفنة + جوتن"),Table1257[[#This Row],[Column6]]))</f>
        <v>5.9</v>
      </c>
      <c r="B72" s="320">
        <v>1</v>
      </c>
      <c r="C72" s="331" t="s">
        <v>32</v>
      </c>
      <c r="D72" s="320">
        <f>Sheet2!B26</f>
        <v>220</v>
      </c>
      <c r="E72" s="569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218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t="shared" ref="R72:R76" si="6">I72*Q72</f>
        <v>8000</v>
      </c>
      <c r="S72" s="241" t="e">
        <f t="shared" si="5"/>
        <v>#DIV/0!</v>
      </c>
    </row>
    <row r="73" spans="1:19" ht="21">
      <c r="A73" s="381">
        <f>IF((تسعير!T64="ايبوكسي + دوكو"),Table1257[[#This Row],[Column7]],IF((تسعير!T64="جلفنة + جوتن"),Table1257[[#This Row],[Column6]]))</f>
        <v>5.9</v>
      </c>
      <c r="B73" s="320">
        <v>1</v>
      </c>
      <c r="C73" s="331" t="s">
        <v>31</v>
      </c>
      <c r="D73" s="320">
        <f>Sheet2!B25</f>
        <v>95</v>
      </c>
      <c r="E73" s="569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219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spans="1:19" ht="21">
      <c r="A74" s="381">
        <f>ROUND((F62+F63+F61)*0.4/3,0)</f>
        <v>1</v>
      </c>
      <c r="B74" s="320">
        <v>1</v>
      </c>
      <c r="C74" s="331" t="s">
        <v>30</v>
      </c>
      <c r="D74" s="320">
        <f>Sheet2!B24</f>
        <v>400</v>
      </c>
      <c r="E74" s="569">
        <f>Table1257[[#This Row],[سعر]]*Table1257[[#This Row],[ميزان]]*Table1257[[#This Row],[عدد]]</f>
        <v>400</v>
      </c>
      <c r="I74" s="212">
        <v>2</v>
      </c>
      <c r="J74" s="371" t="s">
        <v>220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spans="1:19" ht="21">
      <c r="A75" s="381">
        <f>(A61+A62+A63)*4</f>
        <v>16</v>
      </c>
      <c r="B75" s="320">
        <v>1</v>
      </c>
      <c r="C75" s="331" t="s">
        <v>179</v>
      </c>
      <c r="D75" s="320">
        <f>Sheet2!B48</f>
        <v>25</v>
      </c>
      <c r="E75" s="569">
        <f>Table1257[[#This Row],[سعر]]*Table1257[[#This Row],[ميزان]]*Table1257[[#This Row],[عدد]]</f>
        <v>400</v>
      </c>
      <c r="I75" s="212">
        <v>2</v>
      </c>
      <c r="J75" s="371" t="s">
        <v>221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spans="1:19" ht="21">
      <c r="A76" s="381">
        <f>(A61+A62+A63)*4</f>
        <v>16</v>
      </c>
      <c r="B76" s="320">
        <v>1</v>
      </c>
      <c r="C76" s="331" t="s">
        <v>181</v>
      </c>
      <c r="D76" s="320">
        <f>Sheet2!B48</f>
        <v>25</v>
      </c>
      <c r="E76" s="569">
        <f>Table1257[[#This Row],[سعر]]*Table1257[[#This Row],[ميزان]]*Table1257[[#This Row],[عدد]]</f>
        <v>400</v>
      </c>
      <c r="I76" s="212">
        <f>I73</f>
        <v>8</v>
      </c>
      <c r="J76" s="371" t="s">
        <v>113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spans="1:19" ht="18.75">
      <c r="A77" s="381">
        <f>A61+A62+A63</f>
        <v>4</v>
      </c>
      <c r="B77" s="320">
        <v>1</v>
      </c>
      <c r="C77" s="331" t="s">
        <v>182</v>
      </c>
      <c r="D77" s="320">
        <v>25</v>
      </c>
      <c r="E77" s="569">
        <f>Table1257[[#This Row],[سعر]]*Table1257[[#This Row],[ميزان]]*Table1257[[#This Row],[عدد]]</f>
        <v>100</v>
      </c>
      <c r="I77" s="570"/>
      <c r="J77" s="549" t="s">
        <v>146</v>
      </c>
      <c r="K77" s="571"/>
      <c r="L77" s="571"/>
      <c r="M77" s="572"/>
      <c r="N77" s="572"/>
      <c r="O77" s="573">
        <f>SUBTOTAL(109,Table16124360[Column12])</f>
        <v>10450</v>
      </c>
      <c r="P77" s="571"/>
      <c r="Q77" s="242"/>
      <c r="R77" s="574">
        <f>SUBTOTAL(109,Table16124360[اجمالي])</f>
        <v>42420</v>
      </c>
      <c r="S77" s="575" t="e">
        <f>Table16124360[[#Totals],[اجمالي]]/$G$84</f>
        <v>#DIV/0!</v>
      </c>
    </row>
    <row r="78" spans="1:19" ht="18.75">
      <c r="A78" s="381">
        <f>ROUND((F62+F63)*0.4,0)</f>
        <v>3</v>
      </c>
      <c r="B78" s="320">
        <v>1</v>
      </c>
      <c r="C78" s="331" t="s">
        <v>184</v>
      </c>
      <c r="D78" s="320">
        <v>18</v>
      </c>
      <c r="E78" s="569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spans="1:19" ht="18.75">
      <c r="A79" s="381">
        <v>5</v>
      </c>
      <c r="B79" s="320">
        <v>1</v>
      </c>
      <c r="C79" s="331" t="s">
        <v>185</v>
      </c>
      <c r="D79" s="320">
        <v>40</v>
      </c>
      <c r="E79" s="569">
        <f>Table1257[[#This Row],[سعر]]*Table1257[[#This Row],[ميزان]]*Table1257[[#This Row],[عدد]]</f>
        <v>200</v>
      </c>
    </row>
    <row r="80" spans="1:19" ht="18.75">
      <c r="A80" s="381">
        <f>IF((تسعير!T64="A"),0,IF((تسعير!T64="جلفنة + جوتن"),(G86+G82+G63+G62+G61)))</f>
        <v>248</v>
      </c>
      <c r="B80" s="320">
        <v>1</v>
      </c>
      <c r="C80" s="331" t="s">
        <v>188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8</v>
      </c>
      <c r="K80" s="211" t="s">
        <v>222</v>
      </c>
      <c r="L80" s="211" t="s">
        <v>223</v>
      </c>
      <c r="M80" s="211" t="s">
        <v>3</v>
      </c>
      <c r="N80" s="211" t="s">
        <v>9</v>
      </c>
    </row>
    <row r="81" spans="1:20" ht="18.75">
      <c r="A81" s="381">
        <f>IF((تسعير!T71="بالتات"),0,(A61+A62))</f>
        <v>0</v>
      </c>
      <c r="B81" s="320">
        <v>1</v>
      </c>
      <c r="C81" s="331" t="s">
        <v>334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336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spans="1:20" ht="18.75">
      <c r="A82" s="381">
        <f>IF((تسعير!T71="بالتات"),(A61+A62),0)</f>
        <v>2</v>
      </c>
      <c r="B82" s="320">
        <v>30</v>
      </c>
      <c r="C82" s="331" t="s">
        <v>335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338</v>
      </c>
      <c r="K82" s="214"/>
      <c r="L82" s="211"/>
      <c r="M82" s="280"/>
      <c r="N82" s="281">
        <f>Table1257[[#Totals],[Column5]]+Table16124360[[#Totals],[اجمالي]]</f>
        <v>88303.5</v>
      </c>
    </row>
    <row r="83" spans="1:20" ht="18.75">
      <c r="A83" s="381">
        <f>A82*2</f>
        <v>4</v>
      </c>
      <c r="B83" s="320">
        <v>1</v>
      </c>
      <c r="C83" s="331" t="s">
        <v>337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224</v>
      </c>
      <c r="K83" s="214"/>
      <c r="L83" s="211"/>
      <c r="M83" s="280"/>
      <c r="N83" s="281">
        <f>N82+N81</f>
        <v>88303.5</v>
      </c>
    </row>
    <row r="84" spans="1:20" ht="18.75">
      <c r="A84" s="381">
        <f>A81*1.5</f>
        <v>0</v>
      </c>
      <c r="B84" s="320">
        <v>10</v>
      </c>
      <c r="C84" s="331" t="s">
        <v>339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225</v>
      </c>
      <c r="K84" s="214"/>
      <c r="L84" s="211"/>
      <c r="M84" s="310">
        <f t="shared" ref="M84" si="7"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spans="1:20" ht="18.75">
      <c r="A85" s="381">
        <f>ROUND((F62+F63)*0.4/3,0)</f>
        <v>1</v>
      </c>
      <c r="B85" s="320">
        <v>1</v>
      </c>
      <c r="C85" s="331" t="s">
        <v>34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spans="1:20" ht="18.75">
      <c r="A86" s="381">
        <f>A82*4</f>
        <v>8</v>
      </c>
      <c r="B86" s="320">
        <v>1</v>
      </c>
      <c r="C86" s="331" t="s">
        <v>340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spans="1:20" ht="18.75">
      <c r="A87" s="381">
        <f>ROUND((F62+F63)*0.4/3,0)</f>
        <v>1</v>
      </c>
      <c r="B87" s="320">
        <v>1</v>
      </c>
      <c r="C87" s="331" t="s">
        <v>341</v>
      </c>
      <c r="D87" s="320">
        <v>200</v>
      </c>
      <c r="E87" s="342">
        <f>Table1257[[#This Row],[سعر]]*Table1257[[#This Row],[ميزان]]*Table1257[[#This Row],[عدد]]</f>
        <v>200</v>
      </c>
    </row>
    <row r="88" spans="1:20">
      <c r="A88" s="344" t="s">
        <v>146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 spans="1:20">
      <c r="A89" s="346"/>
    </row>
    <row r="90" spans="1:20">
      <c r="A90" s="346"/>
    </row>
    <row r="91" spans="1:20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 spans="1:20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 count="4"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40625" defaultRowHeight="15"/>
  <cols>
    <col min="1" max="1" width="38.28515625" style="1" customWidth="1"/>
    <col min="2" max="3" width="13" style="1" customWidth="1"/>
    <col min="4" max="4" width="11.7109375" style="1" customWidth="1"/>
    <col min="5" max="5" width="14.140625" style="1" customWidth="1"/>
    <col min="6" max="6" width="19.85546875" style="1" customWidth="1"/>
    <col min="7" max="7" width="12.140625" style="1" customWidth="1"/>
    <col min="8" max="9" width="11.85546875" style="1" customWidth="1"/>
    <col min="10" max="10" width="15.7109375" style="1" customWidth="1"/>
    <col min="11" max="11" width="9.140625" style="1" customWidth="1"/>
    <col min="12" max="12" width="5.85546875" style="1" customWidth="1"/>
    <col min="13" max="13" width="15.140625" style="1" customWidth="1"/>
    <col min="14" max="14" width="56.28515625" style="1" customWidth="1"/>
    <col min="15" max="17" width="9.140625" style="1"/>
    <col min="18" max="18" width="19.28515625" style="1" customWidth="1"/>
    <col min="19" max="19" width="16.42578125" style="1" customWidth="1"/>
    <col min="20" max="20" width="20.7109375" style="1" customWidth="1"/>
    <col min="21" max="21" width="25.28515625" style="1" customWidth="1"/>
    <col min="22" max="22" width="16.85546875" style="1" customWidth="1"/>
    <col min="23" max="23" width="18.140625" style="1" customWidth="1"/>
    <col min="24" max="24" width="9.140625" style="1"/>
    <col min="25" max="25" width="14.5703125" style="1" customWidth="1"/>
    <col min="26" max="35" width="9.140625" style="1"/>
    <col min="36" max="36" width="55.140625" style="1" customWidth="1"/>
    <col min="37" max="37" width="9.140625" style="1"/>
    <col min="38" max="38" width="16.7109375" style="1" customWidth="1"/>
    <col min="39" max="39" width="17" style="1" customWidth="1"/>
    <col min="40" max="47" width="9.140625" style="1"/>
    <col min="48" max="48" width="46.85546875" style="1" customWidth="1"/>
    <col min="49" max="49" width="14.28515625" style="1" customWidth="1"/>
    <col min="50" max="50" width="14.85546875" style="1" customWidth="1"/>
    <col min="51" max="51" width="12.5703125" style="1" customWidth="1"/>
    <col min="52" max="52" width="14.85546875" style="1" customWidth="1"/>
    <col min="53" max="53" width="22.28515625" style="1" customWidth="1"/>
    <col min="54" max="54" width="3.42578125" style="1" customWidth="1"/>
    <col min="55" max="55" width="10.42578125" style="1" customWidth="1"/>
    <col min="56" max="56" width="11.85546875" style="1" customWidth="1"/>
    <col min="57" max="57" width="16.7109375" style="1" customWidth="1"/>
    <col min="58" max="58" width="6.28515625" style="1" customWidth="1"/>
    <col min="59" max="59" width="14.28515625" style="1" customWidth="1"/>
    <col min="60" max="60" width="13" style="1" customWidth="1"/>
    <col min="61" max="61" width="44.28515625" style="1" customWidth="1"/>
    <col min="62" max="62" width="14.28515625" style="1" customWidth="1"/>
    <col min="63" max="63" width="14.140625" style="1" customWidth="1"/>
    <col min="64" max="64" width="13.85546875" style="1" customWidth="1"/>
    <col min="65" max="65" width="14.140625" style="1" customWidth="1"/>
    <col min="66" max="66" width="14.7109375" style="1" customWidth="1"/>
    <col min="67" max="67" width="13.7109375" style="1" customWidth="1"/>
    <col min="68" max="68" width="17.7109375" style="1" customWidth="1"/>
    <col min="69" max="69" width="21.85546875" style="1" customWidth="1"/>
    <col min="70" max="70" width="21.140625" style="1" customWidth="1"/>
    <col min="71" max="82" width="9.140625" style="1"/>
    <col min="83" max="83" width="26.5703125" style="1" customWidth="1"/>
    <col min="84" max="16384" width="9.140625" style="1"/>
  </cols>
  <sheetData>
    <row r="1" spans="1:93" ht="21">
      <c r="A1" s="531" t="s">
        <v>380</v>
      </c>
      <c r="B1" s="532">
        <f>(F1*D1)/10000</f>
        <v>20.399999999999999</v>
      </c>
      <c r="C1" s="533" t="s">
        <v>230</v>
      </c>
      <c r="D1" s="534">
        <f>تسعير!AT34</f>
        <v>510</v>
      </c>
      <c r="E1" s="533" t="s">
        <v>198</v>
      </c>
      <c r="F1" s="534">
        <f>تسعير!AT33</f>
        <v>400</v>
      </c>
      <c r="G1" s="533" t="s">
        <v>59</v>
      </c>
      <c r="H1" s="534" t="str">
        <f>تسعير!AT26</f>
        <v>خشبي</v>
      </c>
      <c r="I1" s="548" t="str">
        <f>تسعير!AT32</f>
        <v>بالتات</v>
      </c>
      <c r="J1" s="535"/>
      <c r="K1" s="192"/>
      <c r="L1" s="878" t="s">
        <v>99</v>
      </c>
      <c r="M1" s="879"/>
      <c r="N1" s="880"/>
      <c r="O1" s="201" t="s">
        <v>100</v>
      </c>
      <c r="P1" s="202" t="s">
        <v>101</v>
      </c>
      <c r="Q1" s="223" t="s">
        <v>102</v>
      </c>
      <c r="R1" s="224" t="s">
        <v>103</v>
      </c>
      <c r="S1" s="224" t="s">
        <v>104</v>
      </c>
      <c r="T1" s="224" t="s">
        <v>105</v>
      </c>
      <c r="U1" s="224" t="s">
        <v>106</v>
      </c>
      <c r="V1" s="225" t="s">
        <v>107</v>
      </c>
      <c r="W1" s="226"/>
      <c r="X1" s="227"/>
      <c r="Y1" s="227" t="s">
        <v>8</v>
      </c>
      <c r="Z1" s="227" t="s">
        <v>108</v>
      </c>
      <c r="AA1" s="227" t="s">
        <v>109</v>
      </c>
      <c r="AB1" s="227" t="s">
        <v>110</v>
      </c>
      <c r="AC1" s="227" t="s">
        <v>111</v>
      </c>
      <c r="AD1" s="227" t="s">
        <v>112</v>
      </c>
      <c r="AE1" s="227" t="s">
        <v>113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343</v>
      </c>
      <c r="AW1" s="189">
        <f>(BA1*AY1)/10000</f>
        <v>20</v>
      </c>
      <c r="AX1" s="190" t="s">
        <v>230</v>
      </c>
      <c r="AY1" s="191">
        <f>تسعير!$AT$54</f>
        <v>400</v>
      </c>
      <c r="AZ1" s="190" t="s">
        <v>198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8" t="s">
        <v>99</v>
      </c>
      <c r="BH1" s="879"/>
      <c r="BI1" s="880"/>
      <c r="BJ1" s="201" t="s">
        <v>100</v>
      </c>
      <c r="BK1" s="202" t="s">
        <v>101</v>
      </c>
      <c r="BL1" s="223" t="s">
        <v>102</v>
      </c>
      <c r="BM1" s="224" t="s">
        <v>103</v>
      </c>
      <c r="BN1" s="224" t="s">
        <v>104</v>
      </c>
      <c r="BO1" s="224" t="s">
        <v>105</v>
      </c>
      <c r="BP1" s="224" t="s">
        <v>106</v>
      </c>
      <c r="BQ1" s="225" t="s">
        <v>107</v>
      </c>
      <c r="BR1" s="226"/>
      <c r="BS1" s="227"/>
      <c r="BT1" s="227" t="s">
        <v>8</v>
      </c>
      <c r="BU1" s="227" t="s">
        <v>108</v>
      </c>
      <c r="BV1" s="227" t="s">
        <v>109</v>
      </c>
      <c r="BW1" s="227" t="s">
        <v>110</v>
      </c>
      <c r="BX1" s="227" t="s">
        <v>111</v>
      </c>
      <c r="BY1" s="227" t="s">
        <v>112</v>
      </c>
      <c r="BZ1" s="227" t="s">
        <v>113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spans="1:93" ht="18.75">
      <c r="A2" s="536" t="s">
        <v>8</v>
      </c>
      <c r="B2" s="537" t="s">
        <v>124</v>
      </c>
      <c r="C2" s="537" t="s">
        <v>344</v>
      </c>
      <c r="D2" s="537" t="s">
        <v>9</v>
      </c>
      <c r="E2" s="537" t="s">
        <v>345</v>
      </c>
      <c r="F2" s="537" t="s">
        <v>346</v>
      </c>
      <c r="G2" s="527"/>
      <c r="H2" s="538" t="s">
        <v>347</v>
      </c>
      <c r="I2" s="538"/>
      <c r="J2" s="538" t="s">
        <v>348</v>
      </c>
      <c r="L2" s="881"/>
      <c r="M2" s="882"/>
      <c r="N2" s="883"/>
      <c r="O2" s="203"/>
      <c r="P2" s="204"/>
      <c r="Q2" s="228">
        <f>O2*P2</f>
        <v>0</v>
      </c>
      <c r="R2" s="229" t="e">
        <f ca="1"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114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8</v>
      </c>
      <c r="AW2" s="194" t="s">
        <v>124</v>
      </c>
      <c r="AX2" s="194" t="s">
        <v>344</v>
      </c>
      <c r="AY2" s="194" t="s">
        <v>9</v>
      </c>
      <c r="AZ2" s="194" t="s">
        <v>345</v>
      </c>
      <c r="BA2" s="194" t="s">
        <v>346</v>
      </c>
      <c r="BC2" s="195" t="s">
        <v>347</v>
      </c>
      <c r="BD2" s="195"/>
      <c r="BE2" s="195" t="s">
        <v>348</v>
      </c>
      <c r="BG2" s="881"/>
      <c r="BH2" s="882"/>
      <c r="BI2" s="883"/>
      <c r="BJ2" s="203"/>
      <c r="BK2" s="204"/>
      <c r="BL2" s="228">
        <f>BJ2*BK2</f>
        <v>0</v>
      </c>
      <c r="BM2" s="229" t="e">
        <f ca="1"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114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spans="1:93" ht="21.75" thickBot="1">
      <c r="A3" s="536" t="s">
        <v>349</v>
      </c>
      <c r="B3" s="539">
        <f>ROUNDUP((12+((ROUNDUP((D1-210),15))/15)),0)</f>
        <v>32</v>
      </c>
      <c r="C3" s="540">
        <f>F1-16.5</f>
        <v>383.5</v>
      </c>
      <c r="D3" s="537" t="s">
        <v>350</v>
      </c>
      <c r="E3" s="537">
        <v>2.2999999999999998</v>
      </c>
      <c r="F3" s="537">
        <f>IF(($H$1="سادة"),(J3*H3*E3*($U$2+(Sheet2!B41*1000))/1000),(J3*H3*E3*($U$2+(Sheet2!B15))/1000))</f>
        <v>94796.800000000003</v>
      </c>
      <c r="G3" s="527"/>
      <c r="H3" s="538">
        <f>CEILING(Table80102114[[#This Row],[طول]]/100,0.5)</f>
        <v>4</v>
      </c>
      <c r="I3" s="279">
        <f t="shared" ref="I3:I8" si="0">(H3*100)/C3</f>
        <v>1.0430247718383312</v>
      </c>
      <c r="J3" s="541">
        <f t="shared" ref="J3:J8" si="1">B3/(ROUNDDOWN(I3,0))</f>
        <v>32</v>
      </c>
      <c r="L3" s="885" t="s">
        <v>115</v>
      </c>
      <c r="M3" s="886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116</v>
      </c>
      <c r="R3" s="887">
        <f ca="1">NOW()</f>
        <v>46132.673925578703</v>
      </c>
      <c r="S3" s="888"/>
      <c r="T3" s="888"/>
      <c r="U3" s="235"/>
      <c r="V3" s="235"/>
      <c r="W3" s="235"/>
      <c r="X3" s="207"/>
      <c r="Y3" s="216" t="s">
        <v>96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349</v>
      </c>
      <c r="AW3" s="196">
        <f>ROUNDUP((12+((ROUNDUP((AY1-210),18))/18)),0)</f>
        <v>23</v>
      </c>
      <c r="AX3" s="197">
        <f>BA1-16.5</f>
        <v>483.5</v>
      </c>
      <c r="AY3" s="194" t="s">
        <v>350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5" t="s">
        <v>115</v>
      </c>
      <c r="BH3" s="886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116</v>
      </c>
      <c r="BM3" s="887">
        <f ca="1">NOW()</f>
        <v>46132.673925578703</v>
      </c>
      <c r="BN3" s="888"/>
      <c r="BO3" s="888"/>
      <c r="BP3" s="235"/>
      <c r="BQ3" s="235"/>
      <c r="BR3" s="235"/>
      <c r="BS3" s="207"/>
      <c r="BT3" s="216" t="s">
        <v>96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spans="1:93" s="187" customFormat="1" ht="19.5" thickBot="1">
      <c r="A4" s="536" t="s">
        <v>351</v>
      </c>
      <c r="B4" s="537">
        <v>2</v>
      </c>
      <c r="C4" s="539">
        <f>F1</f>
        <v>400</v>
      </c>
      <c r="D4" s="537" t="s">
        <v>350</v>
      </c>
      <c r="E4" s="537">
        <v>3.8</v>
      </c>
      <c r="F4" s="537">
        <f>IF(($H$1="سادة"),(J4*H4*E4*($U$2+(Sheet2!B41*1000))/1000),(J4*H4*E4*($U$2+(Sheet2!B15))/1000))</f>
        <v>9788.7999999999993</v>
      </c>
      <c r="G4" s="542"/>
      <c r="H4" s="538">
        <f>CEILING(Table80102114[[#This Row],[طول]]/100,0.5)</f>
        <v>4</v>
      </c>
      <c r="I4" s="279">
        <f t="shared" si="0"/>
        <v>1</v>
      </c>
      <c r="J4" s="541">
        <f t="shared" si="1"/>
        <v>2</v>
      </c>
      <c r="K4" s="1"/>
      <c r="L4" s="208"/>
      <c r="M4" s="208"/>
      <c r="N4" s="209"/>
      <c r="O4" s="884" t="s">
        <v>117</v>
      </c>
      <c r="P4" s="884"/>
      <c r="Q4" s="884"/>
      <c r="R4" s="884"/>
      <c r="S4" s="884"/>
      <c r="T4" s="884"/>
      <c r="U4" s="236"/>
      <c r="V4" s="236"/>
      <c r="W4" s="236"/>
      <c r="X4" s="207"/>
      <c r="Y4" s="216" t="s">
        <v>53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118</v>
      </c>
      <c r="AG4" s="207"/>
      <c r="AH4" s="207"/>
      <c r="AI4" s="207"/>
      <c r="AJ4" s="207" t="s">
        <v>119</v>
      </c>
      <c r="AK4" s="207" t="s">
        <v>120</v>
      </c>
      <c r="AL4" s="207" t="s">
        <v>121</v>
      </c>
      <c r="AM4" s="207" t="s">
        <v>122</v>
      </c>
      <c r="AN4" s="207"/>
      <c r="AO4" s="207" t="s">
        <v>8</v>
      </c>
      <c r="AP4" s="207" t="s">
        <v>9</v>
      </c>
      <c r="AQ4" s="207" t="s">
        <v>3</v>
      </c>
      <c r="AR4" s="207" t="s">
        <v>122</v>
      </c>
      <c r="AS4" s="207" t="s">
        <v>237</v>
      </c>
      <c r="AT4" s="255"/>
      <c r="AU4" s="207"/>
      <c r="AV4" s="193" t="s">
        <v>352</v>
      </c>
      <c r="AW4" s="194">
        <v>2</v>
      </c>
      <c r="AX4" s="196">
        <f>BA1</f>
        <v>500</v>
      </c>
      <c r="AY4" s="194" t="s">
        <v>350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t="shared" ref="BD4:BD5" si="2">(BC4*100)/AX4</f>
        <v>1</v>
      </c>
      <c r="BE4" s="262">
        <f t="shared" ref="BE4:BE5" si="3">AW4/(ROUNDDOWN(BD4,0))</f>
        <v>2</v>
      </c>
      <c r="BG4" s="208"/>
      <c r="BH4" s="208"/>
      <c r="BI4" s="209"/>
      <c r="BJ4" s="884" t="s">
        <v>117</v>
      </c>
      <c r="BK4" s="884"/>
      <c r="BL4" s="884"/>
      <c r="BM4" s="884"/>
      <c r="BN4" s="884"/>
      <c r="BO4" s="884"/>
      <c r="BP4" s="236"/>
      <c r="BQ4" s="236"/>
      <c r="BR4" s="236"/>
      <c r="BS4" s="207"/>
      <c r="BT4" s="216" t="s">
        <v>53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118</v>
      </c>
      <c r="CB4" s="207"/>
      <c r="CC4" s="207"/>
      <c r="CD4" s="207"/>
      <c r="CE4" s="207" t="s">
        <v>119</v>
      </c>
      <c r="CF4" s="207" t="s">
        <v>120</v>
      </c>
      <c r="CG4" s="207" t="s">
        <v>121</v>
      </c>
      <c r="CH4" s="207" t="s">
        <v>122</v>
      </c>
      <c r="CI4" s="207"/>
      <c r="CJ4" s="207" t="s">
        <v>8</v>
      </c>
      <c r="CK4" s="207" t="s">
        <v>9</v>
      </c>
      <c r="CL4" s="207" t="s">
        <v>3</v>
      </c>
      <c r="CM4" s="207" t="s">
        <v>122</v>
      </c>
      <c r="CN4" s="207" t="s">
        <v>237</v>
      </c>
      <c r="CO4" s="255"/>
    </row>
    <row r="5" spans="1:93" s="187" customFormat="1" ht="19.5" thickBot="1">
      <c r="A5" s="536" t="s">
        <v>353</v>
      </c>
      <c r="B5" s="537">
        <v>2</v>
      </c>
      <c r="C5" s="539">
        <f>D1</f>
        <v>510</v>
      </c>
      <c r="D5" s="537" t="s">
        <v>350</v>
      </c>
      <c r="E5" s="537">
        <v>3.8</v>
      </c>
      <c r="F5" s="537">
        <f>IF(($H$1="سادة"),(J5*H5*E5*($U$2+(Sheet2!B41*1000))/1000),(J5*H5*E5*($U$2+(Sheet2!B15))/1000))</f>
        <v>13459.6</v>
      </c>
      <c r="G5" s="542"/>
      <c r="H5" s="538">
        <f>CEILING(Table80102114[[#This Row],[طول]]/100,0.5)</f>
        <v>5.5</v>
      </c>
      <c r="I5" s="279">
        <f t="shared" si="0"/>
        <v>1.0784313725490196</v>
      </c>
      <c r="J5" s="541">
        <f t="shared" si="1"/>
        <v>2</v>
      </c>
      <c r="K5" s="1"/>
      <c r="L5" s="208" t="s">
        <v>123</v>
      </c>
      <c r="M5" s="208" t="s">
        <v>124</v>
      </c>
      <c r="N5" s="210" t="s">
        <v>125</v>
      </c>
      <c r="O5" s="208" t="s">
        <v>9</v>
      </c>
      <c r="P5" s="208" t="s">
        <v>8</v>
      </c>
      <c r="Q5" s="208" t="s">
        <v>126</v>
      </c>
      <c r="R5" s="237" t="s">
        <v>127</v>
      </c>
      <c r="S5" s="237" t="s">
        <v>128</v>
      </c>
      <c r="T5" s="237" t="s">
        <v>354</v>
      </c>
      <c r="U5" s="237" t="s">
        <v>130</v>
      </c>
      <c r="V5" s="238" t="s">
        <v>131</v>
      </c>
      <c r="W5" s="237" t="s">
        <v>132</v>
      </c>
      <c r="X5" s="207"/>
      <c r="Y5" s="216" t="s">
        <v>89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133</v>
      </c>
      <c r="AG5" s="207"/>
      <c r="AH5" s="207"/>
      <c r="AI5" s="207"/>
      <c r="AJ5" s="233" t="s">
        <v>134</v>
      </c>
      <c r="AK5" s="233">
        <v>0.4</v>
      </c>
      <c r="AL5" s="237" t="s">
        <v>135</v>
      </c>
      <c r="AM5" s="216">
        <f>IF((تسعير!AT25="ايبوكسي + دوكو"),IF(((Table15880[[#Totals],[المسطح]]+Table166273[[#Totals],[Column12]])&gt;0),(Table15880[[#Totals],[المسطح]]+Table166273[[#Totals],[Column12]]-Q10+1)*Table66374[[#This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239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353</v>
      </c>
      <c r="AW5" s="194">
        <v>2</v>
      </c>
      <c r="AX5" s="196">
        <f>AY1</f>
        <v>400</v>
      </c>
      <c r="AY5" s="194" t="s">
        <v>350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123</v>
      </c>
      <c r="BH5" s="208" t="s">
        <v>124</v>
      </c>
      <c r="BI5" s="210" t="s">
        <v>125</v>
      </c>
      <c r="BJ5" s="208" t="s">
        <v>9</v>
      </c>
      <c r="BK5" s="208" t="s">
        <v>8</v>
      </c>
      <c r="BL5" s="208" t="s">
        <v>126</v>
      </c>
      <c r="BM5" s="237" t="s">
        <v>127</v>
      </c>
      <c r="BN5" s="237" t="s">
        <v>128</v>
      </c>
      <c r="BO5" s="237" t="s">
        <v>354</v>
      </c>
      <c r="BP5" s="237" t="s">
        <v>130</v>
      </c>
      <c r="BQ5" s="238" t="s">
        <v>131</v>
      </c>
      <c r="BR5" s="237" t="s">
        <v>132</v>
      </c>
      <c r="BS5" s="207"/>
      <c r="BT5" s="216" t="s">
        <v>89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133</v>
      </c>
      <c r="CB5" s="207"/>
      <c r="CC5" s="207"/>
      <c r="CD5" s="207"/>
      <c r="CE5" s="233" t="s">
        <v>134</v>
      </c>
      <c r="CF5" s="233">
        <v>0.4</v>
      </c>
      <c r="CG5" s="237" t="s">
        <v>135</v>
      </c>
      <c r="CH5" s="216">
        <f>IF((تسعير!AT45="ايبوكسي + دوكو"),IF(((Table1588090[[#Totals],[المسطح]]+Table16627383[[#Totals],[Column12]])&gt;0),(Table1588090[[#Totals],[المسطح]]+Table16627383[[#Totals],[Column12]]-BL10+1)*Table6637484[[#This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239</v>
      </c>
      <c r="CK5" s="207">
        <v>0.03</v>
      </c>
      <c r="CL5" s="207">
        <v>0.03</v>
      </c>
      <c r="CM5" s="207"/>
      <c r="CN5" s="207"/>
      <c r="CO5" s="255"/>
    </row>
    <row r="6" spans="1:93" s="187" customFormat="1" ht="18.75">
      <c r="A6" s="536" t="s">
        <v>355</v>
      </c>
      <c r="B6" s="537">
        <v>2</v>
      </c>
      <c r="C6" s="539">
        <f>F1</f>
        <v>400</v>
      </c>
      <c r="D6" s="537" t="s">
        <v>350</v>
      </c>
      <c r="E6" s="537">
        <v>1.7</v>
      </c>
      <c r="F6" s="537">
        <f>IF(($H$1="سادة"),(J6*H6*E6*($U$2+(Sheet2!B41*1000))/1000),(J6*H6*E6*($U$2+(Sheet2!B15))/1000))</f>
        <v>4379.2</v>
      </c>
      <c r="G6" s="542"/>
      <c r="H6" s="538">
        <f>CEILING(Table80102114[[#This Row],[طول]]/100,0.5)</f>
        <v>4</v>
      </c>
      <c r="I6" s="279">
        <f t="shared" si="0"/>
        <v>1</v>
      </c>
      <c r="J6" s="541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356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 ca="1">(V6)/$R$68</f>
        <v>9.9118080934840012E-3</v>
      </c>
      <c r="X6" s="216"/>
      <c r="Y6" s="216" t="s">
        <v>88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31</v>
      </c>
      <c r="AK6" s="216">
        <v>0.25</v>
      </c>
      <c r="AL6" s="216" t="s">
        <v>138</v>
      </c>
      <c r="AM6" s="216">
        <f>AM5*Table66374[[#This Row],[المعدل]]+4</f>
        <v>7.0960000000000001</v>
      </c>
      <c r="AN6" s="216"/>
      <c r="AO6" s="216" t="s">
        <v>241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357</v>
      </c>
      <c r="AW6" s="194">
        <v>1</v>
      </c>
      <c r="AX6" s="194">
        <f>(15.6*(AW3-1)+4)</f>
        <v>347.2</v>
      </c>
      <c r="AY6" s="194" t="s">
        <v>350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358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 ca="1">(BQ6)/$R$68</f>
        <v>9.9118080934840012E-3</v>
      </c>
      <c r="BS6" s="216"/>
      <c r="BT6" s="216" t="s">
        <v>88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31</v>
      </c>
      <c r="CF6" s="216">
        <v>0.25</v>
      </c>
      <c r="CG6" s="216" t="s">
        <v>138</v>
      </c>
      <c r="CH6" s="216">
        <f>CH5*Table6637484[[#This Row],[المعدل]]+4</f>
        <v>4</v>
      </c>
      <c r="CI6" s="216"/>
      <c r="CJ6" s="216" t="s">
        <v>241</v>
      </c>
      <c r="CK6" s="216">
        <v>0.05</v>
      </c>
      <c r="CL6" s="216">
        <v>0.05</v>
      </c>
      <c r="CM6" s="216"/>
      <c r="CN6" s="216"/>
      <c r="CO6" s="256"/>
    </row>
    <row r="7" spans="1:93" s="187" customFormat="1" ht="18.75">
      <c r="A7" s="536" t="s">
        <v>359</v>
      </c>
      <c r="B7" s="537">
        <v>2</v>
      </c>
      <c r="C7" s="539">
        <f>D1</f>
        <v>510</v>
      </c>
      <c r="D7" s="537" t="s">
        <v>350</v>
      </c>
      <c r="E7" s="537">
        <v>1.7</v>
      </c>
      <c r="F7" s="537">
        <f>IF(($H$1="سادة"),(J7*H7*E7*($U$2+(Sheet2!B41*1000))/1000),(J7*H7*E7*($U$2+(Sheet2!B15))/1000))</f>
        <v>6021.4</v>
      </c>
      <c r="G7" s="542"/>
      <c r="H7" s="538">
        <f>CEILING(Table80102114[[#This Row],[طول]]/100,0.5)</f>
        <v>5.5</v>
      </c>
      <c r="I7" s="279">
        <f t="shared" si="0"/>
        <v>1.0784313725490196</v>
      </c>
      <c r="J7" s="541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360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 ca="1">(V7)/$R$68</f>
        <v>2.5735922769046175E-2</v>
      </c>
      <c r="X7" s="216"/>
      <c r="Y7" s="216" t="s">
        <v>140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141</v>
      </c>
      <c r="AK7" s="216">
        <v>0.25</v>
      </c>
      <c r="AL7" s="211" t="s">
        <v>142</v>
      </c>
      <c r="AM7" s="216">
        <f>IF((تسعير!AT25="ايبوكسي + دوكو"),IF(((Table15880[[#Totals],[المسطح]]+Table166273[[#Totals],[Column12]])&gt;0),(Table15880[[#Totals],[المسطح]]+Table166273[[#Totals],[Column12]]+1)*Table66374[[#This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243</v>
      </c>
      <c r="AP7" s="216">
        <v>7.0000000000000007E-2</v>
      </c>
      <c r="AQ7" s="216">
        <v>7.0000000000000007E-2</v>
      </c>
      <c r="AR7" s="216"/>
      <c r="AS7" s="216"/>
      <c r="AT7" s="256"/>
      <c r="AU7" s="216"/>
      <c r="AV7" s="193" t="s">
        <v>361</v>
      </c>
      <c r="AW7" s="194"/>
      <c r="AX7" s="194">
        <f>AW3*2</f>
        <v>46</v>
      </c>
      <c r="AY7" s="194" t="s">
        <v>124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360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 ca="1">(BQ7)/$R$68</f>
        <v>2.5735922769046175E-2</v>
      </c>
      <c r="BS7" s="216"/>
      <c r="BT7" s="216" t="s">
        <v>140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141</v>
      </c>
      <c r="CF7" s="216">
        <v>0.25</v>
      </c>
      <c r="CG7" s="211" t="s">
        <v>142</v>
      </c>
      <c r="CH7" s="216">
        <f>IF((تسعير!AT45="ايبوكسي + دوكو"),IF(((Table1588090[[#Totals],[المسطح]]+Table16627383[[#Totals],[Column12]])&gt;0),(Table1588090[[#Totals],[المسطح]]+Table16627383[[#Totals],[Column12]]+1)*Table6637484[[#This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243</v>
      </c>
      <c r="CK7" s="216">
        <v>7.0000000000000007E-2</v>
      </c>
      <c r="CL7" s="216">
        <v>7.0000000000000007E-2</v>
      </c>
      <c r="CM7" s="216"/>
      <c r="CN7" s="216"/>
      <c r="CO7" s="256"/>
    </row>
    <row r="8" spans="1:93" s="187" customFormat="1" ht="18.75">
      <c r="A8" s="536" t="s">
        <v>362</v>
      </c>
      <c r="B8" s="537">
        <v>2</v>
      </c>
      <c r="C8" s="537">
        <f>C3</f>
        <v>383.5</v>
      </c>
      <c r="D8" s="537" t="s">
        <v>350</v>
      </c>
      <c r="E8" s="537">
        <v>0.65</v>
      </c>
      <c r="F8" s="537">
        <f>IF(($H$1="سادة"),(J8*H8*E8*($U$2+(Sheet2!B41*1000))/1000),(J8*H8*E8*($U$2+(Sheet2!B15))/1000))</f>
        <v>1674.4</v>
      </c>
      <c r="G8" s="542"/>
      <c r="H8" s="538">
        <f>CEILING(Table80102114[[#This Row],[طول]]/100,0.5)</f>
        <v>4</v>
      </c>
      <c r="I8" s="279">
        <f t="shared" si="0"/>
        <v>1.0430247718383312</v>
      </c>
      <c r="J8" s="541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9" t="s">
        <v>588</v>
      </c>
      <c r="O8" s="214">
        <v>7.0000000000000007E-2</v>
      </c>
      <c r="P8" s="214">
        <v>7.0000000000000007E-2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 ca="1">(V8)/$R$68</f>
        <v>3.0604881130757617E-2</v>
      </c>
      <c r="X8" s="216"/>
      <c r="Y8" s="216" t="s">
        <v>144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145</v>
      </c>
      <c r="AK8" s="216">
        <v>0.4</v>
      </c>
      <c r="AL8" s="211" t="s">
        <v>142</v>
      </c>
      <c r="AM8" s="216">
        <f>IF((تسعير!AT25="ايبوكسي + دوكو"),IF(((Table15880[[#Totals],[المسطح]]+Table166273[[#Totals],[Column12]])&gt;0),(Table15880[[#Totals],[المسطح]]+Table166273[[#Totals],[Column12]]-Q10+1)*Table66374[[#This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245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364</v>
      </c>
      <c r="AW8" s="194"/>
      <c r="AX8" s="194">
        <f>AW3*2</f>
        <v>46</v>
      </c>
      <c r="AY8" s="194" t="s">
        <v>124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9" t="s">
        <v>588</v>
      </c>
      <c r="BJ8" s="214">
        <v>7.0000000000000007E-2</v>
      </c>
      <c r="BK8" s="214">
        <v>7.0000000000000007E-2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 ca="1">(BQ8)/$R$68</f>
        <v>3.0604881130757617E-2</v>
      </c>
      <c r="BS8" s="216"/>
      <c r="BT8" s="216" t="s">
        <v>144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145</v>
      </c>
      <c r="CF8" s="216">
        <v>0.4</v>
      </c>
      <c r="CG8" s="211" t="s">
        <v>142</v>
      </c>
      <c r="CH8" s="216">
        <f>IF((تسعير!AT45="ايبوكسي + دوكو"),IF(((Table1588090[[#Totals],[المسطح]]+Table16627383[[#Totals],[Column12]])&gt;0),(Table1588090[[#Totals],[المسطح]]+Table16627383[[#Totals],[Column12]]-BL10+1)*Table6637484[[#This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245</v>
      </c>
      <c r="CK8" s="216">
        <v>0.1</v>
      </c>
      <c r="CL8" s="216">
        <v>0.1</v>
      </c>
      <c r="CM8" s="216"/>
      <c r="CN8" s="216"/>
      <c r="CO8" s="256"/>
    </row>
    <row r="9" spans="1:93" s="187" customFormat="1" ht="18.75">
      <c r="A9" s="536" t="s">
        <v>357</v>
      </c>
      <c r="B9" s="537">
        <v>2</v>
      </c>
      <c r="C9" s="537">
        <f>(15.6*(B3-1)+4)</f>
        <v>487.59999999999997</v>
      </c>
      <c r="D9" s="537" t="s">
        <v>350</v>
      </c>
      <c r="E9" s="537">
        <v>1000</v>
      </c>
      <c r="F9" s="537">
        <f>E9*B9</f>
        <v>2000</v>
      </c>
      <c r="G9" s="542"/>
      <c r="H9" s="543"/>
      <c r="I9" s="527"/>
      <c r="J9" s="527"/>
      <c r="L9" s="211">
        <v>5</v>
      </c>
      <c r="M9" s="212">
        <v>0</v>
      </c>
      <c r="N9" s="213" t="s">
        <v>358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 ca="1"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147</v>
      </c>
      <c r="AK9" s="216"/>
      <c r="AL9" s="216" t="s">
        <v>148</v>
      </c>
      <c r="AM9" s="216"/>
      <c r="AN9" s="216"/>
      <c r="AO9" s="216" t="s">
        <v>247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365</v>
      </c>
      <c r="AW9" s="194">
        <v>1</v>
      </c>
      <c r="AX9" s="196">
        <v>100</v>
      </c>
      <c r="AY9" s="194" t="s">
        <v>350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358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 ca="1"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147</v>
      </c>
      <c r="CF9" s="216"/>
      <c r="CG9" s="216" t="s">
        <v>148</v>
      </c>
      <c r="CH9" s="216"/>
      <c r="CI9" s="216"/>
      <c r="CJ9" s="216" t="s">
        <v>247</v>
      </c>
      <c r="CK9" s="216">
        <v>0.15</v>
      </c>
      <c r="CL9" s="216">
        <v>0.15</v>
      </c>
      <c r="CM9" s="216"/>
      <c r="CN9" s="216"/>
      <c r="CO9" s="256"/>
    </row>
    <row r="10" spans="1:93" s="187" customFormat="1" ht="18.75">
      <c r="A10" s="536" t="s">
        <v>361</v>
      </c>
      <c r="B10" s="537"/>
      <c r="C10" s="537">
        <f>B3*2</f>
        <v>64</v>
      </c>
      <c r="D10" s="537" t="s">
        <v>124</v>
      </c>
      <c r="E10" s="194">
        <v>20</v>
      </c>
      <c r="F10" s="537">
        <f>E10*C10</f>
        <v>1280</v>
      </c>
      <c r="G10" s="542"/>
      <c r="H10" s="543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366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137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 ca="1">(V10)/$R$68</f>
        <v>0</v>
      </c>
      <c r="X10" s="216"/>
      <c r="Y10" s="216" t="s">
        <v>150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24</v>
      </c>
      <c r="AK10" s="216">
        <v>0.6</v>
      </c>
      <c r="AL10" s="216"/>
      <c r="AM10" s="216">
        <f>IF(AND((تسعير!$AT$25="جلفنة + جوتن"),(Table15880[[#Totals],[المسطح]]+Table166273[[#Totals],[Column12]])&gt;0),(((Table15880[[#Totals],[المسطح]]+Table166273[[#Totals],[Column12]])+1)*Table66374[[#This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249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367</v>
      </c>
      <c r="AW10" s="194"/>
      <c r="AX10" s="194">
        <v>100</v>
      </c>
      <c r="AY10" s="194" t="s">
        <v>124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366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137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 ca="1">(BQ10)/$R$68</f>
        <v>0</v>
      </c>
      <c r="BS10" s="216"/>
      <c r="BT10" s="216" t="s">
        <v>150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24</v>
      </c>
      <c r="CF10" s="216">
        <v>0.6</v>
      </c>
      <c r="CG10" s="216"/>
      <c r="CH10" s="216">
        <f>IF(AND((تسعير!AT45="جلفنة +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249</v>
      </c>
      <c r="CK10" s="216">
        <v>0.05</v>
      </c>
      <c r="CL10" s="216">
        <v>0.1</v>
      </c>
      <c r="CM10" s="216"/>
      <c r="CN10" s="216"/>
      <c r="CO10" s="256"/>
    </row>
    <row r="11" spans="1:93" s="187" customFormat="1" ht="18.75">
      <c r="A11" s="536" t="s">
        <v>364</v>
      </c>
      <c r="B11" s="537"/>
      <c r="C11" s="537">
        <f>B3*2</f>
        <v>64</v>
      </c>
      <c r="D11" s="537" t="s">
        <v>124</v>
      </c>
      <c r="E11" s="194">
        <v>18</v>
      </c>
      <c r="F11" s="537">
        <f>E11*C11</f>
        <v>1152</v>
      </c>
      <c r="G11" s="542"/>
      <c r="H11" s="543"/>
      <c r="I11" s="527"/>
      <c r="J11" s="527"/>
      <c r="L11" s="211"/>
      <c r="M11" s="212"/>
      <c r="N11" s="213" t="s">
        <v>146</v>
      </c>
      <c r="O11" s="214"/>
      <c r="P11" s="214"/>
      <c r="Q11" s="216">
        <f>SUBTOTAL(109,Table15880[المسطح])</f>
        <v>19.920000000000002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 ca="1">Table15880[[#Totals],[اجمالي]]/$R$68</f>
        <v>6.6252611993287788E-2</v>
      </c>
      <c r="X11" s="216"/>
      <c r="Y11" s="216" t="s">
        <v>152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26</v>
      </c>
      <c r="AK11" s="216">
        <v>0.6</v>
      </c>
      <c r="AL11" s="216"/>
      <c r="AM11" s="216">
        <f>IF(AND((تسعير!$AT$25="جلفنة + جوتن"),(Table15880[[#Totals],[المسطح]]+Table166273[[#Totals],[Column12]])&gt;0),(((Table15880[[#Totals],[المسطح]]+Table166273[[#Totals],[Column12]])+1)*Table66374[[#This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251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368</v>
      </c>
      <c r="AW11" s="194"/>
      <c r="AX11" s="194">
        <f>AW3*2</f>
        <v>46</v>
      </c>
      <c r="AY11" s="194" t="s">
        <v>124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146</v>
      </c>
      <c r="BJ11" s="214"/>
      <c r="BK11" s="214"/>
      <c r="BL11" s="216">
        <f>SUBTOTAL(109,Table1588090[المسطح])</f>
        <v>19.920000000000002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 ca="1">Table1588090[[#Totals],[اجمالي]]/$R$68</f>
        <v>6.6252611993287788E-2</v>
      </c>
      <c r="BS11" s="216"/>
      <c r="BT11" s="216" t="s">
        <v>152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26</v>
      </c>
      <c r="CF11" s="216">
        <v>0.6</v>
      </c>
      <c r="CG11" s="216"/>
      <c r="CH11" s="216">
        <f>IF(AND((تسعير!AT45="جلفنة +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251</v>
      </c>
      <c r="CK11" s="216">
        <v>0.05</v>
      </c>
      <c r="CL11" s="216">
        <v>0.15</v>
      </c>
      <c r="CM11" s="216"/>
      <c r="CN11" s="216"/>
      <c r="CO11" s="256"/>
    </row>
    <row r="12" spans="1:93" s="187" customFormat="1" ht="18.75">
      <c r="A12" s="536" t="s">
        <v>365</v>
      </c>
      <c r="B12" s="537">
        <v>1</v>
      </c>
      <c r="C12" s="539">
        <v>100</v>
      </c>
      <c r="D12" s="537" t="s">
        <v>350</v>
      </c>
      <c r="E12" s="194">
        <v>250</v>
      </c>
      <c r="F12" s="537">
        <f>Table80102114[[#This Row],[wt/m]]*Table80102114[[#This Row],[عدد]]</f>
        <v>250</v>
      </c>
      <c r="G12" s="542"/>
      <c r="H12" s="543"/>
      <c r="I12" s="527"/>
      <c r="J12" s="544"/>
      <c r="L12" s="216"/>
      <c r="M12" s="216"/>
      <c r="N12" s="217"/>
      <c r="O12" s="884" t="s">
        <v>158</v>
      </c>
      <c r="P12" s="884"/>
      <c r="Q12" s="884"/>
      <c r="R12" s="884"/>
      <c r="S12" s="884"/>
      <c r="T12" s="884"/>
      <c r="U12" s="216"/>
      <c r="V12" s="216"/>
      <c r="W12" s="216"/>
      <c r="X12" s="216"/>
      <c r="Y12" s="216" t="s">
        <v>78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28</v>
      </c>
      <c r="AK12" s="216">
        <v>0.1</v>
      </c>
      <c r="AL12" s="216"/>
      <c r="AM12" s="216">
        <f>IF(AND((تسعير!$AT$25="جلفنة + جوتن"),(Table15880[[#Totals],[المسطح]]+Table166273[[#Totals],[Column12]])&gt;0),(((Table15880[[#Totals],[المسطح]]+Table166273[[#Totals],[Column12]])+1)*Table66374[[#This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253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369</v>
      </c>
      <c r="AW12" s="194"/>
      <c r="AX12" s="194">
        <f>AW3*2</f>
        <v>46</v>
      </c>
      <c r="AY12" s="194" t="s">
        <v>124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4" t="s">
        <v>158</v>
      </c>
      <c r="BK12" s="884"/>
      <c r="BL12" s="884"/>
      <c r="BM12" s="884"/>
      <c r="BN12" s="884"/>
      <c r="BO12" s="884"/>
      <c r="BP12" s="216"/>
      <c r="BQ12" s="216"/>
      <c r="BR12" s="216"/>
      <c r="BS12" s="216"/>
      <c r="BT12" s="216" t="s">
        <v>78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28</v>
      </c>
      <c r="CF12" s="216">
        <v>0.1</v>
      </c>
      <c r="CG12" s="216"/>
      <c r="CH12" s="216">
        <f>IF(AND((تسعير!AT45="جلفنة +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253</v>
      </c>
      <c r="CK12" s="216">
        <v>0.1</v>
      </c>
      <c r="CL12" s="216">
        <v>0.15</v>
      </c>
      <c r="CM12" s="216"/>
      <c r="CN12" s="216"/>
      <c r="CO12" s="256"/>
    </row>
    <row r="13" spans="1:93" s="187" customFormat="1" ht="18.75">
      <c r="A13" s="536" t="s">
        <v>370</v>
      </c>
      <c r="B13" s="537"/>
      <c r="C13" s="537">
        <v>4</v>
      </c>
      <c r="D13" s="537" t="s">
        <v>371</v>
      </c>
      <c r="E13" s="194">
        <v>250</v>
      </c>
      <c r="F13" s="537">
        <f>C13*E13</f>
        <v>1000</v>
      </c>
      <c r="G13" s="542"/>
      <c r="H13" s="527"/>
      <c r="I13" s="542"/>
      <c r="J13" s="542"/>
      <c r="L13" s="211" t="s">
        <v>123</v>
      </c>
      <c r="M13" s="211" t="s">
        <v>124</v>
      </c>
      <c r="N13" s="218" t="s">
        <v>125</v>
      </c>
      <c r="O13" s="211" t="s">
        <v>9</v>
      </c>
      <c r="P13" s="211" t="s">
        <v>8</v>
      </c>
      <c r="Q13" s="211" t="s">
        <v>151</v>
      </c>
      <c r="R13" s="211" t="s">
        <v>127</v>
      </c>
      <c r="S13" s="211" t="s">
        <v>128</v>
      </c>
      <c r="T13" s="211" t="s">
        <v>160</v>
      </c>
      <c r="U13" s="211" t="s">
        <v>130</v>
      </c>
      <c r="V13" s="245" t="s">
        <v>131</v>
      </c>
      <c r="W13" s="211" t="s">
        <v>132</v>
      </c>
      <c r="X13" s="216"/>
      <c r="Y13" s="216" t="s">
        <v>54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29</v>
      </c>
      <c r="AK13" s="216">
        <v>0.1</v>
      </c>
      <c r="AL13" s="216"/>
      <c r="AM13" s="216">
        <f>IF(AND((تسعير!$AT$25="جلفنة + جوتن"),(Table15880[[#Totals],[المسطح]]+Table166273[[#Totals],[Column12]])&gt;0),(((Table15880[[#Totals],[المسطح]]+Table166273[[#Totals],[Column12]])+1)*Table66374[[#This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91</v>
      </c>
      <c r="AW13" s="194" t="s">
        <v>124</v>
      </c>
      <c r="AX13" s="194">
        <v>1</v>
      </c>
      <c r="AY13" s="194" t="s">
        <v>124</v>
      </c>
      <c r="AZ13" s="194">
        <f>E23</f>
        <v>9000</v>
      </c>
      <c r="BA13" s="194">
        <f>AZ13*AX13</f>
        <v>9000</v>
      </c>
      <c r="BC13" s="1"/>
      <c r="BG13" s="211" t="s">
        <v>123</v>
      </c>
      <c r="BH13" s="211" t="s">
        <v>124</v>
      </c>
      <c r="BI13" s="218" t="s">
        <v>125</v>
      </c>
      <c r="BJ13" s="211" t="s">
        <v>9</v>
      </c>
      <c r="BK13" s="211" t="s">
        <v>8</v>
      </c>
      <c r="BL13" s="211" t="s">
        <v>151</v>
      </c>
      <c r="BM13" s="211" t="s">
        <v>127</v>
      </c>
      <c r="BN13" s="211" t="s">
        <v>128</v>
      </c>
      <c r="BO13" s="211" t="s">
        <v>160</v>
      </c>
      <c r="BP13" s="211" t="s">
        <v>130</v>
      </c>
      <c r="BQ13" s="245" t="s">
        <v>131</v>
      </c>
      <c r="BR13" s="211" t="s">
        <v>132</v>
      </c>
      <c r="BS13" s="216"/>
      <c r="BT13" s="216" t="s">
        <v>54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29</v>
      </c>
      <c r="CF13" s="216">
        <v>0.1</v>
      </c>
      <c r="CG13" s="216"/>
      <c r="CH13" s="216">
        <f>IF(AND((تسعير!AT45="جلفنة +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spans="1:93" s="187" customFormat="1" ht="18.75">
      <c r="A14" s="536" t="s">
        <v>372</v>
      </c>
      <c r="B14" s="537"/>
      <c r="C14" s="537">
        <v>8</v>
      </c>
      <c r="D14" s="537" t="s">
        <v>124</v>
      </c>
      <c r="E14" s="194">
        <v>300</v>
      </c>
      <c r="F14" s="537">
        <f>C14*E14</f>
        <v>2400</v>
      </c>
      <c r="G14" s="542"/>
      <c r="H14" s="527"/>
      <c r="I14" s="542"/>
      <c r="J14" s="542"/>
      <c r="L14" s="211">
        <v>1</v>
      </c>
      <c r="M14" s="212">
        <v>2</v>
      </c>
      <c r="N14" s="213" t="s">
        <v>34</v>
      </c>
      <c r="O14" s="214"/>
      <c r="P14" s="214"/>
      <c r="Q14" s="214"/>
      <c r="R14" s="211" t="s">
        <v>162</v>
      </c>
      <c r="S14" s="211"/>
      <c r="T14" s="242"/>
      <c r="U14" s="246">
        <f>Sheet2!B28</f>
        <v>400</v>
      </c>
      <c r="V14" s="240">
        <f t="shared" ref="V14:V18" si="4">M14*U14</f>
        <v>800</v>
      </c>
      <c r="W14" s="241">
        <f ca="1">(V14)/$R$68</f>
        <v>3.0914021344199613E-3</v>
      </c>
      <c r="X14" s="216"/>
      <c r="Y14" s="216" t="s">
        <v>156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146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34</v>
      </c>
      <c r="BJ14" s="214"/>
      <c r="BK14" s="214"/>
      <c r="BL14" s="214"/>
      <c r="BM14" s="211" t="s">
        <v>162</v>
      </c>
      <c r="BN14" s="211"/>
      <c r="BO14" s="242"/>
      <c r="BP14" s="246">
        <f>Sheet2!B28</f>
        <v>400</v>
      </c>
      <c r="BQ14" s="240">
        <f t="shared" ref="BQ14:BQ18" si="5">BH14*BP14</f>
        <v>800</v>
      </c>
      <c r="BR14" s="241">
        <f ca="1">(BQ14)/$R$68</f>
        <v>3.0914021344199613E-3</v>
      </c>
      <c r="BS14" s="216"/>
      <c r="BT14" s="216" t="s">
        <v>156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spans="1:93" s="187" customFormat="1" ht="18.75">
      <c r="A15" s="536" t="s">
        <v>368</v>
      </c>
      <c r="B15" s="537"/>
      <c r="C15" s="537">
        <f>B3*2</f>
        <v>64</v>
      </c>
      <c r="D15" s="537" t="s">
        <v>124</v>
      </c>
      <c r="E15" s="194">
        <v>120</v>
      </c>
      <c r="F15" s="537">
        <f>C15*E15</f>
        <v>7680</v>
      </c>
      <c r="G15" s="542"/>
      <c r="H15" s="527"/>
      <c r="I15" s="527"/>
      <c r="J15" s="527"/>
      <c r="L15" s="211">
        <v>2</v>
      </c>
      <c r="M15" s="212">
        <v>2</v>
      </c>
      <c r="N15" s="213" t="s">
        <v>165</v>
      </c>
      <c r="O15" s="214"/>
      <c r="P15" s="214"/>
      <c r="Q15" s="214"/>
      <c r="R15" s="211" t="s">
        <v>124</v>
      </c>
      <c r="S15" s="211"/>
      <c r="T15" s="242"/>
      <c r="U15" s="246">
        <v>110</v>
      </c>
      <c r="V15" s="240">
        <f t="shared" si="4"/>
        <v>220</v>
      </c>
      <c r="W15" s="241">
        <f ca="1">(V15)/$R$68</f>
        <v>8.5013558696548936E-4</v>
      </c>
      <c r="X15" s="216"/>
      <c r="Y15" s="216" t="s">
        <v>159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165</v>
      </c>
      <c r="BJ15" s="214"/>
      <c r="BK15" s="214"/>
      <c r="BL15" s="214"/>
      <c r="BM15" s="211" t="s">
        <v>124</v>
      </c>
      <c r="BN15" s="211"/>
      <c r="BO15" s="242"/>
      <c r="BP15" s="563">
        <v>110</v>
      </c>
      <c r="BQ15" s="240">
        <f t="shared" si="5"/>
        <v>220</v>
      </c>
      <c r="BR15" s="241">
        <f ca="1">(BQ15)/$R$68</f>
        <v>8.5013558696548936E-4</v>
      </c>
      <c r="BS15" s="216"/>
      <c r="BT15" s="216" t="s">
        <v>159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spans="1:93" s="187" customFormat="1" ht="18.75">
      <c r="A16" s="536" t="s">
        <v>369</v>
      </c>
      <c r="B16" s="537"/>
      <c r="C16" s="537">
        <f>B3*2</f>
        <v>64</v>
      </c>
      <c r="D16" s="537" t="s">
        <v>124</v>
      </c>
      <c r="E16" s="194">
        <v>120</v>
      </c>
      <c r="F16" s="537">
        <f>C16*E16</f>
        <v>7680</v>
      </c>
      <c r="G16" s="542"/>
      <c r="H16" s="527"/>
      <c r="I16" s="527"/>
      <c r="J16" s="527"/>
      <c r="L16" s="211">
        <v>3</v>
      </c>
      <c r="M16" s="219">
        <v>1</v>
      </c>
      <c r="N16" s="213" t="s">
        <v>167</v>
      </c>
      <c r="O16" s="214"/>
      <c r="P16" s="214"/>
      <c r="Q16" s="214"/>
      <c r="R16" s="211" t="s">
        <v>124</v>
      </c>
      <c r="S16" s="211"/>
      <c r="T16" s="242"/>
      <c r="U16" s="246">
        <v>130</v>
      </c>
      <c r="V16" s="240">
        <f t="shared" si="4"/>
        <v>130</v>
      </c>
      <c r="W16" s="241">
        <f ca="1">(V16)/$R$68</f>
        <v>5.0235284684324371E-4</v>
      </c>
      <c r="X16" s="216"/>
      <c r="Y16" s="216" t="s">
        <v>161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167</v>
      </c>
      <c r="BJ16" s="214"/>
      <c r="BK16" s="214"/>
      <c r="BL16" s="214"/>
      <c r="BM16" s="211" t="s">
        <v>124</v>
      </c>
      <c r="BN16" s="211"/>
      <c r="BO16" s="242"/>
      <c r="BP16" s="563">
        <v>130</v>
      </c>
      <c r="BQ16" s="240">
        <f t="shared" si="5"/>
        <v>130</v>
      </c>
      <c r="BR16" s="241">
        <f ca="1">(BQ16)/$R$68</f>
        <v>5.0235284684324371E-4</v>
      </c>
      <c r="BS16" s="216"/>
      <c r="BT16" s="216" t="s">
        <v>161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spans="1:93" s="187" customFormat="1" ht="18.75">
      <c r="A17" s="536" t="s">
        <v>373</v>
      </c>
      <c r="B17" s="537">
        <v>2</v>
      </c>
      <c r="C17" s="537"/>
      <c r="D17" s="537" t="s">
        <v>350</v>
      </c>
      <c r="E17" s="194">
        <v>1000</v>
      </c>
      <c r="F17" s="537">
        <f>B17*E17</f>
        <v>2000</v>
      </c>
      <c r="G17" s="542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169</v>
      </c>
      <c r="O17" s="214"/>
      <c r="P17" s="214"/>
      <c r="Q17" s="214"/>
      <c r="R17" s="247" t="s">
        <v>170</v>
      </c>
      <c r="S17" s="247"/>
      <c r="T17" s="242"/>
      <c r="U17" s="246">
        <v>50</v>
      </c>
      <c r="V17" s="240">
        <f t="shared" si="4"/>
        <v>800</v>
      </c>
      <c r="W17" s="241">
        <f ca="1">(V17)/$R$68</f>
        <v>3.0914021344199613E-3</v>
      </c>
      <c r="X17" s="216"/>
      <c r="Y17" s="216" t="s">
        <v>79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169</v>
      </c>
      <c r="BJ17" s="214"/>
      <c r="BK17" s="214"/>
      <c r="BL17" s="214"/>
      <c r="BM17" s="247" t="s">
        <v>170</v>
      </c>
      <c r="BN17" s="247"/>
      <c r="BO17" s="242"/>
      <c r="BP17" s="563">
        <v>50</v>
      </c>
      <c r="BQ17" s="240">
        <f t="shared" si="5"/>
        <v>800</v>
      </c>
      <c r="BR17" s="241">
        <f ca="1">(BQ17)/$R$68</f>
        <v>3.0914021344199613E-3</v>
      </c>
      <c r="BS17" s="216"/>
      <c r="BT17" s="216" t="s">
        <v>79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spans="1:93" s="187" customFormat="1" ht="18.75">
      <c r="A18" s="193" t="s">
        <v>586</v>
      </c>
      <c r="B18" s="194"/>
      <c r="C18" s="194">
        <f>C19</f>
        <v>123</v>
      </c>
      <c r="D18" s="194"/>
      <c r="E18" s="194">
        <v>20</v>
      </c>
      <c r="F18" s="537">
        <f>Table80102114[[#This Row],[طول]]*Table80102114[[#This Row],[wt/m]]</f>
        <v>2460</v>
      </c>
      <c r="G18" s="542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36</v>
      </c>
      <c r="O18" s="214"/>
      <c r="P18" s="214"/>
      <c r="Q18" s="214"/>
      <c r="R18" s="211" t="s">
        <v>170</v>
      </c>
      <c r="S18" s="211"/>
      <c r="T18" s="242"/>
      <c r="U18" s="243">
        <f>Sheet2!B30</f>
        <v>1200</v>
      </c>
      <c r="V18" s="240">
        <f t="shared" si="4"/>
        <v>0</v>
      </c>
      <c r="W18" s="241">
        <f ca="1">(V18)/$R$68</f>
        <v>0</v>
      </c>
      <c r="X18" s="216"/>
      <c r="Y18" s="216" t="s">
        <v>77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36</v>
      </c>
      <c r="BJ18" s="214"/>
      <c r="BK18" s="214"/>
      <c r="BL18" s="214"/>
      <c r="BM18" s="211" t="s">
        <v>170</v>
      </c>
      <c r="BN18" s="211"/>
      <c r="BO18" s="242"/>
      <c r="BP18" s="243">
        <f>Sheet2!AW30</f>
        <v>0</v>
      </c>
      <c r="BQ18" s="240">
        <f t="shared" si="5"/>
        <v>0</v>
      </c>
      <c r="BR18" s="241">
        <f ca="1">(BQ18)/$R$68</f>
        <v>0</v>
      </c>
      <c r="BS18" s="216"/>
      <c r="BT18" s="216" t="s">
        <v>77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spans="1:93" ht="18.75">
      <c r="A19" s="536" t="s">
        <v>374</v>
      </c>
      <c r="B19" s="537"/>
      <c r="C19" s="537">
        <f>ROUNDUP(((C3*B3)/100),0)</f>
        <v>123</v>
      </c>
      <c r="D19" s="537" t="s">
        <v>350</v>
      </c>
      <c r="E19" s="194">
        <v>10</v>
      </c>
      <c r="F19" s="537">
        <f>Table80102114[[#This Row],[طول]]*Table80102114[[#This Row],[wt/m]]</f>
        <v>1230</v>
      </c>
      <c r="G19" s="527"/>
      <c r="H19" s="527"/>
      <c r="I19" s="527"/>
      <c r="J19" s="527"/>
      <c r="L19" s="211" t="s">
        <v>146</v>
      </c>
      <c r="M19" s="212"/>
      <c r="N19" s="213" t="s">
        <v>146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 ca="1">Table156172[[#Totals],[اجمالي]]/$R$68</f>
        <v>7.5352927026486553E-3</v>
      </c>
      <c r="X19" s="216"/>
      <c r="Y19" s="216" t="s">
        <v>166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2" t="s">
        <v>146</v>
      </c>
      <c r="BH19" s="553"/>
      <c r="BI19" s="554" t="s">
        <v>146</v>
      </c>
      <c r="BJ19" s="555"/>
      <c r="BK19" s="555"/>
      <c r="BL19" s="564"/>
      <c r="BM19" s="552"/>
      <c r="BN19" s="552"/>
      <c r="BO19" s="552"/>
      <c r="BP19" s="556"/>
      <c r="BQ19" s="557">
        <f>SUBTOTAL(109,Table15617282[اجمالي])</f>
        <v>1950</v>
      </c>
      <c r="BR19" s="558">
        <f ca="1">Table15617282[[#Totals],[اجمالي]]/$R$68</f>
        <v>7.5352927026486553E-3</v>
      </c>
      <c r="BS19" s="216"/>
      <c r="BT19" s="216" t="s">
        <v>166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spans="1:93" ht="18.75">
      <c r="A20" s="536" t="s">
        <v>375</v>
      </c>
      <c r="B20" s="537" t="s">
        <v>376</v>
      </c>
      <c r="C20" s="537">
        <f>ROUNDUP((B3/3),0)</f>
        <v>11</v>
      </c>
      <c r="D20" s="537" t="s">
        <v>124</v>
      </c>
      <c r="E20" s="194">
        <v>275</v>
      </c>
      <c r="F20" s="537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4" t="s">
        <v>175</v>
      </c>
      <c r="P20" s="884"/>
      <c r="Q20" s="884"/>
      <c r="R20" s="884"/>
      <c r="S20" s="884"/>
      <c r="T20" s="884"/>
      <c r="U20" s="216"/>
      <c r="V20" s="216"/>
      <c r="W20" s="216"/>
      <c r="X20" s="216"/>
      <c r="Y20" s="216" t="s">
        <v>168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4" t="s">
        <v>175</v>
      </c>
      <c r="BK20" s="884"/>
      <c r="BL20" s="884"/>
      <c r="BM20" s="884"/>
      <c r="BN20" s="884"/>
      <c r="BO20" s="884"/>
      <c r="BP20" s="216"/>
      <c r="BQ20" s="216"/>
      <c r="BR20" s="216"/>
      <c r="BS20" s="216"/>
      <c r="BT20" s="216" t="s">
        <v>168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spans="1:93" ht="18.75">
      <c r="A21" s="536" t="s">
        <v>377</v>
      </c>
      <c r="B21" s="537" t="s">
        <v>378</v>
      </c>
      <c r="C21" s="537">
        <f>C20</f>
        <v>11</v>
      </c>
      <c r="D21" s="537" t="s">
        <v>124</v>
      </c>
      <c r="E21" s="194">
        <v>45</v>
      </c>
      <c r="F21" s="537">
        <f>E21*C21</f>
        <v>495</v>
      </c>
      <c r="G21" s="527"/>
      <c r="H21" s="527"/>
      <c r="I21" s="527"/>
      <c r="J21" s="527"/>
      <c r="L21" s="211" t="s">
        <v>123</v>
      </c>
      <c r="M21" s="211" t="s">
        <v>124</v>
      </c>
      <c r="N21" s="218" t="s">
        <v>125</v>
      </c>
      <c r="O21" s="211" t="s">
        <v>9</v>
      </c>
      <c r="P21" s="211" t="s">
        <v>8</v>
      </c>
      <c r="Q21" s="211" t="s">
        <v>151</v>
      </c>
      <c r="R21" s="211" t="s">
        <v>127</v>
      </c>
      <c r="S21" s="211" t="s">
        <v>128</v>
      </c>
      <c r="T21" s="211" t="s">
        <v>160</v>
      </c>
      <c r="U21" s="211" t="s">
        <v>130</v>
      </c>
      <c r="V21" s="245" t="s">
        <v>131</v>
      </c>
      <c r="W21" s="211" t="s">
        <v>132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123</v>
      </c>
      <c r="BH21" s="211" t="s">
        <v>124</v>
      </c>
      <c r="BI21" s="218" t="s">
        <v>125</v>
      </c>
      <c r="BJ21" s="211" t="s">
        <v>9</v>
      </c>
      <c r="BK21" s="211" t="s">
        <v>8</v>
      </c>
      <c r="BL21" s="211" t="s">
        <v>151</v>
      </c>
      <c r="BM21" s="211" t="s">
        <v>127</v>
      </c>
      <c r="BN21" s="211" t="s">
        <v>128</v>
      </c>
      <c r="BO21" s="211" t="s">
        <v>160</v>
      </c>
      <c r="BP21" s="211" t="s">
        <v>130</v>
      </c>
      <c r="BQ21" s="245" t="s">
        <v>131</v>
      </c>
      <c r="BR21" s="211" t="s">
        <v>132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spans="1:93" ht="18.75">
      <c r="A22" s="536" t="s">
        <v>379</v>
      </c>
      <c r="B22" s="537" t="s">
        <v>124</v>
      </c>
      <c r="C22" s="537">
        <v>2</v>
      </c>
      <c r="D22" s="537" t="s">
        <v>124</v>
      </c>
      <c r="E22" s="194">
        <v>800</v>
      </c>
      <c r="F22" s="537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176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 ca="1">(V22)/$R$68</f>
        <v>4.1733928814669478E-3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176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 ca="1">(BQ22)/$R$68</f>
        <v>4.1733928814669478E-3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spans="1:93" ht="18.75">
      <c r="A23" s="536" t="s">
        <v>91</v>
      </c>
      <c r="B23" s="537" t="s">
        <v>124</v>
      </c>
      <c r="C23" s="537">
        <v>1</v>
      </c>
      <c r="D23" s="537" t="s">
        <v>124</v>
      </c>
      <c r="E23" s="537">
        <f>Sheet2!B57</f>
        <v>9000</v>
      </c>
      <c r="F23" s="537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259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164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 ca="1">(V23)/$R$68</f>
        <v>2.4344791808557195E-3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259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164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 ca="1">(BQ23)/$R$68</f>
        <v>2.4344791808557195E-3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spans="1:93" ht="18.75">
      <c r="A24" s="193" t="s">
        <v>146</v>
      </c>
      <c r="B24" s="199">
        <f>(Table80102114[[#Totals],[price]]*1.1)/(F1*D1/10000)</f>
        <v>9348.5009803921603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177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8.0000000000000016E-2</v>
      </c>
      <c r="R24" s="211" t="s">
        <v>164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 ca="1">(V24)/$R$68</f>
        <v>1.0433482203667369E-3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177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8.0000000000000016E-2</v>
      </c>
      <c r="BM24" s="211" t="s">
        <v>164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 ca="1">(BQ24)/$R$68</f>
        <v>1.0433482203667369E-3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spans="1:93" ht="18.75">
      <c r="A25" s="200"/>
      <c r="L25" s="211" t="s">
        <v>146</v>
      </c>
      <c r="M25" s="212">
        <f>SUBTOTAL(103,Table166273[عدد])</f>
        <v>3</v>
      </c>
      <c r="N25" s="213" t="s">
        <v>146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 ca="1">Table166273[[#Totals],[اجمالي]]/$R$68</f>
        <v>7.6512202826894042E-3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146</v>
      </c>
      <c r="BH25" s="212">
        <f>SUBTOTAL(103,Table16627383[عدد])</f>
        <v>3</v>
      </c>
      <c r="BI25" s="213" t="s">
        <v>146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 ca="1">Table16627383[[#Totals],[اجمالي]]/$R$68</f>
        <v>7.6512202826894042E-3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spans="1:93" ht="18.75">
      <c r="A26" s="200"/>
      <c r="L26" s="216"/>
      <c r="M26" s="216"/>
      <c r="N26" s="217"/>
      <c r="O26" s="884" t="s">
        <v>178</v>
      </c>
      <c r="P26" s="884"/>
      <c r="Q26" s="884"/>
      <c r="R26" s="884"/>
      <c r="S26" s="884"/>
      <c r="T26" s="884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4" t="s">
        <v>178</v>
      </c>
      <c r="BK26" s="884"/>
      <c r="BL26" s="884"/>
      <c r="BM26" s="884"/>
      <c r="BN26" s="884"/>
      <c r="BO26" s="884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spans="1:93" ht="18.75">
      <c r="A27" s="200"/>
      <c r="L27" s="211" t="s">
        <v>123</v>
      </c>
      <c r="M27" s="211" t="s">
        <v>124</v>
      </c>
      <c r="N27" s="218" t="s">
        <v>125</v>
      </c>
      <c r="O27" s="211" t="s">
        <v>9</v>
      </c>
      <c r="P27" s="211" t="s">
        <v>8</v>
      </c>
      <c r="Q27" s="211" t="s">
        <v>151</v>
      </c>
      <c r="R27" s="211" t="s">
        <v>127</v>
      </c>
      <c r="S27" s="211" t="s">
        <v>128</v>
      </c>
      <c r="T27" s="211" t="s">
        <v>160</v>
      </c>
      <c r="U27" s="211" t="s">
        <v>130</v>
      </c>
      <c r="V27" s="245" t="s">
        <v>131</v>
      </c>
      <c r="W27" s="211" t="s">
        <v>132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123</v>
      </c>
      <c r="BH27" s="211" t="s">
        <v>124</v>
      </c>
      <c r="BI27" s="218" t="s">
        <v>125</v>
      </c>
      <c r="BJ27" s="211" t="s">
        <v>9</v>
      </c>
      <c r="BK27" s="211" t="s">
        <v>8</v>
      </c>
      <c r="BL27" s="211" t="s">
        <v>151</v>
      </c>
      <c r="BM27" s="211" t="s">
        <v>127</v>
      </c>
      <c r="BN27" s="211" t="s">
        <v>128</v>
      </c>
      <c r="BO27" s="211" t="s">
        <v>160</v>
      </c>
      <c r="BP27" s="211" t="s">
        <v>130</v>
      </c>
      <c r="BQ27" s="245" t="s">
        <v>131</v>
      </c>
      <c r="BR27" s="211" t="s">
        <v>132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spans="1:93" ht="18.75">
      <c r="A28" s="200"/>
      <c r="L28" s="211">
        <v>3</v>
      </c>
      <c r="M28" s="222">
        <f>AM7/3</f>
        <v>2.58</v>
      </c>
      <c r="N28" s="213" t="s">
        <v>30</v>
      </c>
      <c r="O28" s="214"/>
      <c r="P28" s="214"/>
      <c r="Q28" s="214"/>
      <c r="R28" s="211" t="s">
        <v>186</v>
      </c>
      <c r="S28" s="211"/>
      <c r="T28" s="211"/>
      <c r="U28" s="248">
        <f>Sheet2!B24</f>
        <v>400</v>
      </c>
      <c r="V28" s="240">
        <f t="shared" ref="V28:V33" si="6">M28*U28</f>
        <v>1032</v>
      </c>
      <c r="W28" s="241">
        <f t="shared" ref="W28:W42" ca="1" si="7">(V28)/$R$68</f>
        <v>3.9879087534017499E-3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30</v>
      </c>
      <c r="BJ28" s="214"/>
      <c r="BK28" s="214"/>
      <c r="BL28" s="214"/>
      <c r="BM28" s="211" t="s">
        <v>186</v>
      </c>
      <c r="BN28" s="211"/>
      <c r="BO28" s="211"/>
      <c r="BP28" s="248">
        <f>Sheet2!B24</f>
        <v>400</v>
      </c>
      <c r="BQ28" s="240">
        <f t="shared" ref="BQ28:BQ41" si="8">BH28*BP28</f>
        <v>0</v>
      </c>
      <c r="BR28" s="241">
        <f t="shared" ref="BR28:BR41" ca="1" si="9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spans="1:93" ht="18.75">
      <c r="A29" s="200"/>
      <c r="L29" s="211">
        <v>4</v>
      </c>
      <c r="M29" s="219">
        <v>3</v>
      </c>
      <c r="N29" s="218" t="s">
        <v>179</v>
      </c>
      <c r="O29" s="211"/>
      <c r="P29" s="211"/>
      <c r="Q29" s="211"/>
      <c r="R29" s="211" t="s">
        <v>180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ca="1" si="7"/>
        <v>2.8981895010187137E-4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179</v>
      </c>
      <c r="BJ29" s="211"/>
      <c r="BK29" s="211"/>
      <c r="BL29" s="211"/>
      <c r="BM29" s="211" t="s">
        <v>180</v>
      </c>
      <c r="BN29" s="211"/>
      <c r="BO29" s="211"/>
      <c r="BP29" s="248">
        <v>18</v>
      </c>
      <c r="BQ29" s="240">
        <f t="shared" si="8"/>
        <v>54</v>
      </c>
      <c r="BR29" s="241">
        <f t="shared" ca="1" si="9"/>
        <v>2.0866964407334737E-4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spans="1:93" ht="18.75">
      <c r="A30" s="200"/>
      <c r="L30" s="211">
        <v>5</v>
      </c>
      <c r="M30" s="212">
        <v>3</v>
      </c>
      <c r="N30" s="218" t="s">
        <v>181</v>
      </c>
      <c r="O30" s="211"/>
      <c r="P30" s="211"/>
      <c r="Q30" s="211"/>
      <c r="R30" s="211" t="s">
        <v>180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ca="1" si="7"/>
        <v>2.8981895010187137E-4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181</v>
      </c>
      <c r="BJ30" s="211"/>
      <c r="BK30" s="211"/>
      <c r="BL30" s="211"/>
      <c r="BM30" s="211" t="s">
        <v>180</v>
      </c>
      <c r="BN30" s="211"/>
      <c r="BO30" s="211"/>
      <c r="BP30" s="248">
        <v>18</v>
      </c>
      <c r="BQ30" s="240">
        <f t="shared" si="8"/>
        <v>54</v>
      </c>
      <c r="BR30" s="241">
        <f t="shared" ca="1" si="9"/>
        <v>2.0866964407334737E-4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spans="1:93" ht="18.75">
      <c r="A31" s="200"/>
      <c r="L31" s="211">
        <v>6</v>
      </c>
      <c r="M31" s="219">
        <v>1</v>
      </c>
      <c r="N31" s="213" t="s">
        <v>182</v>
      </c>
      <c r="O31" s="214"/>
      <c r="P31" s="214"/>
      <c r="Q31" s="214"/>
      <c r="R31" s="211" t="s">
        <v>183</v>
      </c>
      <c r="S31" s="211"/>
      <c r="T31" s="211"/>
      <c r="U31" s="248">
        <v>40</v>
      </c>
      <c r="V31" s="240">
        <f t="shared" si="6"/>
        <v>40</v>
      </c>
      <c r="W31" s="241">
        <f t="shared" ca="1" si="7"/>
        <v>1.5457010672099807E-4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182</v>
      </c>
      <c r="BJ31" s="214"/>
      <c r="BK31" s="214"/>
      <c r="BL31" s="214"/>
      <c r="BM31" s="211" t="s">
        <v>183</v>
      </c>
      <c r="BN31" s="211"/>
      <c r="BO31" s="211"/>
      <c r="BP31" s="248">
        <v>25</v>
      </c>
      <c r="BQ31" s="240">
        <f t="shared" si="8"/>
        <v>25</v>
      </c>
      <c r="BR31" s="241">
        <f t="shared" ca="1" si="9"/>
        <v>9.6606316700623791E-5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spans="1:93" ht="18.75">
      <c r="A32" s="200"/>
      <c r="L32" s="211">
        <v>7</v>
      </c>
      <c r="M32" s="212">
        <v>1</v>
      </c>
      <c r="N32" s="213" t="s">
        <v>184</v>
      </c>
      <c r="O32" s="214"/>
      <c r="P32" s="214"/>
      <c r="Q32" s="214"/>
      <c r="R32" s="211" t="s">
        <v>183</v>
      </c>
      <c r="S32" s="211"/>
      <c r="T32" s="211"/>
      <c r="U32" s="248">
        <v>150</v>
      </c>
      <c r="V32" s="240">
        <f t="shared" si="6"/>
        <v>150</v>
      </c>
      <c r="W32" s="241">
        <f t="shared" ca="1" si="7"/>
        <v>5.7963790020374275E-4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184</v>
      </c>
      <c r="BJ32" s="214"/>
      <c r="BK32" s="214"/>
      <c r="BL32" s="214"/>
      <c r="BM32" s="211" t="s">
        <v>183</v>
      </c>
      <c r="BN32" s="211"/>
      <c r="BO32" s="211"/>
      <c r="BP32" s="248">
        <v>150</v>
      </c>
      <c r="BQ32" s="240">
        <f t="shared" si="8"/>
        <v>150</v>
      </c>
      <c r="BR32" s="241">
        <f t="shared" ca="1" si="9"/>
        <v>5.7963790020374275E-4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spans="1:93" ht="18.75">
      <c r="A33" s="200"/>
      <c r="L33" s="211">
        <v>8</v>
      </c>
      <c r="M33" s="219">
        <v>2</v>
      </c>
      <c r="N33" s="213" t="s">
        <v>185</v>
      </c>
      <c r="O33" s="214"/>
      <c r="P33" s="214"/>
      <c r="Q33" s="214"/>
      <c r="R33" s="211" t="s">
        <v>164</v>
      </c>
      <c r="S33" s="211"/>
      <c r="T33" s="211"/>
      <c r="U33" s="248">
        <v>40</v>
      </c>
      <c r="V33" s="240">
        <f t="shared" si="6"/>
        <v>80</v>
      </c>
      <c r="W33" s="241">
        <f t="shared" ca="1" si="7"/>
        <v>3.0914021344199613E-4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185</v>
      </c>
      <c r="BJ33" s="214"/>
      <c r="BK33" s="214"/>
      <c r="BL33" s="214"/>
      <c r="BM33" s="211" t="s">
        <v>164</v>
      </c>
      <c r="BN33" s="211"/>
      <c r="BO33" s="211"/>
      <c r="BP33" s="248">
        <v>40</v>
      </c>
      <c r="BQ33" s="240">
        <f t="shared" si="8"/>
        <v>80</v>
      </c>
      <c r="BR33" s="241">
        <f t="shared" ca="1" si="9"/>
        <v>3.0914021344199613E-4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spans="1:93" ht="18.75">
      <c r="A34" s="200"/>
      <c r="L34" s="211"/>
      <c r="M34" s="219">
        <f>ROUNDUP(AM5,0)</f>
        <v>13</v>
      </c>
      <c r="N34" s="213" t="s">
        <v>134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t="shared" ref="V34:V42" si="10">M34*U34</f>
        <v>2860</v>
      </c>
      <c r="W34" s="251">
        <f t="shared" ca="1" si="7"/>
        <v>1.1051762630551361E-2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134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ca="1" si="9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spans="1:93" ht="18.75">
      <c r="A35" s="200"/>
      <c r="L35" s="211"/>
      <c r="M35" s="219">
        <f t="shared" ref="M35:M36" si="11">ROUNDUP(AM6,0)</f>
        <v>8</v>
      </c>
      <c r="N35" s="213" t="s">
        <v>31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ca="1" si="7"/>
        <v>2.9368320276989632E-3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t="shared" ref="BH35:BH36" si="12">ROUNDUP(CH6,0)</f>
        <v>4</v>
      </c>
      <c r="BI35" s="213" t="s">
        <v>31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ca="1" si="9"/>
        <v>1.4684160138494816E-3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spans="1:93" ht="18.75">
      <c r="A36" s="200"/>
      <c r="L36" s="211"/>
      <c r="M36" s="219">
        <f t="shared" si="11"/>
        <v>8</v>
      </c>
      <c r="N36" s="213" t="s">
        <v>145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ca="1" si="7"/>
        <v>1.5766150885541803E-2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145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ca="1" si="9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spans="1:93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ca="1" si="7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+ جوتن"),(Table1588090[[#Totals],[الوزن]]+Table16627383[[#Totals],[الوزن]]),0)</f>
        <v>0</v>
      </c>
      <c r="BI37" s="213" t="s">
        <v>188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ca="1" si="9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spans="1:93" ht="18.75">
      <c r="A38" s="200"/>
      <c r="L38" s="211"/>
      <c r="M38" s="212">
        <f>IF((تسعير!AT25="جلفنة + جوتن"),(Table15880[[#Totals],[الوزن]]+Table166273[[#Totals],[الوزن]]),0)</f>
        <v>0</v>
      </c>
      <c r="N38" s="213" t="s">
        <v>188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ca="1" si="7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24</v>
      </c>
      <c r="BJ38" s="214"/>
      <c r="BK38" s="214"/>
      <c r="BL38" s="214"/>
      <c r="BM38" s="211" t="s">
        <v>189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ca="1" si="9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spans="1:93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24</v>
      </c>
      <c r="O39" s="214"/>
      <c r="P39" s="214"/>
      <c r="Q39" s="214"/>
      <c r="R39" s="211" t="s">
        <v>189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ca="1" si="7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26</v>
      </c>
      <c r="BJ39" s="214"/>
      <c r="BK39" s="214"/>
      <c r="BL39" s="214"/>
      <c r="BM39" s="218" t="s">
        <v>190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ca="1" si="9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spans="1:93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26</v>
      </c>
      <c r="O40" s="214"/>
      <c r="P40" s="214"/>
      <c r="Q40" s="214"/>
      <c r="R40" s="218" t="s">
        <v>190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ca="1" si="7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28</v>
      </c>
      <c r="BJ40" s="214"/>
      <c r="BK40" s="214"/>
      <c r="BL40" s="214"/>
      <c r="BM40" s="218" t="s">
        <v>191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ca="1" si="9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spans="1:93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28</v>
      </c>
      <c r="O41" s="214"/>
      <c r="P41" s="214"/>
      <c r="Q41" s="214"/>
      <c r="R41" s="218" t="s">
        <v>191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ca="1" si="7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29</v>
      </c>
      <c r="BJ41" s="214"/>
      <c r="BK41" s="214"/>
      <c r="BL41" s="214"/>
      <c r="BM41" s="218" t="s">
        <v>191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ca="1" si="9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spans="1:93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29</v>
      </c>
      <c r="O42" s="214"/>
      <c r="P42" s="214"/>
      <c r="Q42" s="214"/>
      <c r="R42" s="218" t="s">
        <v>191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ca="1" si="7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146</v>
      </c>
      <c r="BH42" s="212"/>
      <c r="BI42" s="213" t="s">
        <v>146</v>
      </c>
      <c r="BJ42" s="214"/>
      <c r="BK42" s="214"/>
      <c r="BL42" s="214"/>
      <c r="BM42" s="211" t="s">
        <v>192</v>
      </c>
      <c r="BN42" s="211"/>
      <c r="BO42" s="211"/>
      <c r="BP42" s="242"/>
      <c r="BQ42" s="240">
        <f>SUBTOTAL(109,Table13597166[اجمالي])</f>
        <v>743</v>
      </c>
      <c r="BR42" s="244">
        <f ca="1">Table13597166[[#Totals],[اجمالي]]/$R$68</f>
        <v>2.871139732342539E-3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spans="1:93" ht="18.75">
      <c r="A43" s="200"/>
      <c r="L43" s="211" t="s">
        <v>146</v>
      </c>
      <c r="M43" s="212"/>
      <c r="N43" s="213" t="s">
        <v>146</v>
      </c>
      <c r="O43" s="214"/>
      <c r="P43" s="214"/>
      <c r="Q43" s="214"/>
      <c r="R43" s="211" t="s">
        <v>192</v>
      </c>
      <c r="S43" s="211"/>
      <c r="T43" s="211"/>
      <c r="U43" s="242"/>
      <c r="V43" s="240">
        <f>SUBTOTAL(109,Table135971[اجمالي])</f>
        <v>9152</v>
      </c>
      <c r="W43" s="244">
        <f ca="1">Table135971[[#Totals],[اجمالي]]/$R$68</f>
        <v>3.5365640417764355E-2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spans="1:93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4" t="s">
        <v>228</v>
      </c>
      <c r="BK44" s="884"/>
      <c r="BL44" s="884"/>
      <c r="BM44" s="884"/>
      <c r="BN44" s="884"/>
      <c r="BO44" s="884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spans="1:93" ht="18.75">
      <c r="A45" s="200"/>
      <c r="L45" s="216"/>
      <c r="M45" s="216"/>
      <c r="N45" s="217"/>
      <c r="O45" s="884" t="s">
        <v>228</v>
      </c>
      <c r="P45" s="884"/>
      <c r="Q45" s="884"/>
      <c r="R45" s="884"/>
      <c r="S45" s="884"/>
      <c r="T45" s="884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123</v>
      </c>
      <c r="BH45" s="211" t="s">
        <v>124</v>
      </c>
      <c r="BI45" s="218" t="s">
        <v>125</v>
      </c>
      <c r="BJ45" s="211" t="s">
        <v>9</v>
      </c>
      <c r="BK45" s="211" t="s">
        <v>8</v>
      </c>
      <c r="BL45" s="211" t="s">
        <v>151</v>
      </c>
      <c r="BM45" s="211" t="s">
        <v>127</v>
      </c>
      <c r="BN45" s="211" t="s">
        <v>128</v>
      </c>
      <c r="BO45" s="211" t="s">
        <v>160</v>
      </c>
      <c r="BP45" s="211" t="s">
        <v>130</v>
      </c>
      <c r="BQ45" s="245" t="s">
        <v>131</v>
      </c>
      <c r="BR45" s="211" t="s">
        <v>132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spans="1:93" ht="18.75">
      <c r="A46" s="200"/>
      <c r="L46" s="211" t="s">
        <v>123</v>
      </c>
      <c r="M46" s="211" t="s">
        <v>124</v>
      </c>
      <c r="N46" s="218" t="s">
        <v>125</v>
      </c>
      <c r="O46" s="211" t="s">
        <v>9</v>
      </c>
      <c r="P46" s="211" t="s">
        <v>8</v>
      </c>
      <c r="Q46" s="211" t="s">
        <v>151</v>
      </c>
      <c r="R46" s="211" t="s">
        <v>127</v>
      </c>
      <c r="S46" s="211" t="s">
        <v>128</v>
      </c>
      <c r="T46" s="211" t="s">
        <v>160</v>
      </c>
      <c r="U46" s="211" t="s">
        <v>130</v>
      </c>
      <c r="V46" s="245" t="s">
        <v>131</v>
      </c>
      <c r="W46" s="211" t="s">
        <v>132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380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 ca="1">(BQ46)/$R$68</f>
        <v>0.4027892175757804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spans="1:93" ht="18.75">
      <c r="A47" s="200"/>
      <c r="L47" s="211">
        <v>5</v>
      </c>
      <c r="M47" s="219">
        <v>1</v>
      </c>
      <c r="N47" s="213" t="s">
        <v>380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 ca="1">(V47)/$R$68</f>
        <v>0.66995398641135551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202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 ca="1">(BQ47)/$R$68</f>
        <v>4.0278921757578044E-2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spans="1:93" ht="18.75">
      <c r="A48" s="200"/>
      <c r="L48" s="211">
        <v>4</v>
      </c>
      <c r="M48" s="212">
        <f>IF((Q64="الاسكندرية"),0.25,0.1)</f>
        <v>0.25</v>
      </c>
      <c r="N48" s="213" t="s">
        <v>202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 ca="1">(V48)/$R$68</f>
        <v>0.16748849660283888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146</v>
      </c>
      <c r="BH48" s="212"/>
      <c r="BI48" s="213" t="s">
        <v>146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 ca="1">Table1613687787[[#Totals],[اجمالي]]/$R$68</f>
        <v>0.44306813933335842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spans="1:93" ht="18.75">
      <c r="A49" s="200"/>
      <c r="L49" s="211" t="s">
        <v>146</v>
      </c>
      <c r="M49" s="212"/>
      <c r="N49" s="213" t="s">
        <v>146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 ca="1">Table16136877[[#Totals],[اجمالي]]/$R$68</f>
        <v>0.83744248301419433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4" t="s">
        <v>203</v>
      </c>
      <c r="BK49" s="884"/>
      <c r="BL49" s="884"/>
      <c r="BM49" s="884"/>
      <c r="BN49" s="884"/>
      <c r="BO49" s="884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spans="1:93" ht="18.75">
      <c r="A50" s="200"/>
      <c r="L50" s="216"/>
      <c r="M50" s="216"/>
      <c r="N50" s="217"/>
      <c r="O50" s="884" t="s">
        <v>203</v>
      </c>
      <c r="P50" s="884"/>
      <c r="Q50" s="884"/>
      <c r="R50" s="884"/>
      <c r="S50" s="884"/>
      <c r="T50" s="884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123</v>
      </c>
      <c r="BH50" s="211" t="s">
        <v>124</v>
      </c>
      <c r="BI50" s="218" t="s">
        <v>125</v>
      </c>
      <c r="BJ50" s="211" t="s">
        <v>204</v>
      </c>
      <c r="BK50" s="211" t="s">
        <v>110</v>
      </c>
      <c r="BL50" s="211" t="s">
        <v>205</v>
      </c>
      <c r="BM50" s="211" t="s">
        <v>206</v>
      </c>
      <c r="BN50" s="211" t="s">
        <v>151</v>
      </c>
      <c r="BO50" s="211" t="s">
        <v>207</v>
      </c>
      <c r="BP50" s="211" t="s">
        <v>208</v>
      </c>
      <c r="BQ50" s="245" t="s">
        <v>131</v>
      </c>
      <c r="BR50" s="211" t="s">
        <v>132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spans="1:93" ht="18.75">
      <c r="A51" s="200"/>
      <c r="L51" s="211" t="s">
        <v>123</v>
      </c>
      <c r="M51" s="211" t="s">
        <v>124</v>
      </c>
      <c r="N51" s="218" t="s">
        <v>125</v>
      </c>
      <c r="O51" s="211" t="s">
        <v>204</v>
      </c>
      <c r="P51" s="211" t="s">
        <v>110</v>
      </c>
      <c r="Q51" s="211" t="s">
        <v>205</v>
      </c>
      <c r="R51" s="211" t="s">
        <v>206</v>
      </c>
      <c r="S51" s="211" t="s">
        <v>151</v>
      </c>
      <c r="T51" s="211" t="s">
        <v>207</v>
      </c>
      <c r="U51" s="211" t="s">
        <v>208</v>
      </c>
      <c r="V51" s="245" t="s">
        <v>131</v>
      </c>
      <c r="W51" s="211" t="s">
        <v>132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209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 ca="1">SUMIF(Table17697888[Column1],Table1612677686[[#This Row],[موقع العمل]],$AB$2:$AB$20)</f>
        <v>0</v>
      </c>
      <c r="BL51" s="211" t="s">
        <v>210</v>
      </c>
      <c r="BM51" s="214" t="s">
        <v>133</v>
      </c>
      <c r="BN51" s="216"/>
      <c r="BO51" s="243">
        <v>1</v>
      </c>
      <c r="BP51" s="243">
        <f ca="1"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t="shared" ref="BQ51:BQ63" ca="1" si="13">BH51*BP51</f>
        <v>560</v>
      </c>
      <c r="BR51" s="265">
        <f t="shared" ref="BR51:BR63" ca="1" si="14">(BQ51)/$R$68</f>
        <v>2.1639814940939729E-3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spans="1:93" ht="18.75">
      <c r="A52" s="200"/>
      <c r="L52" s="211">
        <v>1</v>
      </c>
      <c r="M52" s="219">
        <v>2</v>
      </c>
      <c r="N52" s="220" t="s">
        <v>209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 ca="1">SUMIF(Table176978[Column1],Table16126776[[#This Row],[موقع العمل]],$AB$2:$AB$20)</f>
        <v>0</v>
      </c>
      <c r="Q52" s="211" t="s">
        <v>210</v>
      </c>
      <c r="R52" s="214" t="s">
        <v>133</v>
      </c>
      <c r="S52" s="216"/>
      <c r="T52" s="243">
        <v>1</v>
      </c>
      <c r="U52" s="243">
        <f ca="1"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t="shared" ref="V52:V64" ca="1" si="15">M52*U52</f>
        <v>560</v>
      </c>
      <c r="W52" s="241">
        <f t="shared" ref="W52:W64" ca="1" si="16">(V52)/$R$68</f>
        <v>2.1639814940939729E-3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211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 ca="1">SUMIF(Table17697888[Column1],Table1612677686[[#This Row],[موقع العمل]],$AB$2:$AB$20)</f>
        <v>0</v>
      </c>
      <c r="BL52" s="211" t="s">
        <v>210</v>
      </c>
      <c r="BM52" s="214" t="s">
        <v>133</v>
      </c>
      <c r="BN52" s="216"/>
      <c r="BO52" s="243">
        <v>1</v>
      </c>
      <c r="BP52" s="243">
        <f ca="1"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ca="1" si="13"/>
        <v>560</v>
      </c>
      <c r="BR52" s="265">
        <f t="shared" ca="1" si="14"/>
        <v>2.1639814940939729E-3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spans="1:93" ht="18.75">
      <c r="A53" s="200"/>
      <c r="L53" s="211">
        <v>2</v>
      </c>
      <c r="M53" s="219">
        <v>2</v>
      </c>
      <c r="N53" s="220" t="s">
        <v>211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 ca="1">SUMIF(Table176978[Column1],Table16126776[[#This Row],[موقع العمل]],$AB$2:$AB$20)</f>
        <v>0</v>
      </c>
      <c r="Q53" s="211" t="s">
        <v>210</v>
      </c>
      <c r="R53" s="214" t="s">
        <v>133</v>
      </c>
      <c r="S53" s="216"/>
      <c r="T53" s="243">
        <v>1</v>
      </c>
      <c r="U53" s="243">
        <f ca="1"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ca="1" si="15"/>
        <v>560</v>
      </c>
      <c r="W53" s="241">
        <f t="shared" ca="1" si="16"/>
        <v>2.1639814940939729E-3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212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 ca="1">SUMIF(Table17697888[Column1],Table1612677686[[#This Row],[موقع العمل]],$AB$2:$AB$20)</f>
        <v>0</v>
      </c>
      <c r="BL53" s="211" t="s">
        <v>210</v>
      </c>
      <c r="BM53" s="214" t="s">
        <v>133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ca="1" si="14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spans="1:93" ht="18.75">
      <c r="A54" s="200"/>
      <c r="L54" s="211">
        <v>3</v>
      </c>
      <c r="M54" s="219">
        <v>3</v>
      </c>
      <c r="N54" s="220" t="s">
        <v>212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 ca="1">SUMIF(Table176978[Column1],Table16126776[[#This Row],[موقع العمل]],$AB$2:$AB$20)</f>
        <v>0</v>
      </c>
      <c r="Q54" s="211" t="s">
        <v>210</v>
      </c>
      <c r="R54" s="214" t="s">
        <v>133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ca="1" si="16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213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 ca="1">SUMIF(Table17697888[Column1],Table1612677686[[#This Row],[موقع العمل]],$AB$2:$AB$20)</f>
        <v>0</v>
      </c>
      <c r="BL54" s="211" t="s">
        <v>210</v>
      </c>
      <c r="BM54" s="214" t="s">
        <v>133</v>
      </c>
      <c r="BN54" s="216"/>
      <c r="BO54" s="243">
        <v>2</v>
      </c>
      <c r="BP54" s="243">
        <f ca="1"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ca="1" si="13"/>
        <v>1680</v>
      </c>
      <c r="BR54" s="265">
        <f t="shared" ca="1" si="14"/>
        <v>6.4919444822819188E-3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spans="1:93" ht="18.75">
      <c r="A55" s="200"/>
      <c r="L55" s="211">
        <v>4</v>
      </c>
      <c r="M55" s="212">
        <v>3</v>
      </c>
      <c r="N55" s="220" t="s">
        <v>213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 ca="1">SUMIF(Table176978[Column1],Table16126776[[#This Row],[موقع العمل]],$AB$2:$AB$20)</f>
        <v>0</v>
      </c>
      <c r="Q55" s="211" t="s">
        <v>210</v>
      </c>
      <c r="R55" s="214" t="s">
        <v>133</v>
      </c>
      <c r="S55" s="216"/>
      <c r="T55" s="243">
        <v>2</v>
      </c>
      <c r="U55" s="243">
        <f ca="1"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ca="1" si="15"/>
        <v>1680</v>
      </c>
      <c r="W55" s="241">
        <f t="shared" ca="1" si="16"/>
        <v>6.4919444822819188E-3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214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 ca="1"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133</v>
      </c>
      <c r="BN55" s="216"/>
      <c r="BO55" s="243">
        <v>2</v>
      </c>
      <c r="BP55" s="243">
        <f ca="1"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ca="1" si="13"/>
        <v>4000</v>
      </c>
      <c r="BR55" s="265">
        <f t="shared" ca="1" si="14"/>
        <v>1.5457010672099807E-2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spans="1:93" ht="18.75">
      <c r="A56" s="200"/>
      <c r="L56" s="211">
        <v>5</v>
      </c>
      <c r="M56" s="212">
        <v>4</v>
      </c>
      <c r="N56" s="220" t="s">
        <v>214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 ca="1"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133</v>
      </c>
      <c r="S56" s="216"/>
      <c r="T56" s="243">
        <v>2</v>
      </c>
      <c r="U56" s="243">
        <f ca="1"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ca="1" si="15"/>
        <v>2560</v>
      </c>
      <c r="W56" s="241">
        <f t="shared" ca="1" si="16"/>
        <v>9.8924868301438762E-3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215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 ca="1"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133</v>
      </c>
      <c r="BN56" s="216"/>
      <c r="BO56" s="243">
        <v>2</v>
      </c>
      <c r="BP56" s="243">
        <f ca="1"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ca="1" si="13"/>
        <v>3000</v>
      </c>
      <c r="BR56" s="265">
        <f t="shared" ca="1" si="14"/>
        <v>1.1592758004074855E-2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spans="1:93" ht="18.75">
      <c r="A57" s="200"/>
      <c r="L57" s="211">
        <v>6</v>
      </c>
      <c r="M57" s="212">
        <v>3</v>
      </c>
      <c r="N57" s="220" t="s">
        <v>215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 ca="1"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133</v>
      </c>
      <c r="S57" s="216"/>
      <c r="T57" s="243">
        <v>2</v>
      </c>
      <c r="U57" s="243">
        <f ca="1"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ca="1" si="15"/>
        <v>1920</v>
      </c>
      <c r="W57" s="241">
        <f t="shared" ca="1" si="16"/>
        <v>7.4193651226079071E-3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216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 ca="1"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133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ca="1" si="14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spans="1:93" ht="18.75">
      <c r="A58" s="200"/>
      <c r="L58" s="211">
        <v>7</v>
      </c>
      <c r="M58" s="212">
        <v>0</v>
      </c>
      <c r="N58" s="220" t="s">
        <v>216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 ca="1"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133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ca="1" si="16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217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 ca="1"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133</v>
      </c>
      <c r="BN58" s="216"/>
      <c r="BO58" s="243">
        <v>2</v>
      </c>
      <c r="BP58" s="243">
        <f ca="1"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ca="1" si="13"/>
        <v>4000</v>
      </c>
      <c r="BR58" s="265">
        <f t="shared" ca="1" si="14"/>
        <v>1.5457010672099807E-2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spans="1:93" ht="18.75">
      <c r="A59" s="200"/>
      <c r="L59" s="211">
        <v>8</v>
      </c>
      <c r="M59" s="212">
        <v>4</v>
      </c>
      <c r="N59" s="220" t="s">
        <v>217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 ca="1"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133</v>
      </c>
      <c r="S59" s="216"/>
      <c r="T59" s="243">
        <v>2</v>
      </c>
      <c r="U59" s="243">
        <f ca="1"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ca="1" si="15"/>
        <v>2560</v>
      </c>
      <c r="W59" s="241">
        <f t="shared" ca="1" si="16"/>
        <v>9.8924868301438762E-3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218</v>
      </c>
      <c r="BJ59" s="211"/>
      <c r="BK59" s="211"/>
      <c r="BL59" s="211" t="str">
        <f>تسعير!$AT$44</f>
        <v>المقطم</v>
      </c>
      <c r="BM59" s="214"/>
      <c r="BN59" s="247">
        <f ca="1">SUMIF(Table17697888[Column1],Table1612677686[[#This Row],[موقع العمل]],$Z$2:$Z$20)</f>
        <v>320</v>
      </c>
      <c r="BO59" s="247"/>
      <c r="BP59" s="243">
        <f ca="1">Table1612677686[[#This Row],[Column12]]</f>
        <v>320</v>
      </c>
      <c r="BQ59" s="240">
        <f t="shared" ca="1" si="13"/>
        <v>7040</v>
      </c>
      <c r="BR59" s="265">
        <f t="shared" ca="1" si="14"/>
        <v>2.720433878289566E-2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spans="1:93" ht="18.75">
      <c r="A60" s="200"/>
      <c r="L60" s="211">
        <v>9</v>
      </c>
      <c r="M60" s="212">
        <f>(M56+M57+M58+M59)*2</f>
        <v>22</v>
      </c>
      <c r="N60" s="220" t="s">
        <v>218</v>
      </c>
      <c r="O60" s="211"/>
      <c r="P60" s="211"/>
      <c r="Q60" s="211" t="str">
        <f>تسعير!$AT$24</f>
        <v>الاسكندرية</v>
      </c>
      <c r="R60" s="214"/>
      <c r="S60" s="247">
        <f ca="1">SUMIF(Table176978[Column1],Table16126776[[#This Row],[موقع العمل]],$Z$2:$Z$20)</f>
        <v>0</v>
      </c>
      <c r="T60" s="247"/>
      <c r="U60" s="243">
        <f ca="1">Table16126776[[#This Row],[Column12]]</f>
        <v>0</v>
      </c>
      <c r="V60" s="240">
        <f t="shared" ca="1" si="15"/>
        <v>0</v>
      </c>
      <c r="W60" s="241">
        <f t="shared" ca="1" si="16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219</v>
      </c>
      <c r="BJ60" s="211"/>
      <c r="BK60" s="211"/>
      <c r="BL60" s="211" t="str">
        <f>تسعير!$AT$44</f>
        <v>المقطم</v>
      </c>
      <c r="BM60" s="214"/>
      <c r="BN60" s="247">
        <f ca="1">SUMIF(Table17697888[Column1],Table1612677686[[#This Row],[موقع العمل]],$AA$2:$AA$20)</f>
        <v>400</v>
      </c>
      <c r="BO60" s="247"/>
      <c r="BP60" s="243">
        <f ca="1">Table1612677686[[#This Row],[Column12]]</f>
        <v>400</v>
      </c>
      <c r="BQ60" s="240">
        <f t="shared" ca="1" si="13"/>
        <v>3600</v>
      </c>
      <c r="BR60" s="265">
        <f t="shared" ca="1" si="14"/>
        <v>1.3911309604889826E-2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spans="1:93" ht="18.75">
      <c r="A61" s="200"/>
      <c r="L61" s="211">
        <v>10</v>
      </c>
      <c r="M61" s="212">
        <f>((T56+T57+T58+T59)*2)-3</f>
        <v>9</v>
      </c>
      <c r="N61" s="220" t="s">
        <v>219</v>
      </c>
      <c r="O61" s="211"/>
      <c r="P61" s="211"/>
      <c r="Q61" s="211" t="str">
        <f>تسعير!$AT$24</f>
        <v>الاسكندرية</v>
      </c>
      <c r="R61" s="214"/>
      <c r="S61" s="247">
        <f ca="1">SUMIF(Table176978[Column1],Table16126776[[#This Row],[موقع العمل]],$AA$2:$AA$20)</f>
        <v>0</v>
      </c>
      <c r="T61" s="247"/>
      <c r="U61" s="243">
        <f ca="1">Table16126776[[#This Row],[Column12]]</f>
        <v>0</v>
      </c>
      <c r="V61" s="240">
        <f t="shared" ca="1" si="15"/>
        <v>0</v>
      </c>
      <c r="W61" s="241">
        <f t="shared" ca="1" si="16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220</v>
      </c>
      <c r="BJ61" s="211"/>
      <c r="BK61" s="211"/>
      <c r="BL61" s="211" t="str">
        <f>تسعير!$AT$44</f>
        <v>المقطم</v>
      </c>
      <c r="BM61" s="214"/>
      <c r="BN61" s="247">
        <f ca="1">SUMIF(Table17697888[Column1],Table1612677686[[#This Row],[موقع العمل]],$AC$2:$AC$20)</f>
        <v>3500</v>
      </c>
      <c r="BO61" s="247"/>
      <c r="BP61" s="243">
        <f ca="1">Table1612677686[[#This Row],[Column12]]</f>
        <v>3500</v>
      </c>
      <c r="BQ61" s="240">
        <f t="shared" ca="1" si="13"/>
        <v>0</v>
      </c>
      <c r="BR61" s="265">
        <f t="shared" ca="1" si="14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spans="1:93" ht="18.75">
      <c r="A62" s="200"/>
      <c r="L62" s="211">
        <v>11</v>
      </c>
      <c r="M62" s="212">
        <v>0</v>
      </c>
      <c r="N62" s="220" t="s">
        <v>220</v>
      </c>
      <c r="O62" s="211"/>
      <c r="P62" s="211"/>
      <c r="Q62" s="211" t="str">
        <f>تسعير!$AT$24</f>
        <v>الاسكندرية</v>
      </c>
      <c r="R62" s="214"/>
      <c r="S62" s="247">
        <f ca="1">SUMIF(Table176978[Column1],Table16126776[[#This Row],[موقع العمل]],$AC$2:$AC$20)</f>
        <v>1000</v>
      </c>
      <c r="T62" s="247"/>
      <c r="U62" s="243">
        <f ca="1">Table16126776[[#This Row],[Column12]]</f>
        <v>1000</v>
      </c>
      <c r="V62" s="240">
        <f t="shared" ca="1" si="15"/>
        <v>0</v>
      </c>
      <c r="W62" s="241">
        <f t="shared" ca="1" si="16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IF((تسعير!$AT$12="بالتات"),1,2)</f>
        <v>1</v>
      </c>
      <c r="BI62" s="220" t="s">
        <v>221</v>
      </c>
      <c r="BJ62" s="211"/>
      <c r="BK62" s="211"/>
      <c r="BL62" s="211" t="str">
        <f>تسعير!$AT$44</f>
        <v>المقطم</v>
      </c>
      <c r="BM62" s="214"/>
      <c r="BN62" s="247">
        <f ca="1">SUMIF(Table17697888[Column1],Table1612677686[[#This Row],[موقع العمل]],$AD$2:$AD$20)</f>
        <v>6000</v>
      </c>
      <c r="BO62" s="247"/>
      <c r="BP62" s="243">
        <f ca="1">Table1612677686[[#This Row],[Column12]]</f>
        <v>6000</v>
      </c>
      <c r="BQ62" s="240">
        <f t="shared" ca="1" si="13"/>
        <v>6000</v>
      </c>
      <c r="BR62" s="265">
        <f t="shared" ca="1" si="14"/>
        <v>2.318551600814971E-2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spans="1:93" ht="18.75">
      <c r="A63" s="200"/>
      <c r="L63" s="211">
        <v>12</v>
      </c>
      <c r="M63" s="212">
        <f>IF((تسعير!$AT$12="بالتات"),1,2)</f>
        <v>1</v>
      </c>
      <c r="N63" s="220" t="s">
        <v>221</v>
      </c>
      <c r="O63" s="211"/>
      <c r="P63" s="211"/>
      <c r="Q63" s="211" t="str">
        <f>تسعير!$AT$24</f>
        <v>الاسكندرية</v>
      </c>
      <c r="R63" s="214"/>
      <c r="S63" s="247">
        <f ca="1">SUMIF(Table176978[Column1],Table16126776[[#This Row],[موقع العمل]],$AD$2:$AD$20)</f>
        <v>2000</v>
      </c>
      <c r="T63" s="247"/>
      <c r="U63" s="243">
        <f ca="1">Table16126776[[#This Row],[Column12]]</f>
        <v>2000</v>
      </c>
      <c r="V63" s="240">
        <f t="shared" ca="1" si="15"/>
        <v>2000</v>
      </c>
      <c r="W63" s="241">
        <f t="shared" ca="1" si="16"/>
        <v>7.7285053360499033E-3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IF((تسعير!$AT$12="بالتات"),0,BH60-2)</f>
        <v>0</v>
      </c>
      <c r="BI63" s="220" t="s">
        <v>113</v>
      </c>
      <c r="BJ63" s="211"/>
      <c r="BK63" s="211"/>
      <c r="BL63" s="211" t="str">
        <f>تسعير!$AT$44</f>
        <v>المقطم</v>
      </c>
      <c r="BM63" s="214"/>
      <c r="BN63" s="247">
        <f ca="1">SUMIF(Table17697888[Column1],Table1612677686[[#This Row],[موقع العمل]],$AE$2:$AE$8)</f>
        <v>150</v>
      </c>
      <c r="BO63" s="247"/>
      <c r="BP63" s="243">
        <f ca="1">Table1612677686[[#This Row],[Column12]]</f>
        <v>150</v>
      </c>
      <c r="BQ63" s="240">
        <f t="shared" ca="1" si="13"/>
        <v>0</v>
      </c>
      <c r="BR63" s="265">
        <f t="shared" ca="1" si="14"/>
        <v>0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spans="1:93" ht="18.75">
      <c r="A64" s="200"/>
      <c r="L64" s="211">
        <v>13</v>
      </c>
      <c r="M64" s="212">
        <f>IF((تسعير!$AT$12="بالتات"),0,M61-2)</f>
        <v>0</v>
      </c>
      <c r="N64" s="220" t="s">
        <v>113</v>
      </c>
      <c r="O64" s="211"/>
      <c r="P64" s="211"/>
      <c r="Q64" s="211" t="str">
        <f>تسعير!$AT$24</f>
        <v>الاسكندرية</v>
      </c>
      <c r="R64" s="214"/>
      <c r="S64" s="247">
        <f ca="1">SUMIF(Table176978[Column1],Table16126776[[#This Row],[موقع العمل]],$AE$2:$AE$8)</f>
        <v>0</v>
      </c>
      <c r="T64" s="247"/>
      <c r="U64" s="243">
        <f ca="1">Table16126776[[#This Row],[Column12]]</f>
        <v>0</v>
      </c>
      <c r="V64" s="240">
        <f t="shared" ca="1" si="15"/>
        <v>0</v>
      </c>
      <c r="W64" s="241">
        <f t="shared" ca="1" si="16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1" t="s">
        <v>146</v>
      </c>
      <c r="BH64" s="570"/>
      <c r="BI64" s="549" t="s">
        <v>146</v>
      </c>
      <c r="BJ64" s="571"/>
      <c r="BK64" s="571"/>
      <c r="BL64" s="572"/>
      <c r="BM64" s="572"/>
      <c r="BN64" s="573">
        <f ca="1">SUBTOTAL(109,Table1612677686[Column12])</f>
        <v>10370</v>
      </c>
      <c r="BO64" s="571"/>
      <c r="BP64" s="242"/>
      <c r="BQ64" s="574">
        <f ca="1">SUBTOTAL(109,Table1612677686[اجمالي])</f>
        <v>30440</v>
      </c>
      <c r="BR64" s="575">
        <f ca="1">Table1612677686[[#Totals],[اجمالي]]/$R$68</f>
        <v>0.11762785121467953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spans="1:93" ht="18.75">
      <c r="A65" s="200"/>
      <c r="L65" s="571" t="s">
        <v>146</v>
      </c>
      <c r="M65" s="570"/>
      <c r="N65" s="549" t="s">
        <v>146</v>
      </c>
      <c r="O65" s="571"/>
      <c r="P65" s="571"/>
      <c r="Q65" s="572"/>
      <c r="R65" s="572"/>
      <c r="S65" s="573">
        <f ca="1">SUBTOTAL(109,Table16126776[Column12])</f>
        <v>3000</v>
      </c>
      <c r="T65" s="571"/>
      <c r="U65" s="242"/>
      <c r="V65" s="574">
        <f ca="1">SUBTOTAL(109,Table16126776[اجمالي])</f>
        <v>11840</v>
      </c>
      <c r="W65" s="575">
        <f ca="1">Table16126776[[#Totals],[اجمالي]]/$R$68</f>
        <v>4.5752751589415427E-2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9"/>
      <c r="BK65" s="889"/>
      <c r="BL65" s="889"/>
      <c r="BM65" s="889"/>
      <c r="BN65" s="889"/>
      <c r="BO65" s="88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spans="1:93" ht="18.75">
      <c r="A66" s="200"/>
      <c r="L66" s="216"/>
      <c r="M66" s="216"/>
      <c r="N66" s="217"/>
      <c r="O66" s="889"/>
      <c r="P66" s="889"/>
      <c r="Q66" s="889"/>
      <c r="R66" s="889"/>
      <c r="S66" s="889"/>
      <c r="T66" s="88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8</v>
      </c>
      <c r="BJ66" s="211" t="s">
        <v>222</v>
      </c>
      <c r="BK66" s="211" t="s">
        <v>223</v>
      </c>
      <c r="BL66" s="211" t="s">
        <v>3</v>
      </c>
      <c r="BM66" s="211" t="s">
        <v>9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spans="1:93" ht="18.75">
      <c r="A67" s="200"/>
      <c r="L67" s="211"/>
      <c r="M67" s="211"/>
      <c r="N67" s="218" t="s">
        <v>8</v>
      </c>
      <c r="O67" s="211" t="s">
        <v>222</v>
      </c>
      <c r="P67" s="211" t="s">
        <v>223</v>
      </c>
      <c r="Q67" s="211" t="s">
        <v>3</v>
      </c>
      <c r="R67" s="211" t="s">
        <v>9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224</v>
      </c>
      <c r="BJ67" s="214"/>
      <c r="BK67" s="211"/>
      <c r="BL67" s="280"/>
      <c r="BM67" s="281">
        <f ca="1">Table1612677686[[#Totals],[اجمالي]]+Table1613687787[[#Totals],[اجمالي]]+Table13597166[[#Totals],[اجمالي]]+Table16627383[[#Totals],[اجمالي]]+Table15617282[[#Totals],[اجمالي]]+Table1588090[[#Totals],[اجمالي]]</f>
        <v>166916.16999999998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spans="1:93" ht="18.75">
      <c r="A68" s="200"/>
      <c r="L68" s="211"/>
      <c r="M68" s="219"/>
      <c r="N68" s="213" t="s">
        <v>224</v>
      </c>
      <c r="O68" s="214"/>
      <c r="P68" s="211"/>
      <c r="Q68" s="280"/>
      <c r="R68" s="281">
        <f ca="1">Table16126776[[#Totals],[اجمالي]]+Table16136877[[#Totals],[اجمالي]]+Table135971[[#Totals],[اجمالي]]+Table166273[[#Totals],[اجمالي]]+Table156172[[#Totals],[اجمالي]]+Table15880[[#Totals],[اجمالي]]</f>
        <v>258782.25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225</v>
      </c>
      <c r="BJ68" s="275"/>
      <c r="BK68" s="272"/>
      <c r="BL68" s="284">
        <f t="shared" ref="BL68" si="17">IF((BL63="المقطم"),0.3,IF((BL63="التجمع"),0.3,IF((BL63="الشيخ زايد"),0.3,IF((BL63="الاسكندرية"),0.5,0.35))))</f>
        <v>0.3</v>
      </c>
      <c r="BM68" s="285">
        <f ca="1">BM67*(1+Table18707989[[#This Row],[Column3]])</f>
        <v>216991.02099999998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spans="1:93" ht="18.75">
      <c r="A69" s="200"/>
      <c r="L69" s="272"/>
      <c r="M69" s="273"/>
      <c r="N69" s="274" t="s">
        <v>225</v>
      </c>
      <c r="O69" s="275"/>
      <c r="P69" s="272"/>
      <c r="Q69" s="284">
        <f>IF((Q64="المقطم"),0.2,IF((Q64="التجمع"),0.2,IF((Q64="الشيخ زايد"),0.2,IF((Q64="الاسكندرية"),0.3,0.25))))</f>
        <v>0.3</v>
      </c>
      <c r="R69" s="285">
        <f ca="1">R68*(1+Table187079[[#This Row],[Column3]])</f>
        <v>336416.92499999999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spans="1:93" ht="18.75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spans="1:93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9" t="s">
        <v>99</v>
      </c>
      <c r="BH71" s="879"/>
      <c r="BI71" s="879"/>
      <c r="BJ71" s="301" t="s">
        <v>100</v>
      </c>
      <c r="BK71" s="301" t="s">
        <v>101</v>
      </c>
      <c r="BL71" s="302" t="s">
        <v>102</v>
      </c>
      <c r="BM71" s="306" t="s">
        <v>103</v>
      </c>
      <c r="BN71" s="306" t="s">
        <v>104</v>
      </c>
      <c r="BO71" s="306" t="s">
        <v>105</v>
      </c>
      <c r="BP71" s="306" t="s">
        <v>106</v>
      </c>
      <c r="BQ71" s="306" t="s">
        <v>107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spans="1:93" ht="21">
      <c r="A72" s="200"/>
      <c r="L72" s="879" t="s">
        <v>99</v>
      </c>
      <c r="M72" s="879"/>
      <c r="N72" s="879"/>
      <c r="O72" s="276" t="s">
        <v>100</v>
      </c>
      <c r="P72" s="276" t="s">
        <v>101</v>
      </c>
      <c r="Q72" s="289" t="s">
        <v>102</v>
      </c>
      <c r="R72" s="225" t="s">
        <v>103</v>
      </c>
      <c r="S72" s="225" t="s">
        <v>104</v>
      </c>
      <c r="T72" s="225" t="s">
        <v>105</v>
      </c>
      <c r="U72" s="225" t="s">
        <v>106</v>
      </c>
      <c r="V72" s="225" t="s">
        <v>107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381</v>
      </c>
      <c r="AW72" s="269">
        <f>(BA72*AY72)/10000</f>
        <v>20</v>
      </c>
      <c r="AX72" s="270" t="s">
        <v>230</v>
      </c>
      <c r="AY72" s="271">
        <f>تسعير!BE54</f>
        <v>400</v>
      </c>
      <c r="AZ72" s="270" t="s">
        <v>198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1"/>
      <c r="BH72" s="891"/>
      <c r="BI72" s="891"/>
      <c r="BJ72" s="303"/>
      <c r="BK72" s="303"/>
      <c r="BL72" s="304">
        <f>BJ72*BK72</f>
        <v>0</v>
      </c>
      <c r="BM72" s="307" t="e">
        <f ca="1"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spans="1:93" ht="21">
      <c r="A73" s="200"/>
      <c r="L73" s="891"/>
      <c r="M73" s="891"/>
      <c r="N73" s="891"/>
      <c r="O73" s="277"/>
      <c r="P73" s="277"/>
      <c r="Q73" s="291">
        <f>O73*P73</f>
        <v>0</v>
      </c>
      <c r="R73" s="292" t="e">
        <f ca="1"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8</v>
      </c>
      <c r="AW73" s="194" t="s">
        <v>124</v>
      </c>
      <c r="AX73" s="194" t="s">
        <v>344</v>
      </c>
      <c r="AY73" s="194" t="s">
        <v>9</v>
      </c>
      <c r="AZ73" s="194" t="s">
        <v>345</v>
      </c>
      <c r="BA73" s="194" t="s">
        <v>346</v>
      </c>
      <c r="BB73" s="167"/>
      <c r="BC73" s="198" t="s">
        <v>347</v>
      </c>
      <c r="BD73" s="198"/>
      <c r="BE73" s="198" t="s">
        <v>348</v>
      </c>
      <c r="BF73" s="167"/>
      <c r="BG73" s="893" t="s">
        <v>115</v>
      </c>
      <c r="BH73" s="893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116</v>
      </c>
      <c r="BM73" s="888">
        <f ca="1">NOW()</f>
        <v>46132.673925578703</v>
      </c>
      <c r="BN73" s="888"/>
      <c r="BO73" s="888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spans="1:93" ht="21">
      <c r="A74" s="531" t="s">
        <v>380</v>
      </c>
      <c r="B74" s="532">
        <f>(F74*D74)/10000</f>
        <v>20.399999999999999</v>
      </c>
      <c r="C74" s="533" t="s">
        <v>230</v>
      </c>
      <c r="D74" s="534">
        <f>تسعير!BE34</f>
        <v>510</v>
      </c>
      <c r="E74" s="533" t="s">
        <v>198</v>
      </c>
      <c r="F74" s="534">
        <f>تسعير!BE33</f>
        <v>400</v>
      </c>
      <c r="G74" s="533" t="s">
        <v>59</v>
      </c>
      <c r="H74" s="534" t="str">
        <f>تسعير!BE26</f>
        <v>سادة</v>
      </c>
      <c r="I74" s="548" t="str">
        <f>تسعير!BE32</f>
        <v>قواعد عادية</v>
      </c>
      <c r="J74" s="535"/>
      <c r="K74" s="167"/>
      <c r="L74" s="892" t="s">
        <v>115</v>
      </c>
      <c r="M74" s="892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116</v>
      </c>
      <c r="R74" s="888">
        <f ca="1">NOW()</f>
        <v>46132.673925578703</v>
      </c>
      <c r="S74" s="888"/>
      <c r="T74" s="888"/>
      <c r="U74" s="235"/>
      <c r="V74" s="235"/>
      <c r="W74" s="235"/>
      <c r="X74" s="207"/>
      <c r="Y74" s="207" t="s">
        <v>8</v>
      </c>
      <c r="Z74" s="207" t="s">
        <v>108</v>
      </c>
      <c r="AA74" s="207" t="s">
        <v>109</v>
      </c>
      <c r="AB74" s="207" t="s">
        <v>110</v>
      </c>
      <c r="AC74" s="207" t="s">
        <v>111</v>
      </c>
      <c r="AD74" s="207" t="s">
        <v>112</v>
      </c>
      <c r="AE74" s="207" t="s">
        <v>113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349</v>
      </c>
      <c r="AW74" s="196">
        <f>ROUNDUP((12+((ROUNDUP((AY72-210),18))/18)),0)</f>
        <v>23</v>
      </c>
      <c r="AX74" s="197">
        <f>BA72-16.5</f>
        <v>483.5</v>
      </c>
      <c r="AY74" s="194" t="s">
        <v>350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4" t="s">
        <v>117</v>
      </c>
      <c r="BK74" s="884"/>
      <c r="BL74" s="884"/>
      <c r="BM74" s="884"/>
      <c r="BN74" s="884"/>
      <c r="BO74" s="884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spans="1:93" ht="18.75">
      <c r="A75" s="536" t="s">
        <v>8</v>
      </c>
      <c r="B75" s="537" t="s">
        <v>124</v>
      </c>
      <c r="C75" s="537" t="s">
        <v>344</v>
      </c>
      <c r="D75" s="537" t="s">
        <v>9</v>
      </c>
      <c r="E75" s="537" t="s">
        <v>345</v>
      </c>
      <c r="F75" s="537" t="s">
        <v>346</v>
      </c>
      <c r="G75" s="527"/>
      <c r="H75" s="538" t="s">
        <v>347</v>
      </c>
      <c r="I75" s="538"/>
      <c r="J75" s="538" t="s">
        <v>348</v>
      </c>
      <c r="L75" s="208"/>
      <c r="M75" s="208"/>
      <c r="N75" s="209"/>
      <c r="O75" s="884" t="s">
        <v>117</v>
      </c>
      <c r="P75" s="884"/>
      <c r="Q75" s="884"/>
      <c r="R75" s="884"/>
      <c r="S75" s="884"/>
      <c r="T75" s="884"/>
      <c r="U75" s="236"/>
      <c r="V75" s="236"/>
      <c r="W75" s="236"/>
      <c r="X75" s="207"/>
      <c r="Y75" s="216" t="s">
        <v>114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351</v>
      </c>
      <c r="AW75" s="194">
        <v>2</v>
      </c>
      <c r="AX75" s="196">
        <f>BA72</f>
        <v>500</v>
      </c>
      <c r="AY75" s="194" t="s">
        <v>350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123</v>
      </c>
      <c r="BH75" s="208" t="s">
        <v>124</v>
      </c>
      <c r="BI75" s="210" t="s">
        <v>125</v>
      </c>
      <c r="BJ75" s="208" t="s">
        <v>9</v>
      </c>
      <c r="BK75" s="208" t="s">
        <v>8</v>
      </c>
      <c r="BL75" s="208" t="s">
        <v>126</v>
      </c>
      <c r="BM75" s="237" t="s">
        <v>127</v>
      </c>
      <c r="BN75" s="237" t="s">
        <v>128</v>
      </c>
      <c r="BO75" s="237" t="s">
        <v>354</v>
      </c>
      <c r="BP75" s="237" t="s">
        <v>130</v>
      </c>
      <c r="BQ75" s="238" t="s">
        <v>131</v>
      </c>
      <c r="BR75" s="237" t="s">
        <v>132</v>
      </c>
      <c r="BS75" s="207"/>
      <c r="BT75" s="207" t="s">
        <v>8</v>
      </c>
      <c r="BU75" s="207" t="s">
        <v>108</v>
      </c>
      <c r="BV75" s="207" t="s">
        <v>109</v>
      </c>
      <c r="BW75" s="207" t="s">
        <v>110</v>
      </c>
      <c r="BX75" s="207" t="s">
        <v>111</v>
      </c>
      <c r="BY75" s="207" t="s">
        <v>112</v>
      </c>
      <c r="BZ75" s="207" t="s">
        <v>113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spans="1:93" ht="18.75">
      <c r="A76" s="536" t="s">
        <v>349</v>
      </c>
      <c r="B76" s="539">
        <f>ROUNDUP((12+((ROUNDUP((D74-210),15))/15)),0)</f>
        <v>32</v>
      </c>
      <c r="C76" s="540">
        <f>F74-16.5</f>
        <v>383.5</v>
      </c>
      <c r="D76" s="537" t="s">
        <v>350</v>
      </c>
      <c r="E76" s="537">
        <v>2.2999999999999998</v>
      </c>
      <c r="F76" s="537">
        <f>IF(($H$74="سادة"),(J76*H76*E76*($U$73+(Sheet2!B41*1000))/1000),(J76*H76*E76*($U$73+(Sheet2!B15))/1000))</f>
        <v>83020.800000000003</v>
      </c>
      <c r="G76" s="527"/>
      <c r="H76" s="538">
        <f>CEILING(Table80102114115[[#This Row],[طول]]/100,0.5)</f>
        <v>4</v>
      </c>
      <c r="I76" s="279">
        <f t="shared" ref="I76:I81" si="18">(H76*100)/C76</f>
        <v>1.0430247718383312</v>
      </c>
      <c r="J76" s="541">
        <f t="shared" ref="J76:J81" si="19">B76/(ROUNDDOWN(I76,0))</f>
        <v>32</v>
      </c>
      <c r="L76" s="208" t="s">
        <v>123</v>
      </c>
      <c r="M76" s="208" t="s">
        <v>124</v>
      </c>
      <c r="N76" s="210" t="s">
        <v>125</v>
      </c>
      <c r="O76" s="208" t="s">
        <v>9</v>
      </c>
      <c r="P76" s="208" t="s">
        <v>8</v>
      </c>
      <c r="Q76" s="208" t="s">
        <v>126</v>
      </c>
      <c r="R76" s="237" t="s">
        <v>127</v>
      </c>
      <c r="S76" s="237" t="s">
        <v>128</v>
      </c>
      <c r="T76" s="237" t="s">
        <v>354</v>
      </c>
      <c r="U76" s="237" t="s">
        <v>130</v>
      </c>
      <c r="V76" s="238" t="s">
        <v>131</v>
      </c>
      <c r="W76" s="237" t="s">
        <v>132</v>
      </c>
      <c r="X76" s="207"/>
      <c r="Y76" s="216" t="s">
        <v>96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8</v>
      </c>
      <c r="AP76" s="207" t="s">
        <v>9</v>
      </c>
      <c r="AQ76" s="207" t="s">
        <v>3</v>
      </c>
      <c r="AR76" s="207" t="s">
        <v>122</v>
      </c>
      <c r="AS76" s="207" t="s">
        <v>237</v>
      </c>
      <c r="AT76" s="255"/>
      <c r="AU76" s="216"/>
      <c r="AV76" s="193" t="s">
        <v>353</v>
      </c>
      <c r="AW76" s="194">
        <v>2</v>
      </c>
      <c r="AX76" s="196">
        <f>AY72</f>
        <v>400</v>
      </c>
      <c r="AY76" s="194" t="s">
        <v>350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358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 ca="1">(BQ76)/$R$68</f>
        <v>2.9213750170268633E-2</v>
      </c>
      <c r="BS76" s="207"/>
      <c r="BT76" s="216" t="s">
        <v>114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spans="1:93" ht="18.75">
      <c r="A77" s="536" t="s">
        <v>351</v>
      </c>
      <c r="B77" s="537">
        <v>2</v>
      </c>
      <c r="C77" s="539">
        <f>F74</f>
        <v>400</v>
      </c>
      <c r="D77" s="537" t="s">
        <v>350</v>
      </c>
      <c r="E77" s="537">
        <v>3.8</v>
      </c>
      <c r="F77" s="537">
        <f>IF(($H$74="سادة"),(J77*H77*E77*($U$73+(Sheet2!B41*1000))/1000),(J77*H77*E77*($U$73+(Sheet2!B15))/1000))</f>
        <v>8572.7999999999993</v>
      </c>
      <c r="G77" s="542"/>
      <c r="H77" s="538">
        <f>CEILING(Table80102114115[[#This Row],[طول]]/100,0.5)</f>
        <v>4</v>
      </c>
      <c r="I77" s="279">
        <f t="shared" si="18"/>
        <v>1</v>
      </c>
      <c r="J77" s="541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358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 ca="1">(V77)/$R$68</f>
        <v>5.8427500340537265E-2</v>
      </c>
      <c r="X77" s="207"/>
      <c r="Y77" s="216" t="s">
        <v>53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118</v>
      </c>
      <c r="AG77" s="207"/>
      <c r="AH77" s="207"/>
      <c r="AI77" s="207"/>
      <c r="AJ77" s="207" t="s">
        <v>119</v>
      </c>
      <c r="AK77" s="207" t="s">
        <v>120</v>
      </c>
      <c r="AL77" s="207" t="s">
        <v>121</v>
      </c>
      <c r="AM77" s="207" t="s">
        <v>122</v>
      </c>
      <c r="AN77" s="207"/>
      <c r="AO77" s="207" t="s">
        <v>239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357</v>
      </c>
      <c r="AW77" s="194">
        <v>1</v>
      </c>
      <c r="AX77" s="194">
        <f>(15.6*(AW74-1)+4)</f>
        <v>347.2</v>
      </c>
      <c r="AY77" s="194" t="s">
        <v>350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360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 ca="1">(BQ77)/$R$68</f>
        <v>2.5735922769046175E-2</v>
      </c>
      <c r="BS77" s="207"/>
      <c r="BT77" s="216" t="s">
        <v>96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spans="1:93" ht="18.75">
      <c r="A78" s="536" t="s">
        <v>353</v>
      </c>
      <c r="B78" s="537">
        <v>2</v>
      </c>
      <c r="C78" s="539">
        <f>D74</f>
        <v>510</v>
      </c>
      <c r="D78" s="537" t="s">
        <v>350</v>
      </c>
      <c r="E78" s="537">
        <v>3.8</v>
      </c>
      <c r="F78" s="537">
        <f>IF(($H$74="سادة"),(J78*H78*E78*($U$73+(Sheet2!B41*1000))/1000),(J78*H78*E78*($U$73+(Sheet2!B15))/1000))</f>
        <v>11787.6</v>
      </c>
      <c r="G78" s="542"/>
      <c r="H78" s="538">
        <f>CEILING(Table80102114115[[#This Row],[طول]]/100,0.5)</f>
        <v>5.5</v>
      </c>
      <c r="I78" s="279">
        <f t="shared" si="18"/>
        <v>1.0784313725490196</v>
      </c>
      <c r="J78" s="541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360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 ca="1">(V78)/$R$68</f>
        <v>2.5735922769046175E-2</v>
      </c>
      <c r="X78" s="207"/>
      <c r="Y78" s="216" t="s">
        <v>89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133</v>
      </c>
      <c r="AG78" s="207"/>
      <c r="AH78" s="207"/>
      <c r="AI78" s="207"/>
      <c r="AJ78" s="233" t="s">
        <v>134</v>
      </c>
      <c r="AK78" s="233">
        <v>0.4</v>
      </c>
      <c r="AL78" s="237" t="s">
        <v>135</v>
      </c>
      <c r="AM78" s="216">
        <f>IF((تسعير!BE25="ايبوكسي +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241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361</v>
      </c>
      <c r="AW78" s="194"/>
      <c r="AX78" s="194">
        <f>AW74*2</f>
        <v>46</v>
      </c>
      <c r="AY78" s="194" t="s">
        <v>124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363</v>
      </c>
      <c r="BJ78" s="214">
        <v>7.0000000000000007E-2</v>
      </c>
      <c r="BK78" s="214">
        <v>7.0000000000000007E-2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 ca="1">(BQ78)/$R$68</f>
        <v>3.0604881130757617E-2</v>
      </c>
      <c r="BS78" s="207"/>
      <c r="BT78" s="216" t="s">
        <v>53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118</v>
      </c>
      <c r="CB78" s="207"/>
      <c r="CC78" s="207"/>
      <c r="CD78" s="207"/>
      <c r="CE78" s="207" t="s">
        <v>119</v>
      </c>
      <c r="CF78" s="207" t="s">
        <v>120</v>
      </c>
      <c r="CG78" s="207" t="s">
        <v>121</v>
      </c>
      <c r="CH78" s="207" t="s">
        <v>122</v>
      </c>
      <c r="CI78" s="207"/>
      <c r="CJ78" s="207" t="s">
        <v>8</v>
      </c>
      <c r="CK78" s="207" t="s">
        <v>9</v>
      </c>
      <c r="CL78" s="207" t="s">
        <v>3</v>
      </c>
      <c r="CM78" s="207" t="s">
        <v>122</v>
      </c>
      <c r="CN78" s="207" t="s">
        <v>237</v>
      </c>
      <c r="CO78" s="255"/>
    </row>
    <row r="79" spans="1:93" ht="18.75">
      <c r="A79" s="536" t="s">
        <v>355</v>
      </c>
      <c r="B79" s="537">
        <v>2</v>
      </c>
      <c r="C79" s="539">
        <f>F74</f>
        <v>400</v>
      </c>
      <c r="D79" s="537" t="s">
        <v>350</v>
      </c>
      <c r="E79" s="537">
        <v>1.7</v>
      </c>
      <c r="F79" s="537">
        <f>IF(($H$74="سادة"),(J79*H79*E79*($U$73+(Sheet2!B41*1000))/1000),(J79*H79*E79*($U$73+(Sheet2!B15))/1000))</f>
        <v>3835.2</v>
      </c>
      <c r="G79" s="542"/>
      <c r="H79" s="538">
        <f>CEILING(Table80102114115[[#This Row],[طول]]/100,0.5)</f>
        <v>4</v>
      </c>
      <c r="I79" s="279">
        <f t="shared" si="18"/>
        <v>1</v>
      </c>
      <c r="J79" s="541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363</v>
      </c>
      <c r="O79" s="214">
        <v>7.0000000000000007E-2</v>
      </c>
      <c r="P79" s="214">
        <v>7.0000000000000007E-2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 ca="1">(V79)/$R$68</f>
        <v>3.0604881130757617E-2</v>
      </c>
      <c r="X79" s="216"/>
      <c r="Y79" s="216" t="s">
        <v>88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31</v>
      </c>
      <c r="AK79" s="216">
        <v>0.25</v>
      </c>
      <c r="AL79" s="216" t="s">
        <v>138</v>
      </c>
      <c r="AM79" s="216">
        <f>AM78*Table6637495[[#This Row],[المعدل]]+4</f>
        <v>5.0600000000000005</v>
      </c>
      <c r="AN79" s="216"/>
      <c r="AO79" s="216" t="s">
        <v>243</v>
      </c>
      <c r="AP79" s="216">
        <v>7.0000000000000007E-2</v>
      </c>
      <c r="AQ79" s="216">
        <v>7.0000000000000007E-2</v>
      </c>
      <c r="AR79" s="216"/>
      <c r="AS79" s="216"/>
      <c r="AT79" s="256"/>
      <c r="AU79" s="216"/>
      <c r="AV79" s="193" t="s">
        <v>364</v>
      </c>
      <c r="AW79" s="194"/>
      <c r="AX79" s="194">
        <f>AW74*2</f>
        <v>46</v>
      </c>
      <c r="AY79" s="194" t="s">
        <v>124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358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 ca="1">(BQ79)/$R$68</f>
        <v>0</v>
      </c>
      <c r="BS79" s="207"/>
      <c r="BT79" s="216" t="s">
        <v>89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133</v>
      </c>
      <c r="CB79" s="207"/>
      <c r="CC79" s="207"/>
      <c r="CD79" s="207"/>
      <c r="CE79" s="233" t="s">
        <v>134</v>
      </c>
      <c r="CF79" s="233">
        <v>0.4</v>
      </c>
      <c r="CG79" s="237" t="s">
        <v>135</v>
      </c>
      <c r="CH79" s="216">
        <f>IF((تسعير!BE45="ايبوكسي + دوكو"),IF(((Table15880101112[[#Totals],[المسطح]]+Table16627394105[[#Totals],[Column12]])&gt;0),(Table15880101112[[#Totals],[المسطح]]+Table16627394105[[#Totals],[Column12]]-BL81+1)*Table6637495106[[#This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239</v>
      </c>
      <c r="CK79" s="207">
        <v>0.03</v>
      </c>
      <c r="CL79" s="207">
        <v>0.03</v>
      </c>
      <c r="CM79" s="207"/>
      <c r="CN79" s="207"/>
      <c r="CO79" s="255"/>
    </row>
    <row r="80" spans="1:93" ht="18.75">
      <c r="A80" s="536" t="s">
        <v>359</v>
      </c>
      <c r="B80" s="537">
        <v>2</v>
      </c>
      <c r="C80" s="539">
        <f>D74</f>
        <v>510</v>
      </c>
      <c r="D80" s="537" t="s">
        <v>350</v>
      </c>
      <c r="E80" s="537">
        <v>1.7</v>
      </c>
      <c r="F80" s="537">
        <f>IF(($H$74="سادة"),(J80*H80*E80*($U$73+(Sheet2!B41*1000))/1000),(J80*H80*E80*($U$73+(Sheet2!B15))/1000))</f>
        <v>5273.4</v>
      </c>
      <c r="G80" s="542"/>
      <c r="H80" s="538">
        <f>CEILING(Table80102114115[[#This Row],[طول]]/100,0.5)</f>
        <v>5.5</v>
      </c>
      <c r="I80" s="279">
        <f t="shared" si="18"/>
        <v>1.0784313725490196</v>
      </c>
      <c r="J80" s="541">
        <f t="shared" si="19"/>
        <v>2</v>
      </c>
      <c r="K80" s="187"/>
      <c r="L80" s="211">
        <v>4</v>
      </c>
      <c r="M80" s="212">
        <v>0</v>
      </c>
      <c r="N80" s="213" t="s">
        <v>358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 ca="1">(V80)/$R$68</f>
        <v>0</v>
      </c>
      <c r="X80" s="216"/>
      <c r="Y80" s="216" t="s">
        <v>140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141</v>
      </c>
      <c r="AK80" s="216">
        <v>0.25</v>
      </c>
      <c r="AL80" s="211" t="s">
        <v>142</v>
      </c>
      <c r="AM80" s="216">
        <f>IF((تسعير!BE25="ايبوكسي +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245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365</v>
      </c>
      <c r="AW80" s="194">
        <v>1</v>
      </c>
      <c r="AX80" s="196">
        <v>100</v>
      </c>
      <c r="AY80" s="194" t="s">
        <v>350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366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137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 ca="1">(BQ80)/$R$68</f>
        <v>0</v>
      </c>
      <c r="BS80" s="216"/>
      <c r="BT80" s="216" t="s">
        <v>88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31</v>
      </c>
      <c r="CF80" s="216">
        <v>0.25</v>
      </c>
      <c r="CG80" s="216" t="s">
        <v>138</v>
      </c>
      <c r="CH80" s="216">
        <f>CH79*Table6637495106[[#This Row],[المعدل]]+4</f>
        <v>4</v>
      </c>
      <c r="CI80" s="216"/>
      <c r="CJ80" s="216" t="s">
        <v>241</v>
      </c>
      <c r="CK80" s="216">
        <v>0.05</v>
      </c>
      <c r="CL80" s="216">
        <v>0.05</v>
      </c>
      <c r="CM80" s="216"/>
      <c r="CN80" s="216"/>
      <c r="CO80" s="256"/>
    </row>
    <row r="81" spans="1:93" ht="18.75">
      <c r="A81" s="536" t="s">
        <v>362</v>
      </c>
      <c r="B81" s="537">
        <v>2</v>
      </c>
      <c r="C81" s="537">
        <f>C76</f>
        <v>383.5</v>
      </c>
      <c r="D81" s="537" t="s">
        <v>350</v>
      </c>
      <c r="E81" s="537">
        <v>0.65</v>
      </c>
      <c r="F81" s="537">
        <f>IF(($H$74="سادة"),(J81*H81*E81*($U$73+(Sheet2!B41*1000))/1000),(J81*H81*E81*($U$73+(Sheet2!B15))/1000))</f>
        <v>1466.4</v>
      </c>
      <c r="G81" s="542"/>
      <c r="H81" s="538">
        <f>CEILING(Table80102114115[[#This Row],[طول]]/100,0.5)</f>
        <v>4</v>
      </c>
      <c r="I81" s="279">
        <f t="shared" si="18"/>
        <v>1.0430247718383312</v>
      </c>
      <c r="J81" s="541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366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137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 ca="1">(V81)/$R$68</f>
        <v>0</v>
      </c>
      <c r="X81" s="216"/>
      <c r="Y81" s="216" t="s">
        <v>144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145</v>
      </c>
      <c r="AK81" s="216">
        <v>0.4</v>
      </c>
      <c r="AL81" s="211" t="s">
        <v>142</v>
      </c>
      <c r="AM81" s="216">
        <f>IF((تسعير!BE25="ايبوكسي +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247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370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146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79.680000000000007</v>
      </c>
      <c r="BP81" s="242"/>
      <c r="BQ81" s="240">
        <f>SUBTOTAL(109,Table15880101112[اجمالي])</f>
        <v>22140</v>
      </c>
      <c r="BR81" s="244">
        <f ca="1">Table15880101112[[#Totals],[اجمالي]]/$R$68</f>
        <v>8.5554554070072425E-2</v>
      </c>
      <c r="BS81" s="216"/>
      <c r="BT81" s="216" t="s">
        <v>140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141</v>
      </c>
      <c r="CF81" s="216">
        <v>0.25</v>
      </c>
      <c r="CG81" s="211" t="s">
        <v>142</v>
      </c>
      <c r="CH81" s="216">
        <f>IF((تسعير!BE45="ايبوكسي + دوكو"),IF(((Table15880101112[[#Totals],[المسطح]]+Table16627394105[[#Totals],[Column12]])&gt;0),(Table15880101112[[#Totals],[المسطح]]+Table16627394105[[#Totals],[Column12]]+1)*Table6637495106[[#This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243</v>
      </c>
      <c r="CK81" s="216">
        <v>7.0000000000000007E-2</v>
      </c>
      <c r="CL81" s="216">
        <v>7.0000000000000007E-2</v>
      </c>
      <c r="CM81" s="216"/>
      <c r="CN81" s="216"/>
      <c r="CO81" s="256"/>
    </row>
    <row r="82" spans="1:93" ht="18.75">
      <c r="A82" s="536" t="s">
        <v>357</v>
      </c>
      <c r="B82" s="537">
        <v>2</v>
      </c>
      <c r="C82" s="537">
        <f>(15.6*(B76-1)+4)</f>
        <v>487.59999999999997</v>
      </c>
      <c r="D82" s="537" t="s">
        <v>350</v>
      </c>
      <c r="E82" s="537">
        <v>1000</v>
      </c>
      <c r="F82" s="537">
        <f>E82*B82</f>
        <v>2000</v>
      </c>
      <c r="G82" s="542"/>
      <c r="H82" s="543"/>
      <c r="I82" s="527"/>
      <c r="J82" s="527"/>
      <c r="K82" s="187"/>
      <c r="L82" s="211"/>
      <c r="M82" s="212"/>
      <c r="N82" s="213" t="s">
        <v>146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 ca="1">Table15880101[[#Totals],[اجمالي]]/$R$68</f>
        <v>0.11476830424034105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147</v>
      </c>
      <c r="AK82" s="216"/>
      <c r="AL82" s="216" t="s">
        <v>148</v>
      </c>
      <c r="AM82" s="216"/>
      <c r="AN82" s="216"/>
      <c r="AO82" s="216" t="s">
        <v>249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368</v>
      </c>
      <c r="AW82" s="194"/>
      <c r="AX82" s="194">
        <f>AW74*2</f>
        <v>46</v>
      </c>
      <c r="AY82" s="194" t="s">
        <v>124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4" t="s">
        <v>158</v>
      </c>
      <c r="BK82" s="884"/>
      <c r="BL82" s="884"/>
      <c r="BM82" s="884"/>
      <c r="BN82" s="884"/>
      <c r="BO82" s="884"/>
      <c r="BP82" s="216"/>
      <c r="BQ82" s="216"/>
      <c r="BR82" s="216"/>
      <c r="BS82" s="216"/>
      <c r="BT82" s="216" t="s">
        <v>144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145</v>
      </c>
      <c r="CF82" s="216">
        <v>0.4</v>
      </c>
      <c r="CG82" s="211" t="s">
        <v>142</v>
      </c>
      <c r="CH82" s="216">
        <f>IF((تسعير!BE45="ايبوكسي + دوكو"),IF(((Table15880101112[[#Totals],[المسطح]]+Table16627394105[[#Totals],[Column12]])&gt;0),(Table15880101112[[#Totals],[المسطح]]+Table16627394105[[#Totals],[Column12]]-BL81+1)*Table6637495106[[#This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245</v>
      </c>
      <c r="CK82" s="216">
        <v>0.1</v>
      </c>
      <c r="CL82" s="216">
        <v>0.1</v>
      </c>
      <c r="CM82" s="216"/>
      <c r="CN82" s="216"/>
      <c r="CO82" s="256"/>
    </row>
    <row r="83" spans="1:93" ht="18.75">
      <c r="A83" s="536" t="s">
        <v>361</v>
      </c>
      <c r="B83" s="537"/>
      <c r="C83" s="537">
        <f>B76*2</f>
        <v>64</v>
      </c>
      <c r="D83" s="537" t="s">
        <v>124</v>
      </c>
      <c r="E83" s="194">
        <v>20</v>
      </c>
      <c r="F83" s="537">
        <f>E83*C83</f>
        <v>1280</v>
      </c>
      <c r="G83" s="542"/>
      <c r="H83" s="543"/>
      <c r="I83" s="527"/>
      <c r="J83" s="527"/>
      <c r="K83" s="187"/>
      <c r="L83" s="216"/>
      <c r="M83" s="216"/>
      <c r="N83" s="217"/>
      <c r="O83" s="884" t="s">
        <v>158</v>
      </c>
      <c r="P83" s="884"/>
      <c r="Q83" s="884"/>
      <c r="R83" s="884"/>
      <c r="S83" s="884"/>
      <c r="T83" s="884"/>
      <c r="U83" s="216"/>
      <c r="V83" s="216"/>
      <c r="W83" s="216"/>
      <c r="X83" s="216"/>
      <c r="Y83" s="216" t="s">
        <v>150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24</v>
      </c>
      <c r="AK83" s="216">
        <v>0.6</v>
      </c>
      <c r="AL83" s="216"/>
      <c r="AM83" s="216">
        <f>IF(AND((تسعير!$BE$25="جلفنة +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251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369</v>
      </c>
      <c r="AW83" s="194"/>
      <c r="AX83" s="194">
        <f>AW74*2</f>
        <v>46</v>
      </c>
      <c r="AY83" s="194" t="s">
        <v>124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123</v>
      </c>
      <c r="BH83" s="211" t="s">
        <v>124</v>
      </c>
      <c r="BI83" s="218" t="s">
        <v>125</v>
      </c>
      <c r="BJ83" s="211" t="s">
        <v>9</v>
      </c>
      <c r="BK83" s="211" t="s">
        <v>8</v>
      </c>
      <c r="BL83" s="211" t="s">
        <v>151</v>
      </c>
      <c r="BM83" s="211" t="s">
        <v>127</v>
      </c>
      <c r="BN83" s="211" t="s">
        <v>128</v>
      </c>
      <c r="BO83" s="211" t="s">
        <v>160</v>
      </c>
      <c r="BP83" s="211" t="s">
        <v>130</v>
      </c>
      <c r="BQ83" s="245" t="s">
        <v>131</v>
      </c>
      <c r="BR83" s="211" t="s">
        <v>132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147</v>
      </c>
      <c r="CF83" s="216"/>
      <c r="CG83" s="216" t="s">
        <v>148</v>
      </c>
      <c r="CH83" s="216"/>
      <c r="CI83" s="216"/>
      <c r="CJ83" s="216" t="s">
        <v>247</v>
      </c>
      <c r="CK83" s="216">
        <v>0.15</v>
      </c>
      <c r="CL83" s="216">
        <v>0.15</v>
      </c>
      <c r="CM83" s="216"/>
      <c r="CN83" s="216"/>
      <c r="CO83" s="256"/>
    </row>
    <row r="84" spans="1:93" ht="18.75">
      <c r="A84" s="536" t="s">
        <v>364</v>
      </c>
      <c r="B84" s="537"/>
      <c r="C84" s="537">
        <f>B76*2</f>
        <v>64</v>
      </c>
      <c r="D84" s="537" t="s">
        <v>124</v>
      </c>
      <c r="E84" s="194">
        <v>18</v>
      </c>
      <c r="F84" s="537">
        <f>E84*C84</f>
        <v>1152</v>
      </c>
      <c r="G84" s="542"/>
      <c r="H84" s="543"/>
      <c r="I84" s="527"/>
      <c r="J84" s="527"/>
      <c r="K84" s="187"/>
      <c r="L84" s="211" t="s">
        <v>123</v>
      </c>
      <c r="M84" s="211" t="s">
        <v>124</v>
      </c>
      <c r="N84" s="218" t="s">
        <v>125</v>
      </c>
      <c r="O84" s="211" t="s">
        <v>9</v>
      </c>
      <c r="P84" s="211" t="s">
        <v>8</v>
      </c>
      <c r="Q84" s="211" t="s">
        <v>151</v>
      </c>
      <c r="R84" s="211" t="s">
        <v>127</v>
      </c>
      <c r="S84" s="211" t="s">
        <v>128</v>
      </c>
      <c r="T84" s="211" t="s">
        <v>160</v>
      </c>
      <c r="U84" s="211" t="s">
        <v>130</v>
      </c>
      <c r="V84" s="245" t="s">
        <v>131</v>
      </c>
      <c r="W84" s="211" t="s">
        <v>132</v>
      </c>
      <c r="X84" s="216"/>
      <c r="Y84" s="216" t="s">
        <v>152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26</v>
      </c>
      <c r="AK84" s="216">
        <v>0.6</v>
      </c>
      <c r="AL84" s="216"/>
      <c r="AM84" s="216">
        <f>IF(AND((تسعير!$BE$25="جلفنة +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253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91</v>
      </c>
      <c r="AW84" s="194" t="s">
        <v>124</v>
      </c>
      <c r="AX84" s="194">
        <v>1</v>
      </c>
      <c r="AY84" s="194" t="s">
        <v>124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34</v>
      </c>
      <c r="BJ84" s="214"/>
      <c r="BK84" s="214"/>
      <c r="BL84" s="214"/>
      <c r="BM84" s="211" t="s">
        <v>162</v>
      </c>
      <c r="BN84" s="211"/>
      <c r="BO84" s="242"/>
      <c r="BP84" s="247">
        <f>Sheet2!B28</f>
        <v>400</v>
      </c>
      <c r="BQ84" s="240">
        <f t="shared" ref="BQ84:BQ88" si="20">BH84*BP84</f>
        <v>1200</v>
      </c>
      <c r="BR84" s="241">
        <f ca="1">(BQ84)/$R$68</f>
        <v>4.637103201629942E-3</v>
      </c>
      <c r="BS84" s="216"/>
      <c r="BT84" s="216" t="s">
        <v>150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24</v>
      </c>
      <c r="CF84" s="216">
        <v>0.6</v>
      </c>
      <c r="CG84" s="216"/>
      <c r="CH84" s="216">
        <f>IF(AND((تسعير!$BE$45="جلفنة +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249</v>
      </c>
      <c r="CK84" s="216">
        <v>0.05</v>
      </c>
      <c r="CL84" s="216">
        <v>0.1</v>
      </c>
      <c r="CM84" s="216"/>
      <c r="CN84" s="216"/>
      <c r="CO84" s="256"/>
    </row>
    <row r="85" spans="1:93" ht="18.75">
      <c r="A85" s="536" t="s">
        <v>365</v>
      </c>
      <c r="B85" s="537">
        <v>1</v>
      </c>
      <c r="C85" s="539">
        <v>100</v>
      </c>
      <c r="D85" s="537" t="s">
        <v>350</v>
      </c>
      <c r="E85" s="194">
        <v>250</v>
      </c>
      <c r="F85" s="537">
        <f>Table80102114115[[#This Row],[wt/m]]*Table80102114115[[#This Row],[عدد]]</f>
        <v>250</v>
      </c>
      <c r="G85" s="542"/>
      <c r="H85" s="543"/>
      <c r="I85" s="527"/>
      <c r="J85" s="544"/>
      <c r="K85" s="187"/>
      <c r="L85" s="211">
        <v>1</v>
      </c>
      <c r="M85" s="212">
        <v>2</v>
      </c>
      <c r="N85" s="213" t="s">
        <v>34</v>
      </c>
      <c r="O85" s="214"/>
      <c r="P85" s="214"/>
      <c r="Q85" s="214"/>
      <c r="R85" s="211" t="s">
        <v>162</v>
      </c>
      <c r="S85" s="211"/>
      <c r="T85" s="242"/>
      <c r="U85" s="246">
        <f>Sheet2!B28</f>
        <v>400</v>
      </c>
      <c r="V85" s="240">
        <f t="shared" ref="V85:V89" si="21">M85*U85</f>
        <v>800</v>
      </c>
      <c r="W85" s="241">
        <f ca="1">(V85)/$R$68</f>
        <v>3.0914021344199613E-3</v>
      </c>
      <c r="X85" s="216"/>
      <c r="Y85" s="216" t="s">
        <v>78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28</v>
      </c>
      <c r="AK85" s="216">
        <v>0.1</v>
      </c>
      <c r="AL85" s="216"/>
      <c r="AM85" s="216">
        <f>IF(AND((تسعير!$BE$25="جلفنة +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146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165</v>
      </c>
      <c r="BJ85" s="214"/>
      <c r="BK85" s="214"/>
      <c r="BL85" s="214"/>
      <c r="BM85" s="211" t="s">
        <v>124</v>
      </c>
      <c r="BN85" s="211"/>
      <c r="BO85" s="242"/>
      <c r="BP85" s="247">
        <v>110</v>
      </c>
      <c r="BQ85" s="240">
        <f t="shared" si="20"/>
        <v>220</v>
      </c>
      <c r="BR85" s="241">
        <f ca="1">(BQ85)/$R$68</f>
        <v>8.5013558696548936E-4</v>
      </c>
      <c r="BS85" s="216"/>
      <c r="BT85" s="216" t="s">
        <v>152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26</v>
      </c>
      <c r="CF85" s="216">
        <v>0.6</v>
      </c>
      <c r="CG85" s="216"/>
      <c r="CH85" s="216">
        <f>IF(AND((تسعير!$BE$45="جلفنة +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251</v>
      </c>
      <c r="CK85" s="216">
        <v>0.05</v>
      </c>
      <c r="CL85" s="216">
        <v>0.15</v>
      </c>
      <c r="CM85" s="216"/>
      <c r="CN85" s="216"/>
      <c r="CO85" s="256"/>
    </row>
    <row r="86" spans="1:93" ht="18.75">
      <c r="A86" s="536" t="s">
        <v>370</v>
      </c>
      <c r="B86" s="537"/>
      <c r="C86" s="537">
        <v>4</v>
      </c>
      <c r="D86" s="537" t="s">
        <v>371</v>
      </c>
      <c r="E86" s="194">
        <v>250</v>
      </c>
      <c r="F86" s="537">
        <f>C86*E86</f>
        <v>1000</v>
      </c>
      <c r="G86" s="542"/>
      <c r="H86" s="527"/>
      <c r="I86" s="542"/>
      <c r="J86" s="542"/>
      <c r="K86" s="187"/>
      <c r="L86" s="211">
        <v>2</v>
      </c>
      <c r="M86" s="212">
        <v>2</v>
      </c>
      <c r="N86" s="213" t="s">
        <v>165</v>
      </c>
      <c r="O86" s="214"/>
      <c r="P86" s="214"/>
      <c r="Q86" s="214"/>
      <c r="R86" s="211" t="s">
        <v>124</v>
      </c>
      <c r="S86" s="211"/>
      <c r="T86" s="242"/>
      <c r="U86" s="246">
        <v>110</v>
      </c>
      <c r="V86" s="240">
        <f t="shared" si="21"/>
        <v>220</v>
      </c>
      <c r="W86" s="241">
        <f ca="1">(V86)/$R$68</f>
        <v>8.5013558696548936E-4</v>
      </c>
      <c r="X86" s="216"/>
      <c r="Y86" s="216" t="s">
        <v>54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29</v>
      </c>
      <c r="AK86" s="216">
        <v>0.1</v>
      </c>
      <c r="AL86" s="216"/>
      <c r="AM86" s="216">
        <f>IF(AND((تسعير!$BE$25="جلفنة +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167</v>
      </c>
      <c r="BJ86" s="214"/>
      <c r="BK86" s="214"/>
      <c r="BL86" s="214"/>
      <c r="BM86" s="211" t="s">
        <v>124</v>
      </c>
      <c r="BN86" s="211"/>
      <c r="BO86" s="242"/>
      <c r="BP86" s="247">
        <v>130</v>
      </c>
      <c r="BQ86" s="240">
        <f t="shared" si="20"/>
        <v>130</v>
      </c>
      <c r="BR86" s="241">
        <f ca="1">(BQ86)/$R$68</f>
        <v>5.0235284684324371E-4</v>
      </c>
      <c r="BS86" s="216"/>
      <c r="BT86" s="216" t="s">
        <v>78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28</v>
      </c>
      <c r="CF86" s="216">
        <v>0.1</v>
      </c>
      <c r="CG86" s="216"/>
      <c r="CH86" s="216">
        <f>IF(AND((تسعير!$BE$45="جلفنة +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253</v>
      </c>
      <c r="CK86" s="216">
        <v>0.1</v>
      </c>
      <c r="CL86" s="216">
        <v>0.15</v>
      </c>
      <c r="CM86" s="216"/>
      <c r="CN86" s="216"/>
      <c r="CO86" s="256"/>
    </row>
    <row r="87" spans="1:93" ht="18.75">
      <c r="A87" s="536" t="s">
        <v>372</v>
      </c>
      <c r="B87" s="537"/>
      <c r="C87" s="537">
        <v>8</v>
      </c>
      <c r="D87" s="537" t="s">
        <v>124</v>
      </c>
      <c r="E87" s="194">
        <v>300</v>
      </c>
      <c r="F87" s="537">
        <f>C87*E87</f>
        <v>2400</v>
      </c>
      <c r="G87" s="542"/>
      <c r="H87" s="527"/>
      <c r="I87" s="542"/>
      <c r="J87" s="542"/>
      <c r="K87" s="187"/>
      <c r="L87" s="211">
        <v>3</v>
      </c>
      <c r="M87" s="219">
        <v>1</v>
      </c>
      <c r="N87" s="213" t="s">
        <v>167</v>
      </c>
      <c r="O87" s="214"/>
      <c r="P87" s="214"/>
      <c r="Q87" s="214"/>
      <c r="R87" s="211" t="s">
        <v>124</v>
      </c>
      <c r="S87" s="211"/>
      <c r="T87" s="242"/>
      <c r="U87" s="246">
        <v>130</v>
      </c>
      <c r="V87" s="240">
        <f t="shared" si="21"/>
        <v>130</v>
      </c>
      <c r="W87" s="241">
        <f ca="1">(V87)/$R$68</f>
        <v>5.0235284684324371E-4</v>
      </c>
      <c r="X87" s="216"/>
      <c r="Y87" s="216" t="s">
        <v>156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+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169</v>
      </c>
      <c r="BJ87" s="214"/>
      <c r="BK87" s="214"/>
      <c r="BL87" s="214"/>
      <c r="BM87" s="247" t="s">
        <v>170</v>
      </c>
      <c r="BN87" s="247"/>
      <c r="BO87" s="242"/>
      <c r="BP87" s="247">
        <v>30</v>
      </c>
      <c r="BQ87" s="240">
        <f t="shared" si="20"/>
        <v>480</v>
      </c>
      <c r="BR87" s="241">
        <f ca="1">(BQ87)/$R$68</f>
        <v>1.8548412806519768E-3</v>
      </c>
      <c r="BS87" s="216"/>
      <c r="BT87" s="216" t="s">
        <v>54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29</v>
      </c>
      <c r="CF87" s="216">
        <v>0.1</v>
      </c>
      <c r="CG87" s="216"/>
      <c r="CH87" s="216">
        <f>IF(AND((تسعير!$BE$45="جلفنة +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spans="1:93" ht="18.75">
      <c r="A88" s="536" t="s">
        <v>368</v>
      </c>
      <c r="B88" s="537"/>
      <c r="C88" s="537">
        <f>B76*2</f>
        <v>64</v>
      </c>
      <c r="D88" s="537" t="s">
        <v>124</v>
      </c>
      <c r="E88" s="194">
        <v>120</v>
      </c>
      <c r="F88" s="537">
        <f>C88*E88</f>
        <v>7680</v>
      </c>
      <c r="G88" s="542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169</v>
      </c>
      <c r="O88" s="214"/>
      <c r="P88" s="214"/>
      <c r="Q88" s="214"/>
      <c r="R88" s="247" t="s">
        <v>170</v>
      </c>
      <c r="S88" s="247"/>
      <c r="T88" s="242"/>
      <c r="U88" s="246">
        <v>50</v>
      </c>
      <c r="V88" s="240">
        <f t="shared" si="21"/>
        <v>0</v>
      </c>
      <c r="W88" s="241">
        <f ca="1">(V88)/$R$68</f>
        <v>0</v>
      </c>
      <c r="X88" s="216"/>
      <c r="Y88" s="216" t="s">
        <v>159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36</v>
      </c>
      <c r="BJ88" s="214"/>
      <c r="BK88" s="214"/>
      <c r="BL88" s="214"/>
      <c r="BM88" s="211" t="s">
        <v>170</v>
      </c>
      <c r="BN88" s="211"/>
      <c r="BO88" s="242"/>
      <c r="BP88" s="243">
        <f>Sheet2!AW30</f>
        <v>0</v>
      </c>
      <c r="BQ88" s="240">
        <f t="shared" si="20"/>
        <v>0</v>
      </c>
      <c r="BR88" s="241">
        <f ca="1">(BQ88)/$R$68</f>
        <v>0</v>
      </c>
      <c r="BS88" s="216"/>
      <c r="BT88" s="216" t="s">
        <v>156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spans="1:93" ht="18.75">
      <c r="A89" s="536" t="s">
        <v>369</v>
      </c>
      <c r="B89" s="537"/>
      <c r="C89" s="537">
        <f>B76*2</f>
        <v>64</v>
      </c>
      <c r="D89" s="537" t="s">
        <v>124</v>
      </c>
      <c r="E89" s="194">
        <v>120</v>
      </c>
      <c r="F89" s="537">
        <f>C89*E89</f>
        <v>7680</v>
      </c>
      <c r="G89" s="542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36</v>
      </c>
      <c r="O89" s="214"/>
      <c r="P89" s="214"/>
      <c r="Q89" s="214"/>
      <c r="R89" s="211" t="s">
        <v>170</v>
      </c>
      <c r="S89" s="211"/>
      <c r="T89" s="242"/>
      <c r="U89" s="243">
        <f>Sheet2!B30</f>
        <v>1200</v>
      </c>
      <c r="V89" s="240">
        <f t="shared" si="21"/>
        <v>4800</v>
      </c>
      <c r="W89" s="241">
        <f ca="1">(V89)/$R$68</f>
        <v>1.8548412806519768E-2</v>
      </c>
      <c r="X89" s="216"/>
      <c r="Y89" s="216" t="s">
        <v>161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146</v>
      </c>
      <c r="BH89" s="212"/>
      <c r="BI89" s="213" t="s">
        <v>146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 ca="1">Table15617293104[[#Totals],[اجمالي]]/$R$68</f>
        <v>7.8444329160906514E-3</v>
      </c>
      <c r="BS89" s="216"/>
      <c r="BT89" s="216" t="s">
        <v>159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spans="1:93" ht="18.75">
      <c r="A90" s="536" t="s">
        <v>373</v>
      </c>
      <c r="B90" s="537">
        <v>2</v>
      </c>
      <c r="C90" s="537"/>
      <c r="D90" s="537" t="s">
        <v>350</v>
      </c>
      <c r="E90" s="194">
        <v>1000</v>
      </c>
      <c r="F90" s="537">
        <f>B90*E90</f>
        <v>2000</v>
      </c>
      <c r="G90" s="542"/>
      <c r="H90" s="527"/>
      <c r="I90" s="527"/>
      <c r="J90" s="527"/>
      <c r="K90" s="187"/>
      <c r="L90" s="211" t="s">
        <v>146</v>
      </c>
      <c r="M90" s="212"/>
      <c r="N90" s="213" t="s">
        <v>146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 ca="1">Table15617293[[#Totals],[اجمالي]]/$R$68</f>
        <v>2.299230337474846E-2</v>
      </c>
      <c r="X90" s="216"/>
      <c r="Y90" s="216" t="s">
        <v>79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4" t="s">
        <v>175</v>
      </c>
      <c r="BK90" s="884"/>
      <c r="BL90" s="884"/>
      <c r="BM90" s="884"/>
      <c r="BN90" s="884"/>
      <c r="BO90" s="884"/>
      <c r="BP90" s="216"/>
      <c r="BQ90" s="216"/>
      <c r="BR90" s="216"/>
      <c r="BS90" s="216"/>
      <c r="BT90" s="216" t="s">
        <v>161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spans="1:93" ht="18.75">
      <c r="A91" s="536" t="s">
        <v>374</v>
      </c>
      <c r="B91" s="537"/>
      <c r="C91" s="537">
        <f>ROUNDUP(((C76*B76)/100),0)</f>
        <v>123</v>
      </c>
      <c r="D91" s="537" t="s">
        <v>350</v>
      </c>
      <c r="E91" s="194">
        <v>10</v>
      </c>
      <c r="F91" s="537">
        <f>C91*E91</f>
        <v>1230</v>
      </c>
      <c r="G91" s="542"/>
      <c r="H91" s="527"/>
      <c r="I91" s="527"/>
      <c r="J91" s="527"/>
      <c r="K91" s="187"/>
      <c r="L91" s="216"/>
      <c r="M91" s="216"/>
      <c r="N91" s="217"/>
      <c r="O91" s="884" t="s">
        <v>175</v>
      </c>
      <c r="P91" s="884"/>
      <c r="Q91" s="884"/>
      <c r="R91" s="884"/>
      <c r="S91" s="884"/>
      <c r="T91" s="884"/>
      <c r="U91" s="216"/>
      <c r="V91" s="216"/>
      <c r="W91" s="216"/>
      <c r="X91" s="216"/>
      <c r="Y91" s="216" t="s">
        <v>77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123</v>
      </c>
      <c r="BH91" s="211" t="s">
        <v>124</v>
      </c>
      <c r="BI91" s="218" t="s">
        <v>125</v>
      </c>
      <c r="BJ91" s="211" t="s">
        <v>9</v>
      </c>
      <c r="BK91" s="211" t="s">
        <v>8</v>
      </c>
      <c r="BL91" s="211" t="s">
        <v>151</v>
      </c>
      <c r="BM91" s="211" t="s">
        <v>127</v>
      </c>
      <c r="BN91" s="211" t="s">
        <v>128</v>
      </c>
      <c r="BO91" s="211" t="s">
        <v>160</v>
      </c>
      <c r="BP91" s="211" t="s">
        <v>130</v>
      </c>
      <c r="BQ91" s="245" t="s">
        <v>131</v>
      </c>
      <c r="BR91" s="211" t="s">
        <v>132</v>
      </c>
      <c r="BS91" s="216"/>
      <c r="BT91" s="216" t="s">
        <v>79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spans="1:93" ht="18.75">
      <c r="A92" s="193" t="s">
        <v>586</v>
      </c>
      <c r="B92" s="194"/>
      <c r="C92" s="194">
        <f>C91</f>
        <v>123</v>
      </c>
      <c r="D92" s="537" t="s">
        <v>350</v>
      </c>
      <c r="E92" s="194">
        <v>20</v>
      </c>
      <c r="F92" s="537">
        <f t="shared" ref="F92:F93" si="22">C92*E92</f>
        <v>2460</v>
      </c>
      <c r="G92" s="527"/>
      <c r="H92" s="527"/>
      <c r="I92" s="527"/>
      <c r="J92" s="527"/>
      <c r="L92" s="211" t="s">
        <v>123</v>
      </c>
      <c r="M92" s="211" t="s">
        <v>124</v>
      </c>
      <c r="N92" s="218" t="s">
        <v>125</v>
      </c>
      <c r="O92" s="211" t="s">
        <v>9</v>
      </c>
      <c r="P92" s="211" t="s">
        <v>8</v>
      </c>
      <c r="Q92" s="211" t="s">
        <v>151</v>
      </c>
      <c r="R92" s="211" t="s">
        <v>127</v>
      </c>
      <c r="S92" s="211" t="s">
        <v>128</v>
      </c>
      <c r="T92" s="211" t="s">
        <v>160</v>
      </c>
      <c r="U92" s="211" t="s">
        <v>130</v>
      </c>
      <c r="V92" s="245" t="s">
        <v>131</v>
      </c>
      <c r="W92" s="211" t="s">
        <v>132</v>
      </c>
      <c r="X92" s="216"/>
      <c r="Y92" s="216" t="s">
        <v>166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176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 ca="1">(BQ92)/$R$68</f>
        <v>8.3467857629338955E-3</v>
      </c>
      <c r="BS92" s="216"/>
      <c r="BT92" s="216" t="s">
        <v>77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spans="1:93" ht="18.75">
      <c r="A93" s="536" t="s">
        <v>375</v>
      </c>
      <c r="B93" s="537" t="s">
        <v>376</v>
      </c>
      <c r="C93" s="537">
        <f>ROUNDUP((B76/3),0)</f>
        <v>11</v>
      </c>
      <c r="D93" s="537" t="s">
        <v>124</v>
      </c>
      <c r="E93" s="194">
        <v>275</v>
      </c>
      <c r="F93" s="537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176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 ca="1">(V93)/$R$68</f>
        <v>0</v>
      </c>
      <c r="X93" s="216"/>
      <c r="Y93" s="216" t="s">
        <v>168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259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164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 ca="1">(BQ93)/$R$68</f>
        <v>0</v>
      </c>
      <c r="BS93" s="216"/>
      <c r="BT93" s="216" t="s">
        <v>166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spans="1:93" ht="18.75">
      <c r="A94" s="536" t="s">
        <v>377</v>
      </c>
      <c r="B94" s="537" t="s">
        <v>378</v>
      </c>
      <c r="C94" s="537">
        <f>C93</f>
        <v>11</v>
      </c>
      <c r="D94" s="537" t="s">
        <v>124</v>
      </c>
      <c r="E94" s="194">
        <v>45</v>
      </c>
      <c r="F94" s="537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259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164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 ca="1"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177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164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 ca="1">(BQ94)/$R$68</f>
        <v>2.0866964407334739E-3</v>
      </c>
      <c r="BS94" s="216"/>
      <c r="BT94" s="216" t="s">
        <v>168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spans="1:93" ht="18.75">
      <c r="A95" s="536" t="s">
        <v>379</v>
      </c>
      <c r="B95" s="537" t="s">
        <v>124</v>
      </c>
      <c r="C95" s="537">
        <v>2</v>
      </c>
      <c r="D95" s="537" t="s">
        <v>124</v>
      </c>
      <c r="E95" s="194">
        <v>800</v>
      </c>
      <c r="F95" s="537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177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164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 ca="1"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146</v>
      </c>
      <c r="BH95" s="212">
        <f>SUBTOTAL(109,Table16627394105[عدد])</f>
        <v>20</v>
      </c>
      <c r="BI95" s="213" t="s">
        <v>146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 ca="1">Table16627394105[[#Totals],[اجمالي]]/$R$68</f>
        <v>1.0433482203667369E-2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spans="1:93" ht="18.75">
      <c r="A96" s="536" t="s">
        <v>91</v>
      </c>
      <c r="B96" s="537" t="s">
        <v>124</v>
      </c>
      <c r="C96" s="537">
        <v>1</v>
      </c>
      <c r="D96" s="537" t="s">
        <v>124</v>
      </c>
      <c r="E96" s="537">
        <f>Sheet2!B57</f>
        <v>9000</v>
      </c>
      <c r="F96" s="537">
        <f>E96*C96</f>
        <v>9000</v>
      </c>
      <c r="G96" s="527"/>
      <c r="H96" s="527"/>
      <c r="I96" s="527"/>
      <c r="J96" s="527"/>
      <c r="L96" s="211" t="s">
        <v>146</v>
      </c>
      <c r="M96" s="212">
        <f>SUBTOTAL(109,Table16627394[عدد])</f>
        <v>0</v>
      </c>
      <c r="N96" s="213" t="s">
        <v>146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 ca="1"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4" t="s">
        <v>178</v>
      </c>
      <c r="BK96" s="884"/>
      <c r="BL96" s="884"/>
      <c r="BM96" s="884"/>
      <c r="BN96" s="884"/>
      <c r="BO96" s="884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spans="1:93" ht="18.75">
      <c r="A97" s="193" t="s">
        <v>146</v>
      </c>
      <c r="B97" s="199">
        <f>(Table80102114115[[#Totals],[price]]*1.1)/(F74*D74/10000)</f>
        <v>8476.9127450980413</v>
      </c>
      <c r="C97" s="194"/>
      <c r="D97" s="194"/>
      <c r="E97" s="194"/>
      <c r="F97" s="194">
        <f>SUBTOTAL(109,Table80102114115[price])</f>
        <v>157208.20000000001</v>
      </c>
      <c r="L97" s="216"/>
      <c r="M97" s="216"/>
      <c r="N97" s="217"/>
      <c r="O97" s="884" t="s">
        <v>178</v>
      </c>
      <c r="P97" s="884"/>
      <c r="Q97" s="884"/>
      <c r="R97" s="884"/>
      <c r="S97" s="884"/>
      <c r="T97" s="884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123</v>
      </c>
      <c r="BH97" s="211" t="s">
        <v>124</v>
      </c>
      <c r="BI97" s="218" t="s">
        <v>125</v>
      </c>
      <c r="BJ97" s="211" t="s">
        <v>9</v>
      </c>
      <c r="BK97" s="211" t="s">
        <v>8</v>
      </c>
      <c r="BL97" s="211" t="s">
        <v>151</v>
      </c>
      <c r="BM97" s="211" t="s">
        <v>127</v>
      </c>
      <c r="BN97" s="211" t="s">
        <v>128</v>
      </c>
      <c r="BO97" s="211" t="s">
        <v>160</v>
      </c>
      <c r="BP97" s="211" t="s">
        <v>130</v>
      </c>
      <c r="BQ97" s="245" t="s">
        <v>131</v>
      </c>
      <c r="BR97" s="211" t="s">
        <v>132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spans="1:93" ht="18.75">
      <c r="A98" s="200"/>
      <c r="L98" s="211" t="s">
        <v>123</v>
      </c>
      <c r="M98" s="211" t="s">
        <v>124</v>
      </c>
      <c r="N98" s="218" t="s">
        <v>125</v>
      </c>
      <c r="O98" s="211" t="s">
        <v>9</v>
      </c>
      <c r="P98" s="211" t="s">
        <v>8</v>
      </c>
      <c r="Q98" s="211" t="s">
        <v>151</v>
      </c>
      <c r="R98" s="211" t="s">
        <v>127</v>
      </c>
      <c r="S98" s="211" t="s">
        <v>128</v>
      </c>
      <c r="T98" s="211" t="s">
        <v>160</v>
      </c>
      <c r="U98" s="211" t="s">
        <v>130</v>
      </c>
      <c r="V98" s="245" t="s">
        <v>131</v>
      </c>
      <c r="W98" s="211" t="s">
        <v>132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30</v>
      </c>
      <c r="BJ98" s="214"/>
      <c r="BK98" s="214"/>
      <c r="BL98" s="214"/>
      <c r="BM98" s="211" t="s">
        <v>186</v>
      </c>
      <c r="BN98" s="211"/>
      <c r="BO98" s="211"/>
      <c r="BP98" s="248">
        <f>BP28</f>
        <v>400</v>
      </c>
      <c r="BQ98" s="240">
        <f t="shared" ref="BQ98:BQ112" si="23">BH98*BP98</f>
        <v>0</v>
      </c>
      <c r="BR98" s="241">
        <f t="shared" ref="BR98:BR112" ca="1" si="24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spans="1:93" ht="18.75">
      <c r="A99" s="200"/>
      <c r="L99" s="211">
        <v>1</v>
      </c>
      <c r="M99" s="222">
        <f>AM80/3</f>
        <v>3.6233333333333331</v>
      </c>
      <c r="N99" s="213" t="s">
        <v>30</v>
      </c>
      <c r="O99" s="214"/>
      <c r="P99" s="214"/>
      <c r="Q99" s="214"/>
      <c r="R99" s="211" t="s">
        <v>186</v>
      </c>
      <c r="S99" s="211"/>
      <c r="T99" s="211"/>
      <c r="U99" s="248">
        <f>Sheet2!B24</f>
        <v>400</v>
      </c>
      <c r="V99" s="240">
        <f t="shared" ref="V99:V104" si="25">M99*U99</f>
        <v>1449.3333333333333</v>
      </c>
      <c r="W99" s="241">
        <f t="shared" ref="W99:W113" ca="1" si="26">(V99)/$R$68</f>
        <v>5.6005902001908291E-3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179</v>
      </c>
      <c r="BJ99" s="211"/>
      <c r="BK99" s="211"/>
      <c r="BL99" s="211"/>
      <c r="BM99" s="211" t="s">
        <v>180</v>
      </c>
      <c r="BN99" s="211"/>
      <c r="BO99" s="211"/>
      <c r="BP99" s="248">
        <f t="shared" ref="BP99:BP112" si="27">BP29</f>
        <v>18</v>
      </c>
      <c r="BQ99" s="240">
        <f t="shared" si="23"/>
        <v>54</v>
      </c>
      <c r="BR99" s="241">
        <f t="shared" ca="1" si="24"/>
        <v>2.0866964407334737E-4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spans="1:93" ht="18.75">
      <c r="A100" s="200"/>
      <c r="L100" s="211">
        <v>2</v>
      </c>
      <c r="M100" s="219">
        <v>3</v>
      </c>
      <c r="N100" s="218" t="s">
        <v>179</v>
      </c>
      <c r="O100" s="211"/>
      <c r="P100" s="211"/>
      <c r="Q100" s="211"/>
      <c r="R100" s="211" t="s">
        <v>180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ca="1" si="26"/>
        <v>2.8981895010187137E-4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181</v>
      </c>
      <c r="BJ100" s="211"/>
      <c r="BK100" s="211"/>
      <c r="BL100" s="211"/>
      <c r="BM100" s="211" t="s">
        <v>180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ca="1" si="24"/>
        <v>2.0866964407334737E-4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spans="1:93" ht="18.75">
      <c r="A101" s="200"/>
      <c r="L101" s="211">
        <v>3</v>
      </c>
      <c r="M101" s="212">
        <v>3</v>
      </c>
      <c r="N101" s="218" t="s">
        <v>181</v>
      </c>
      <c r="O101" s="211"/>
      <c r="P101" s="211"/>
      <c r="Q101" s="211"/>
      <c r="R101" s="211" t="s">
        <v>180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ca="1" si="26"/>
        <v>2.8981895010187137E-4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182</v>
      </c>
      <c r="BJ101" s="214"/>
      <c r="BK101" s="214"/>
      <c r="BL101" s="214"/>
      <c r="BM101" s="211" t="s">
        <v>183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ca="1" si="24"/>
        <v>9.6606316700623791E-5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spans="1:93" ht="18.75">
      <c r="A102" s="200"/>
      <c r="L102" s="211">
        <v>4</v>
      </c>
      <c r="M102" s="219">
        <v>1</v>
      </c>
      <c r="N102" s="213" t="s">
        <v>182</v>
      </c>
      <c r="O102" s="214"/>
      <c r="P102" s="214"/>
      <c r="Q102" s="214"/>
      <c r="R102" s="211" t="s">
        <v>183</v>
      </c>
      <c r="S102" s="211"/>
      <c r="T102" s="211"/>
      <c r="U102" s="248">
        <v>40</v>
      </c>
      <c r="V102" s="240">
        <f t="shared" si="25"/>
        <v>40</v>
      </c>
      <c r="W102" s="241">
        <f t="shared" ca="1" si="26"/>
        <v>1.5457010672099807E-4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184</v>
      </c>
      <c r="BJ102" s="214"/>
      <c r="BK102" s="214"/>
      <c r="BL102" s="214"/>
      <c r="BM102" s="211" t="s">
        <v>183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ca="1" si="24"/>
        <v>5.7963790020374275E-4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spans="1:93" ht="18.75">
      <c r="A103" s="200"/>
      <c r="L103" s="211">
        <v>5</v>
      </c>
      <c r="M103" s="212">
        <v>1</v>
      </c>
      <c r="N103" s="213" t="s">
        <v>184</v>
      </c>
      <c r="O103" s="214"/>
      <c r="P103" s="214"/>
      <c r="Q103" s="214"/>
      <c r="R103" s="211" t="s">
        <v>183</v>
      </c>
      <c r="S103" s="211"/>
      <c r="T103" s="211"/>
      <c r="U103" s="248">
        <v>150</v>
      </c>
      <c r="V103" s="240">
        <f t="shared" si="25"/>
        <v>150</v>
      </c>
      <c r="W103" s="241">
        <f t="shared" ca="1" si="26"/>
        <v>5.7963790020374275E-4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185</v>
      </c>
      <c r="BJ103" s="214"/>
      <c r="BK103" s="214"/>
      <c r="BL103" s="214"/>
      <c r="BM103" s="211" t="s">
        <v>164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ca="1" si="24"/>
        <v>3.0914021344199613E-4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spans="1:93" ht="18.75">
      <c r="A104" s="200"/>
      <c r="L104" s="211">
        <v>6</v>
      </c>
      <c r="M104" s="219">
        <v>2</v>
      </c>
      <c r="N104" s="213" t="s">
        <v>185</v>
      </c>
      <c r="O104" s="214"/>
      <c r="P104" s="214"/>
      <c r="Q104" s="214"/>
      <c r="R104" s="211" t="s">
        <v>164</v>
      </c>
      <c r="S104" s="211"/>
      <c r="T104" s="211"/>
      <c r="U104" s="248">
        <v>40</v>
      </c>
      <c r="V104" s="240">
        <f t="shared" si="25"/>
        <v>80</v>
      </c>
      <c r="W104" s="241">
        <f t="shared" ca="1" si="26"/>
        <v>3.0914021344199613E-4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134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0</v>
      </c>
      <c r="BR104" s="251">
        <f t="shared" ca="1" si="24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spans="1:93" ht="18.75">
      <c r="A105" s="200"/>
      <c r="L105" s="211">
        <v>7</v>
      </c>
      <c r="M105" s="212">
        <f>ROUNDUP(AM78,0)</f>
        <v>5</v>
      </c>
      <c r="N105" s="213" t="s">
        <v>134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t="shared" ref="V105:V111" si="28">M105*U105</f>
        <v>1100</v>
      </c>
      <c r="W105" s="251">
        <f t="shared" ca="1" si="26"/>
        <v>4.2506779348274468E-3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t="shared" ref="BH105:BH106" si="29">ROUNDUP(CH80,0)</f>
        <v>4</v>
      </c>
      <c r="BI105" s="213" t="s">
        <v>31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380</v>
      </c>
      <c r="BR105" s="251">
        <f t="shared" ca="1" si="24"/>
        <v>1.4684160138494816E-3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spans="1:93" ht="18.75">
      <c r="A106" s="200"/>
      <c r="L106" s="211">
        <v>8</v>
      </c>
      <c r="M106" s="212">
        <f>ROUNDUP(AM79,0)</f>
        <v>6</v>
      </c>
      <c r="N106" s="213" t="s">
        <v>31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ca="1" si="26"/>
        <v>2.2026240207742224E-3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0</v>
      </c>
      <c r="BI106" s="213" t="s">
        <v>145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0</v>
      </c>
      <c r="BR106" s="251">
        <f t="shared" ca="1" si="24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spans="1:93" ht="18.75">
      <c r="A107" s="200"/>
      <c r="L107" s="211">
        <v>9</v>
      </c>
      <c r="M107" s="212">
        <f>ROUNDUP(AM80,0)</f>
        <v>11</v>
      </c>
      <c r="N107" s="213" t="s">
        <v>145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ca="1" si="26"/>
        <v>2.1678457467619979E-2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+ جوتن"),(Table15880101112[[#Totals],[الوزن]]+Table16627394105[[#Totals],[الوزن]]),0)</f>
        <v>0</v>
      </c>
      <c r="BI107" s="213" t="s">
        <v>188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ca="1" si="24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spans="1:93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ca="1" si="26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24</v>
      </c>
      <c r="BJ108" s="214"/>
      <c r="BK108" s="214"/>
      <c r="BL108" s="214"/>
      <c r="BM108" s="211" t="s">
        <v>189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ca="1" si="24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spans="1:93" ht="18.75">
      <c r="A109" s="200"/>
      <c r="L109" s="211">
        <v>11</v>
      </c>
      <c r="M109" s="212">
        <f>IF((تسعير!BE25="جلفنة + جوتن"),(Table15880101[[#Totals],[الوزن]]+Table16627394[[#Totals],[الوزن]]),0)</f>
        <v>0</v>
      </c>
      <c r="N109" s="213" t="s">
        <v>188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ca="1" si="26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9" t="s">
        <v>26</v>
      </c>
      <c r="BJ109" s="214"/>
      <c r="BK109" s="214"/>
      <c r="BL109" s="214"/>
      <c r="BM109" s="560" t="s">
        <v>190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ca="1" si="24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spans="1:93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24</v>
      </c>
      <c r="O110" s="214"/>
      <c r="P110" s="214"/>
      <c r="Q110" s="214"/>
      <c r="R110" s="211" t="s">
        <v>189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ca="1" si="26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9" t="s">
        <v>28</v>
      </c>
      <c r="BJ110" s="214"/>
      <c r="BK110" s="214"/>
      <c r="BL110" s="214"/>
      <c r="BM110" s="560" t="s">
        <v>191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ca="1" si="24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spans="1:93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26</v>
      </c>
      <c r="O111" s="214"/>
      <c r="P111" s="214"/>
      <c r="Q111" s="214"/>
      <c r="R111" s="218" t="s">
        <v>190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ca="1" si="26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9" t="s">
        <v>29</v>
      </c>
      <c r="BJ111" s="214"/>
      <c r="BK111" s="214"/>
      <c r="BL111" s="214"/>
      <c r="BM111" s="560" t="s">
        <v>191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ca="1" si="24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spans="1:93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28</v>
      </c>
      <c r="O112" s="214"/>
      <c r="P112" s="214"/>
      <c r="Q112" s="214"/>
      <c r="R112" s="218" t="s">
        <v>191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ca="1" si="26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0"/>
      <c r="BI112" s="551"/>
      <c r="BJ112" s="214"/>
      <c r="BK112" s="214"/>
      <c r="BL112" s="214"/>
      <c r="BM112" s="561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ca="1" si="24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spans="1:9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29</v>
      </c>
      <c r="O113" s="214"/>
      <c r="P113" s="214"/>
      <c r="Q113" s="214"/>
      <c r="R113" s="218" t="s">
        <v>191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ca="1" si="26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2" t="s">
        <v>146</v>
      </c>
      <c r="BH113" s="553"/>
      <c r="BI113" s="554" t="s">
        <v>146</v>
      </c>
      <c r="BJ113" s="555"/>
      <c r="BK113" s="555"/>
      <c r="BL113" s="555"/>
      <c r="BM113" s="552" t="s">
        <v>192</v>
      </c>
      <c r="BN113" s="552"/>
      <c r="BO113" s="552"/>
      <c r="BP113" s="556"/>
      <c r="BQ113" s="557">
        <f>SUBTOTAL(109,Table13597192103[اجمالي])</f>
        <v>743</v>
      </c>
      <c r="BR113" s="558">
        <f ca="1">Table13597192103[[#Totals],[اجمالي]]/$R$68</f>
        <v>2.871139732342539E-3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spans="1:93" ht="18.75">
      <c r="A114" s="200"/>
      <c r="L114" s="508" t="s">
        <v>146</v>
      </c>
      <c r="M114" s="509"/>
      <c r="N114" s="510" t="s">
        <v>146</v>
      </c>
      <c r="O114" s="511"/>
      <c r="P114" s="511"/>
      <c r="Q114" s="511"/>
      <c r="R114" s="508" t="s">
        <v>192</v>
      </c>
      <c r="S114" s="508"/>
      <c r="T114" s="508"/>
      <c r="U114" s="512"/>
      <c r="V114" s="513">
        <f>SUBTOTAL(109,Table13597192[اجمالي])</f>
        <v>9149.3333333333321</v>
      </c>
      <c r="W114" s="514">
        <f ca="1">Table13597192[[#Totals],[اجمالي]]/$R$68</f>
        <v>3.5355335743982953E-2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spans="1:93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4" t="s">
        <v>228</v>
      </c>
      <c r="BK115" s="884"/>
      <c r="BL115" s="884"/>
      <c r="BM115" s="884"/>
      <c r="BN115" s="884"/>
      <c r="BO115" s="884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spans="1:93" ht="18.75">
      <c r="A116" s="200"/>
      <c r="L116" s="216"/>
      <c r="M116" s="216"/>
      <c r="N116" s="217"/>
      <c r="O116" s="884" t="s">
        <v>228</v>
      </c>
      <c r="P116" s="884"/>
      <c r="Q116" s="884"/>
      <c r="R116" s="884"/>
      <c r="S116" s="884"/>
      <c r="T116" s="884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123</v>
      </c>
      <c r="BH116" s="211" t="s">
        <v>124</v>
      </c>
      <c r="BI116" s="218" t="s">
        <v>125</v>
      </c>
      <c r="BJ116" s="211" t="s">
        <v>9</v>
      </c>
      <c r="BK116" s="211" t="s">
        <v>8</v>
      </c>
      <c r="BL116" s="211" t="s">
        <v>151</v>
      </c>
      <c r="BM116" s="211" t="s">
        <v>127</v>
      </c>
      <c r="BN116" s="211" t="s">
        <v>128</v>
      </c>
      <c r="BO116" s="211" t="s">
        <v>160</v>
      </c>
      <c r="BP116" s="211" t="s">
        <v>130</v>
      </c>
      <c r="BQ116" s="245" t="s">
        <v>131</v>
      </c>
      <c r="BR116" s="211" t="s">
        <v>132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spans="1:93" ht="18.75">
      <c r="A117" s="200"/>
      <c r="L117" s="211" t="s">
        <v>123</v>
      </c>
      <c r="M117" s="211" t="s">
        <v>124</v>
      </c>
      <c r="N117" s="218" t="s">
        <v>125</v>
      </c>
      <c r="O117" s="211" t="s">
        <v>9</v>
      </c>
      <c r="P117" s="211" t="s">
        <v>8</v>
      </c>
      <c r="Q117" s="211" t="s">
        <v>151</v>
      </c>
      <c r="R117" s="211" t="s">
        <v>127</v>
      </c>
      <c r="S117" s="211" t="s">
        <v>128</v>
      </c>
      <c r="T117" s="211" t="s">
        <v>160</v>
      </c>
      <c r="U117" s="211" t="s">
        <v>130</v>
      </c>
      <c r="V117" s="245" t="s">
        <v>131</v>
      </c>
      <c r="W117" s="211" t="s">
        <v>132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380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 ca="1">(BQ117)/$R$68</f>
        <v>0.4027892175757804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spans="1:93" ht="18.75">
      <c r="A118" s="200"/>
      <c r="L118" s="211">
        <v>5</v>
      </c>
      <c r="M118" s="219">
        <v>1</v>
      </c>
      <c r="N118" s="213" t="s">
        <v>380</v>
      </c>
      <c r="O118" s="214"/>
      <c r="P118" s="211"/>
      <c r="Q118" s="216"/>
      <c r="R118" s="214"/>
      <c r="S118" s="211"/>
      <c r="T118" s="247"/>
      <c r="U118" s="248">
        <f>F97</f>
        <v>157208.20000000001</v>
      </c>
      <c r="V118" s="252">
        <f>M118*Table1613687798[[#This Row],[سعر الشبك ]]</f>
        <v>157208.20000000001</v>
      </c>
      <c r="W118" s="241">
        <f ca="1">(V118)/$R$68</f>
        <v>0.60749220628540024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202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 ca="1">(BQ118)/$R$68</f>
        <v>4.0278921757578044E-2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spans="1:93" ht="18.75">
      <c r="A119" s="200"/>
      <c r="L119" s="211">
        <v>4</v>
      </c>
      <c r="M119" s="212">
        <f>IF((Q135="الاسكندرية"),0.25,0.1)</f>
        <v>0.1</v>
      </c>
      <c r="N119" s="213" t="s">
        <v>202</v>
      </c>
      <c r="O119" s="214"/>
      <c r="P119" s="211"/>
      <c r="Q119" s="216"/>
      <c r="R119" s="214"/>
      <c r="S119" s="211"/>
      <c r="T119" s="247"/>
      <c r="U119" s="248">
        <f>F97</f>
        <v>157208.20000000001</v>
      </c>
      <c r="V119" s="240">
        <f>M119*Table1613687798[[#This Row],[سعر الشبك ]]</f>
        <v>15720.820000000002</v>
      </c>
      <c r="W119" s="241">
        <f ca="1">(V119)/$R$68</f>
        <v>6.0749220628540025E-2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146</v>
      </c>
      <c r="BH119" s="212"/>
      <c r="BI119" s="213" t="s">
        <v>146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 ca="1">Table1613687798109[[#Totals],[اجمالي]]/$R$68</f>
        <v>0.44306813933335842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spans="1:93" ht="18.75">
      <c r="A120" s="200"/>
      <c r="L120" s="211" t="s">
        <v>146</v>
      </c>
      <c r="M120" s="212"/>
      <c r="N120" s="213" t="s">
        <v>146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172929.02000000002</v>
      </c>
      <c r="W120" s="244">
        <f ca="1">Table1613687798[[#Totals],[اجمالي]]/$R$68</f>
        <v>0.66824142691394028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4" t="s">
        <v>203</v>
      </c>
      <c r="BK120" s="884"/>
      <c r="BL120" s="884"/>
      <c r="BM120" s="884"/>
      <c r="BN120" s="884"/>
      <c r="BO120" s="884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spans="1:93" ht="18.75">
      <c r="A121" s="200"/>
      <c r="L121" s="216"/>
      <c r="M121" s="216"/>
      <c r="N121" s="217"/>
      <c r="O121" s="884" t="s">
        <v>203</v>
      </c>
      <c r="P121" s="884"/>
      <c r="Q121" s="884"/>
      <c r="R121" s="884"/>
      <c r="S121" s="884"/>
      <c r="T121" s="884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123</v>
      </c>
      <c r="BH121" s="211" t="s">
        <v>124</v>
      </c>
      <c r="BI121" s="218" t="s">
        <v>125</v>
      </c>
      <c r="BJ121" s="211" t="s">
        <v>204</v>
      </c>
      <c r="BK121" s="211" t="s">
        <v>110</v>
      </c>
      <c r="BL121" s="211" t="s">
        <v>205</v>
      </c>
      <c r="BM121" s="211" t="s">
        <v>206</v>
      </c>
      <c r="BN121" s="211" t="s">
        <v>151</v>
      </c>
      <c r="BO121" s="211" t="s">
        <v>207</v>
      </c>
      <c r="BP121" s="211" t="s">
        <v>208</v>
      </c>
      <c r="BQ121" s="245" t="s">
        <v>131</v>
      </c>
      <c r="BR121" s="211" t="s">
        <v>132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spans="1:93" ht="18.75">
      <c r="A122" s="200"/>
      <c r="L122" s="211" t="s">
        <v>123</v>
      </c>
      <c r="M122" s="211" t="s">
        <v>124</v>
      </c>
      <c r="N122" s="218" t="s">
        <v>125</v>
      </c>
      <c r="O122" s="211" t="s">
        <v>204</v>
      </c>
      <c r="P122" s="211" t="s">
        <v>110</v>
      </c>
      <c r="Q122" s="211" t="s">
        <v>205</v>
      </c>
      <c r="R122" s="211" t="s">
        <v>206</v>
      </c>
      <c r="S122" s="211" t="s">
        <v>151</v>
      </c>
      <c r="T122" s="211" t="s">
        <v>207</v>
      </c>
      <c r="U122" s="211" t="s">
        <v>208</v>
      </c>
      <c r="V122" s="245" t="s">
        <v>131</v>
      </c>
      <c r="W122" s="211" t="s">
        <v>132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209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 ca="1">SUMIF(Table17697899110[Column1],Table1612677697108[[#This Row],[موقع العمل]],$AB$2:$AB$20)</f>
        <v>0</v>
      </c>
      <c r="BL122" s="211" t="s">
        <v>210</v>
      </c>
      <c r="BM122" s="214" t="s">
        <v>133</v>
      </c>
      <c r="BN122" s="216"/>
      <c r="BO122" s="243">
        <v>1</v>
      </c>
      <c r="BP122" s="243">
        <f ca="1"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t="shared" ref="BQ122:BQ134" ca="1" si="30">BH122*BP122</f>
        <v>560</v>
      </c>
      <c r="BR122" s="241">
        <f t="shared" ref="BR122:BR134" ca="1" si="31">(BQ122)/$R$68</f>
        <v>2.1639814940939729E-3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spans="1:93" ht="18.75">
      <c r="A123" s="200"/>
      <c r="L123" s="211">
        <v>1</v>
      </c>
      <c r="M123" s="219">
        <v>2</v>
      </c>
      <c r="N123" s="220" t="s">
        <v>209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 ca="1">SUMIF(Table17697899[Column1],Table1612677697[[#This Row],[موقع العمل]],$AB$2:$AB$20)</f>
        <v>0</v>
      </c>
      <c r="Q123" s="211" t="s">
        <v>210</v>
      </c>
      <c r="R123" s="214" t="s">
        <v>133</v>
      </c>
      <c r="S123" s="216"/>
      <c r="T123" s="243">
        <v>1</v>
      </c>
      <c r="U123" s="243">
        <f ca="1"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t="shared" ref="V123:V135" ca="1" si="32">M123*U123</f>
        <v>560</v>
      </c>
      <c r="W123" s="241">
        <f t="shared" ref="W123:W135" ca="1" si="33">(V123)/$R$68</f>
        <v>2.1639814940939729E-3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211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 ca="1">SUMIF(Table17697899110[Column1],Table1612677697108[[#This Row],[موقع العمل]],$AB$2:$AB$20)</f>
        <v>0</v>
      </c>
      <c r="BL123" s="211" t="s">
        <v>210</v>
      </c>
      <c r="BM123" s="214" t="s">
        <v>133</v>
      </c>
      <c r="BN123" s="216"/>
      <c r="BO123" s="243">
        <v>1</v>
      </c>
      <c r="BP123" s="243">
        <f ca="1"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ca="1" si="30"/>
        <v>560</v>
      </c>
      <c r="BR123" s="241">
        <f t="shared" ca="1" si="31"/>
        <v>2.1639814940939729E-3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spans="1:93" ht="18.75">
      <c r="A124" s="200"/>
      <c r="L124" s="211">
        <v>2</v>
      </c>
      <c r="M124" s="219">
        <v>2</v>
      </c>
      <c r="N124" s="220" t="s">
        <v>211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 ca="1">SUMIF(Table17697899[Column1],Table1612677697[[#This Row],[موقع العمل]],$AB$2:$AB$20)</f>
        <v>0</v>
      </c>
      <c r="Q124" s="211" t="s">
        <v>210</v>
      </c>
      <c r="R124" s="214" t="s">
        <v>133</v>
      </c>
      <c r="S124" s="216"/>
      <c r="T124" s="243">
        <v>1</v>
      </c>
      <c r="U124" s="243">
        <f ca="1"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ca="1" si="32"/>
        <v>560</v>
      </c>
      <c r="W124" s="241">
        <f t="shared" ca="1" si="33"/>
        <v>2.1639814940939729E-3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212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 ca="1">SUMIF(Table17697899110[Column1],Table1612677697108[[#This Row],[موقع العمل]],$AB$2:$AB$20)</f>
        <v>0</v>
      </c>
      <c r="BL124" s="211" t="s">
        <v>210</v>
      </c>
      <c r="BM124" s="214" t="s">
        <v>133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ca="1" si="3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spans="1:93" ht="18.75">
      <c r="A125" s="200"/>
      <c r="L125" s="211">
        <v>3</v>
      </c>
      <c r="M125" s="219">
        <v>3</v>
      </c>
      <c r="N125" s="220" t="s">
        <v>212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 ca="1">SUMIF(Table17697899[Column1],Table1612677697[[#This Row],[موقع العمل]],$AB$2:$AB$20)</f>
        <v>0</v>
      </c>
      <c r="Q125" s="211" t="s">
        <v>210</v>
      </c>
      <c r="R125" s="214" t="s">
        <v>133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ca="1" si="33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213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 ca="1">SUMIF(Table17697899110[Column1],Table1612677697108[[#This Row],[موقع العمل]],$AB$2:$AB$20)</f>
        <v>0</v>
      </c>
      <c r="BL125" s="211" t="s">
        <v>210</v>
      </c>
      <c r="BM125" s="214" t="s">
        <v>133</v>
      </c>
      <c r="BN125" s="216"/>
      <c r="BO125" s="243">
        <v>2</v>
      </c>
      <c r="BP125" s="243">
        <f ca="1"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ca="1" si="30"/>
        <v>1680</v>
      </c>
      <c r="BR125" s="241">
        <f t="shared" ca="1" si="31"/>
        <v>6.4919444822819188E-3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spans="1:93" ht="18.75">
      <c r="A126" s="200"/>
      <c r="L126" s="211">
        <v>4</v>
      </c>
      <c r="M126" s="212">
        <v>3</v>
      </c>
      <c r="N126" s="220" t="s">
        <v>213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 ca="1">SUMIF(Table17697899[Column1],Table1612677697[[#This Row],[موقع العمل]],$AB$2:$AB$20)</f>
        <v>0</v>
      </c>
      <c r="Q126" s="211" t="s">
        <v>210</v>
      </c>
      <c r="R126" s="214" t="s">
        <v>133</v>
      </c>
      <c r="S126" s="216"/>
      <c r="T126" s="243">
        <v>2</v>
      </c>
      <c r="U126" s="243">
        <f ca="1"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ca="1" si="32"/>
        <v>1680</v>
      </c>
      <c r="W126" s="241">
        <f t="shared" ca="1" si="33"/>
        <v>6.4919444822819188E-3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214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 ca="1"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133</v>
      </c>
      <c r="BN126" s="216"/>
      <c r="BO126" s="243">
        <v>2</v>
      </c>
      <c r="BP126" s="243">
        <f ca="1"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ca="1" si="30"/>
        <v>4000</v>
      </c>
      <c r="BR126" s="241">
        <f t="shared" ca="1" si="31"/>
        <v>1.5457010672099807E-2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spans="1:93" ht="18.75">
      <c r="A127" s="200"/>
      <c r="L127" s="211">
        <v>5</v>
      </c>
      <c r="M127" s="212">
        <v>4</v>
      </c>
      <c r="N127" s="220" t="s">
        <v>214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 ca="1"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133</v>
      </c>
      <c r="S127" s="216"/>
      <c r="T127" s="243">
        <v>2</v>
      </c>
      <c r="U127" s="243">
        <f ca="1"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ca="1" si="32"/>
        <v>4000</v>
      </c>
      <c r="W127" s="241">
        <f t="shared" ca="1" si="33"/>
        <v>1.5457010672099807E-2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215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 ca="1"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133</v>
      </c>
      <c r="BN127" s="216"/>
      <c r="BO127" s="243">
        <v>2</v>
      </c>
      <c r="BP127" s="243">
        <f ca="1"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ca="1" si="30"/>
        <v>3000</v>
      </c>
      <c r="BR127" s="241">
        <f t="shared" ca="1" si="31"/>
        <v>1.1592758004074855E-2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spans="1:93" ht="18.75">
      <c r="A128" s="200"/>
      <c r="L128" s="211">
        <v>6</v>
      </c>
      <c r="M128" s="212">
        <v>3</v>
      </c>
      <c r="N128" s="220" t="s">
        <v>215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 ca="1"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133</v>
      </c>
      <c r="S128" s="216"/>
      <c r="T128" s="243">
        <v>2</v>
      </c>
      <c r="U128" s="243">
        <f ca="1"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ca="1" si="32"/>
        <v>3000</v>
      </c>
      <c r="W128" s="241">
        <f t="shared" ca="1" si="33"/>
        <v>1.1592758004074855E-2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216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 ca="1"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133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ca="1" si="3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spans="1:93" ht="18.75">
      <c r="A129" s="200"/>
      <c r="L129" s="211">
        <v>7</v>
      </c>
      <c r="M129" s="212">
        <v>0</v>
      </c>
      <c r="N129" s="220" t="s">
        <v>216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 ca="1"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133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ca="1" si="33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217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 ca="1"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133</v>
      </c>
      <c r="BN129" s="216"/>
      <c r="BO129" s="243">
        <v>2</v>
      </c>
      <c r="BP129" s="243">
        <f ca="1"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ca="1" si="30"/>
        <v>4000</v>
      </c>
      <c r="BR129" s="241">
        <f t="shared" ca="1" si="31"/>
        <v>1.5457010672099807E-2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spans="1:93" ht="18.75">
      <c r="A130" s="200"/>
      <c r="L130" s="211">
        <v>8</v>
      </c>
      <c r="M130" s="212">
        <v>4</v>
      </c>
      <c r="N130" s="220" t="s">
        <v>217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 ca="1"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133</v>
      </c>
      <c r="S130" s="216"/>
      <c r="T130" s="243">
        <v>2</v>
      </c>
      <c r="U130" s="243">
        <f ca="1"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ca="1" si="32"/>
        <v>4000</v>
      </c>
      <c r="W130" s="241">
        <f t="shared" ca="1" si="33"/>
        <v>1.5457010672099807E-2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218</v>
      </c>
      <c r="BJ130" s="211"/>
      <c r="BK130" s="211"/>
      <c r="BL130" s="211" t="str">
        <f>تسعير!$BE$44</f>
        <v>التجمع</v>
      </c>
      <c r="BM130" s="214"/>
      <c r="BN130" s="247">
        <f ca="1">SUMIF(Table17697899110[Column1],Table1612677697108[[#This Row],[موقع العمل]],$Z$2:$Z$20)</f>
        <v>400</v>
      </c>
      <c r="BO130" s="247"/>
      <c r="BP130" s="243">
        <f ca="1">Table1612677697108[[#This Row],[Column12]]</f>
        <v>400</v>
      </c>
      <c r="BQ130" s="240">
        <f t="shared" ca="1" si="30"/>
        <v>8800</v>
      </c>
      <c r="BR130" s="241">
        <f t="shared" ca="1" si="31"/>
        <v>3.4005423478619574E-2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spans="1:93" ht="18.75">
      <c r="A131" s="200"/>
      <c r="L131" s="211">
        <v>9</v>
      </c>
      <c r="M131" s="212">
        <f>(M127+M128+M129+M130)*2</f>
        <v>22</v>
      </c>
      <c r="N131" s="220" t="s">
        <v>218</v>
      </c>
      <c r="O131" s="211"/>
      <c r="P131" s="211"/>
      <c r="Q131" s="211" t="str">
        <f>تسعير!$BE$24</f>
        <v>الشيخ زايد</v>
      </c>
      <c r="R131" s="214"/>
      <c r="S131" s="247">
        <f ca="1">SUMIF(Table17697899[Column1],Table1612677697[[#This Row],[موقع العمل]],$Z$2:$Z$20)</f>
        <v>400</v>
      </c>
      <c r="T131" s="247"/>
      <c r="U131" s="243">
        <f ca="1">Table1612677697[[#This Row],[Column12]]</f>
        <v>400</v>
      </c>
      <c r="V131" s="240">
        <f t="shared" ca="1" si="32"/>
        <v>8800</v>
      </c>
      <c r="W131" s="241">
        <f t="shared" ca="1" si="33"/>
        <v>3.4005423478619574E-2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219</v>
      </c>
      <c r="BJ131" s="211"/>
      <c r="BK131" s="211"/>
      <c r="BL131" s="211" t="str">
        <f>تسعير!$BE$44</f>
        <v>التجمع</v>
      </c>
      <c r="BM131" s="214"/>
      <c r="BN131" s="247">
        <f ca="1">SUMIF(Table17697899110[Column1],Table1612677697108[[#This Row],[موقع العمل]],$AA$2:$AA$20)</f>
        <v>400</v>
      </c>
      <c r="BO131" s="247"/>
      <c r="BP131" s="243">
        <f ca="1">Table1612677697108[[#This Row],[Column12]]</f>
        <v>400</v>
      </c>
      <c r="BQ131" s="240">
        <f t="shared" ca="1" si="30"/>
        <v>3600</v>
      </c>
      <c r="BR131" s="241">
        <f t="shared" ca="1" si="31"/>
        <v>1.3911309604889826E-2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spans="1:93" ht="18.75">
      <c r="A132" s="200"/>
      <c r="L132" s="211">
        <v>10</v>
      </c>
      <c r="M132" s="212">
        <f>((T127+T128+T129+T130)*2)-3</f>
        <v>9</v>
      </c>
      <c r="N132" s="220" t="s">
        <v>219</v>
      </c>
      <c r="O132" s="211"/>
      <c r="P132" s="211"/>
      <c r="Q132" s="211" t="str">
        <f>تسعير!$BE$24</f>
        <v>الشيخ زايد</v>
      </c>
      <c r="R132" s="214"/>
      <c r="S132" s="247">
        <f ca="1">SUMIF(Table17697899[Column1],Table1612677697[[#This Row],[موقع العمل]],$AA$2:$AA$20)</f>
        <v>400</v>
      </c>
      <c r="T132" s="247"/>
      <c r="U132" s="243">
        <f ca="1">Table1612677697[[#This Row],[Column12]]</f>
        <v>400</v>
      </c>
      <c r="V132" s="240">
        <f t="shared" ca="1" si="32"/>
        <v>3600</v>
      </c>
      <c r="W132" s="241">
        <f t="shared" ca="1" si="33"/>
        <v>1.3911309604889826E-2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220</v>
      </c>
      <c r="BJ132" s="211"/>
      <c r="BK132" s="211"/>
      <c r="BL132" s="211" t="str">
        <f>تسعير!$BE$44</f>
        <v>التجمع</v>
      </c>
      <c r="BM132" s="214"/>
      <c r="BN132" s="247">
        <f ca="1">SUMIF(Table17697899110[Column1],Table1612677697108[[#This Row],[موقع العمل]],$AC$2:$AC$20)</f>
        <v>3500</v>
      </c>
      <c r="BO132" s="247"/>
      <c r="BP132" s="243">
        <f ca="1">Table1612677697108[[#This Row],[Column12]]</f>
        <v>3500</v>
      </c>
      <c r="BQ132" s="240">
        <f t="shared" ca="1" si="30"/>
        <v>0</v>
      </c>
      <c r="BR132" s="241">
        <f t="shared" ca="1" si="3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spans="1:93" ht="18.75">
      <c r="A133" s="200"/>
      <c r="L133" s="211">
        <v>11</v>
      </c>
      <c r="M133" s="212">
        <v>0</v>
      </c>
      <c r="N133" s="220" t="s">
        <v>220</v>
      </c>
      <c r="O133" s="211"/>
      <c r="P133" s="211"/>
      <c r="Q133" s="211" t="str">
        <f>تسعير!$BE$24</f>
        <v>الشيخ زايد</v>
      </c>
      <c r="R133" s="214"/>
      <c r="S133" s="247">
        <f ca="1">SUMIF(Table17697899[Column1],Table1612677697[[#This Row],[موقع العمل]],$AC$2:$AC$20)</f>
        <v>3500</v>
      </c>
      <c r="T133" s="247"/>
      <c r="U133" s="243">
        <f ca="1">Table1612677697[[#This Row],[Column12]]</f>
        <v>3500</v>
      </c>
      <c r="V133" s="240">
        <f t="shared" ca="1" si="32"/>
        <v>0</v>
      </c>
      <c r="W133" s="241">
        <f t="shared" ca="1" si="33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IF((تسعير!$AT$12="بالتات"),1,2)</f>
        <v>1</v>
      </c>
      <c r="BI133" s="220" t="s">
        <v>221</v>
      </c>
      <c r="BJ133" s="211"/>
      <c r="BK133" s="211"/>
      <c r="BL133" s="211" t="str">
        <f>تسعير!$BE$44</f>
        <v>التجمع</v>
      </c>
      <c r="BM133" s="214"/>
      <c r="BN133" s="247">
        <f ca="1">SUMIF(Table17697899110[Column1],Table1612677697108[[#This Row],[موقع العمل]],$AD$2:$AD$20)</f>
        <v>6000</v>
      </c>
      <c r="BO133" s="247"/>
      <c r="BP133" s="243">
        <f ca="1">Table1612677697108[[#This Row],[Column12]]</f>
        <v>6000</v>
      </c>
      <c r="BQ133" s="240">
        <f t="shared" ca="1" si="30"/>
        <v>6000</v>
      </c>
      <c r="BR133" s="241">
        <f t="shared" ca="1" si="31"/>
        <v>2.318551600814971E-2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spans="1:93" ht="18.75">
      <c r="A134" s="200"/>
      <c r="L134" s="211">
        <v>12</v>
      </c>
      <c r="M134" s="212">
        <f>IF((تسعير!$AT$12="بالتات"),1,2)</f>
        <v>1</v>
      </c>
      <c r="N134" s="220" t="s">
        <v>221</v>
      </c>
      <c r="O134" s="211"/>
      <c r="P134" s="211"/>
      <c r="Q134" s="211" t="str">
        <f>تسعير!$BE$24</f>
        <v>الشيخ زايد</v>
      </c>
      <c r="R134" s="214"/>
      <c r="S134" s="247">
        <f ca="1">SUMIF(Table17697899[Column1],Table1612677697[[#This Row],[موقع العمل]],$AD$2:$AD$20)</f>
        <v>6000</v>
      </c>
      <c r="T134" s="247"/>
      <c r="U134" s="243">
        <f ca="1">Table1612677697[[#This Row],[Column12]]</f>
        <v>6000</v>
      </c>
      <c r="V134" s="240">
        <f t="shared" ca="1" si="32"/>
        <v>6000</v>
      </c>
      <c r="W134" s="241">
        <f t="shared" ca="1" si="33"/>
        <v>2.318551600814971E-2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IF((تسعير!$AT$12="بالتات"),0,BH131-2)</f>
        <v>0</v>
      </c>
      <c r="BI134" s="220" t="s">
        <v>113</v>
      </c>
      <c r="BJ134" s="211"/>
      <c r="BK134" s="211"/>
      <c r="BL134" s="211" t="str">
        <f>تسعير!$BE$44</f>
        <v>التجمع</v>
      </c>
      <c r="BM134" s="214"/>
      <c r="BN134" s="247">
        <f ca="1">SUMIF(Table17697899110[Column1],Table1612677697108[[#This Row],[موقع العمل]],$AE$2:$AE$8)</f>
        <v>150</v>
      </c>
      <c r="BO134" s="247"/>
      <c r="BP134" s="243">
        <f ca="1">Table1612677697108[[#This Row],[Column12]]</f>
        <v>150</v>
      </c>
      <c r="BQ134" s="240">
        <f t="shared" ca="1" si="30"/>
        <v>0</v>
      </c>
      <c r="BR134" s="241">
        <f t="shared" ca="1" si="31"/>
        <v>0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spans="1:93" ht="18.75">
      <c r="A135" s="200"/>
      <c r="L135" s="211">
        <v>13</v>
      </c>
      <c r="M135" s="212">
        <f>IF((تسعير!$AT$12="بالتات"),0,M132-2)</f>
        <v>0</v>
      </c>
      <c r="N135" s="220" t="s">
        <v>113</v>
      </c>
      <c r="O135" s="211"/>
      <c r="P135" s="211"/>
      <c r="Q135" s="211" t="str">
        <f>تسعير!$BE$24</f>
        <v>الشيخ زايد</v>
      </c>
      <c r="R135" s="214"/>
      <c r="S135" s="247">
        <f ca="1">SUMIF(Table17697899[Column1],Table1612677697[[#This Row],[موقع العمل]],$AE$2:$AE$8)</f>
        <v>150</v>
      </c>
      <c r="T135" s="247"/>
      <c r="U135" s="243">
        <f ca="1">Table1612677697[[#This Row],[Column12]]</f>
        <v>150</v>
      </c>
      <c r="V135" s="240">
        <f t="shared" ca="1" si="32"/>
        <v>0</v>
      </c>
      <c r="W135" s="241">
        <f t="shared" ca="1" si="33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1" t="s">
        <v>146</v>
      </c>
      <c r="BH135" s="570"/>
      <c r="BI135" s="549" t="s">
        <v>146</v>
      </c>
      <c r="BJ135" s="571"/>
      <c r="BK135" s="571"/>
      <c r="BL135" s="572"/>
      <c r="BM135" s="572"/>
      <c r="BN135" s="573">
        <f ca="1">SUBTOTAL(109,Table1612677697108[Column12])</f>
        <v>10450</v>
      </c>
      <c r="BO135" s="571"/>
      <c r="BP135" s="242"/>
      <c r="BQ135" s="574">
        <f ca="1">SUBTOTAL(109,Table1612677697108[اجمالي])</f>
        <v>32200</v>
      </c>
      <c r="BR135" s="575">
        <f ca="1">Table1612677697108[[#Totals],[اجمالي]]/$R$68</f>
        <v>0.12442893591040344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spans="1:93" ht="18.75">
      <c r="A136" s="200"/>
      <c r="L136" s="571" t="s">
        <v>146</v>
      </c>
      <c r="M136" s="570"/>
      <c r="N136" s="549" t="s">
        <v>146</v>
      </c>
      <c r="O136" s="571"/>
      <c r="P136" s="571"/>
      <c r="Q136" s="572"/>
      <c r="R136" s="572"/>
      <c r="S136" s="573">
        <f ca="1">SUBTOTAL(109,Table1612677697[Column12])</f>
        <v>10450</v>
      </c>
      <c r="T136" s="571"/>
      <c r="U136" s="242"/>
      <c r="V136" s="574">
        <f ca="1">SUBTOTAL(109,Table1612677697[اجمالي])</f>
        <v>32200</v>
      </c>
      <c r="W136" s="575">
        <f ca="1">Table1612677697[[#Totals],[اجمالي]]/$R$68</f>
        <v>0.12442893591040344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9"/>
      <c r="BK136" s="889"/>
      <c r="BL136" s="889"/>
      <c r="BM136" s="889"/>
      <c r="BN136" s="889"/>
      <c r="BO136" s="88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spans="1:93" ht="18.75">
      <c r="A137" s="200"/>
      <c r="L137" s="216"/>
      <c r="M137" s="216"/>
      <c r="N137" s="217"/>
      <c r="O137" s="889"/>
      <c r="P137" s="889"/>
      <c r="Q137" s="889"/>
      <c r="R137" s="889"/>
      <c r="S137" s="889"/>
      <c r="T137" s="88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8</v>
      </c>
      <c r="BJ137" s="211" t="s">
        <v>222</v>
      </c>
      <c r="BK137" s="211" t="s">
        <v>223</v>
      </c>
      <c r="BL137" s="211" t="s">
        <v>3</v>
      </c>
      <c r="BM137" s="211" t="s">
        <v>9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spans="1:93" ht="18.75">
      <c r="A138" s="200"/>
      <c r="L138" s="211"/>
      <c r="M138" s="211"/>
      <c r="N138" s="218" t="s">
        <v>8</v>
      </c>
      <c r="O138" s="211" t="s">
        <v>222</v>
      </c>
      <c r="P138" s="211" t="s">
        <v>223</v>
      </c>
      <c r="Q138" s="211" t="s">
        <v>3</v>
      </c>
      <c r="R138" s="211" t="s">
        <v>9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224</v>
      </c>
      <c r="BJ138" s="214"/>
      <c r="BK138" s="211"/>
      <c r="BL138" s="280"/>
      <c r="BM138" s="281">
        <f ca="1"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174471.16999999998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spans="1:93" ht="18.75">
      <c r="A139" s="200"/>
      <c r="L139" s="211"/>
      <c r="M139" s="219"/>
      <c r="N139" s="213" t="s">
        <v>224</v>
      </c>
      <c r="O139" s="214"/>
      <c r="P139" s="211"/>
      <c r="Q139" s="280"/>
      <c r="R139" s="281">
        <f ca="1">Table1612677697[[#Totals],[اجمالي]]+Table1613687798[[#Totals],[اجمالي]]+Table13597192[[#Totals],[اجمالي]]+Table16627394[[#Totals],[اجمالي]]+Table15617293[[#Totals],[اجمالي]]+Table15880101[[#Totals],[اجمالي]]</f>
        <v>249928.35333333336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225</v>
      </c>
      <c r="BJ139" s="214"/>
      <c r="BK139" s="211"/>
      <c r="BL139" s="310">
        <f t="shared" ref="BL139" si="34">IF((BL134="المقطم"),0.3,IF((BL134="التجمع"),0.3,IF((BL134="الشيخ زايد"),0.3,IF((BL134="الاسكندرية"),0.5,0.35))))</f>
        <v>0.3</v>
      </c>
      <c r="BM139" s="281">
        <f ca="1">BM138*(1+Table187079100111[[#This Row],[Column3]])</f>
        <v>226812.52099999998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spans="1:93" ht="18.75">
      <c r="A140" s="200"/>
      <c r="L140" s="211"/>
      <c r="M140" s="212"/>
      <c r="N140" s="213" t="s">
        <v>225</v>
      </c>
      <c r="O140" s="214"/>
      <c r="P140" s="211"/>
      <c r="Q140" s="310">
        <f t="shared" ref="Q140" si="35">IF((Q135="المقطم"),0.3,IF((Q135="التجمع"),0.3,IF((Q135="الشيخ زايد"),0.3,IF((Q135="الاسكندرية"),0.5,0.35))))</f>
        <v>0.3</v>
      </c>
      <c r="R140" s="281">
        <f ca="1">R139*(1+Table187079100[[#This Row],[Column3]])</f>
        <v>324906.85933333338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spans="1:93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spans="1:93" ht="18.75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spans="1:93" ht="18.75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spans="1:93" ht="18.75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 spans="12:54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 spans="12:54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 spans="12:54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 spans="12:54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 spans="12:54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 spans="12:54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 spans="12:54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 spans="12:54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 spans="12:54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 spans="12: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 spans="12:54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 spans="12:54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 spans="12:54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 spans="12:54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 spans="12:54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 spans="12:54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 spans="24:54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 spans="24:54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 spans="24:54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 spans="24:5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 spans="24:54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 spans="24:54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 spans="24:54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 spans="24:54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 spans="24:54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 spans="24:54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 spans="24:54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 spans="24:54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 spans="24:54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 spans="24:54">
      <c r="AU174" s="207"/>
    </row>
    <row r="175" spans="24:54">
      <c r="AU175" s="207"/>
    </row>
    <row r="176" spans="24:54">
      <c r="AU176" s="207"/>
    </row>
    <row r="177" spans="47:47">
      <c r="AU177" s="207"/>
    </row>
    <row r="178" spans="47:47">
      <c r="AU178" s="207"/>
    </row>
    <row r="179" spans="47:47">
      <c r="AU179" s="207"/>
    </row>
  </sheetData>
  <mergeCells count="40"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 r:id="rId1"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vetanoia14</cp:lastModifiedBy>
  <dcterms:created xsi:type="dcterms:W3CDTF">2015-06-05T18:17:00Z</dcterms:created>
  <dcterms:modified xsi:type="dcterms:W3CDTF">2026-04-20T14:10:37Z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