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Default ContentType="application/vnd.openxmlformats-officedocument.vmlDrawing" Extension="v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externalLink+xml" PartName="/xl/externalLinks/externalLink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comments+xml" PartName="/xl/comments1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comments+xml" PartName="/xl/comments2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14865" yWindow="-165" windowWidth="13860" windowHeight="12960" tabRatio="927"/>
  </bookViews>
  <sheets>
    <sheet name="Sheet2" sheetId="1" r:id="rId1"/>
    <sheet name="تسعير" sheetId="3" r:id="rId2"/>
    <sheet name="Royal" sheetId="2" state="hidden" r:id="rId3"/>
    <sheet name="Royal2" sheetId="23" state="hidden" r:id="rId4"/>
    <sheet name="wavy1" sheetId="22" state="hidden" r:id="rId5"/>
    <sheet name="wavy2" sheetId="25" state="hidden" r:id="rId6"/>
    <sheet name="شماسي و كانتليفر" sheetId="24" state="hidden" r:id="rId7"/>
    <sheet name="بيرسا و لوفرز" sheetId="26" state="hidden" r:id="rId8"/>
    <sheet name="تسجيل1" sheetId="4" state="hidden" r:id="rId9"/>
    <sheet name="Cutting Ro-1" sheetId="5" state="hidden" r:id="rId10"/>
    <sheet name="تسجيل2" sheetId="10" state="hidden" r:id="rId11"/>
    <sheet name="Cutting Ro-2" sheetId="11" state="hidden" r:id="rId12"/>
    <sheet name="Format (2)" sheetId="12" state="hidden" r:id="rId13"/>
    <sheet name="Format Οδηγων (2)" sheetId="13" state="hidden" r:id="rId14"/>
    <sheet name="Format Φωτισμου (2)" sheetId="14" state="hidden" r:id="rId15"/>
    <sheet name="Format διαστασης οδηγου (2)" sheetId="15" state="hidden" r:id="rId16"/>
    <sheet name="Format" sheetId="6" state="hidden" r:id="rId17"/>
    <sheet name="Format Οδηγων" sheetId="7" state="hidden" r:id="rId18"/>
    <sheet name="Format Φωτισμου" sheetId="8" state="hidden" r:id="rId19"/>
    <sheet name="Format διαστασης οδηγου" sheetId="9" state="hidden" r:id="rId20"/>
  </sheets>
  <externalReferences>
    <externalReference r:id="rId21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2">Royal!$A$1:$L$81</definedName>
    <definedName name="_xlnm.Print_Area" localSheetId="3">Royal2!$A$1:$L$86</definedName>
    <definedName name="_xlnm.Print_Area" localSheetId="9">'Cutting Ro-1'!$A$1:$N$44</definedName>
    <definedName name="_xlnm.Print_Area" localSheetId="11">'Cutting Ro-2'!$A$1:$N$44</definedName>
  </definedNames>
  <calcPr calcId="145621" fullCalcOnLoad="1"/>
</workbook>
</file>

<file path=xl/comments1.xml><?xml version="1.0" encoding="utf-8"?>
<comments xmlns="http://schemas.openxmlformats.org/spreadsheetml/2006/main">
  <authors>
    <author>Author</author>
  </authors>
  <commentList>
    <comment ref="C54" authorId="0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>
  <authors>
    <author>Author</author>
  </authors>
  <commentList>
    <comment ref="C55" authorId="0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<sst xmlns="http://schemas.openxmlformats.org/spreadsheetml/2006/main" count="596" uniqueCount="596">
  <si>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</si>
  <si>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</si>
  <si>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</si>
  <si>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</si>
  <si>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</si>
  <si>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</si>
  <si>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</si>
  <si>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</si>
  <si>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</si>
  <si>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</si>
  <si>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</si>
  <si>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</si>
  <si>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</si>
  <si>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</si>
  <si>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</si>
  <si>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</si>
  <si>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</si>
  <si>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</si>
  <si>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</si>
  <si>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</si>
  <si>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</si>
  <si>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</si>
  <si>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</si>
  <si>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</si>
  <si>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</si>
  <si>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</si>
  <si>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</si>
  <si>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م</t>
  </si>
  <si>
    <t>عدد</t>
  </si>
  <si>
    <t>بيان</t>
  </si>
  <si>
    <t>Column2</t>
  </si>
  <si>
    <t>المسطح</t>
  </si>
  <si>
    <t>الوحده</t>
  </si>
  <si>
    <t>الوزن</t>
  </si>
  <si>
    <t>اجمالي الميزان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</si>
  <si>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</si>
  <si>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</si>
  <si>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</si>
  <si>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</si>
  <si>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</si>
  <si>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</si>
  <si>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</si>
  <si>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</si>
  <si>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</si>
  <si>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</si>
  <si>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</si>
  <si>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</si>
  <si>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</si>
  <si>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</si>
  <si>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</si>
  <si>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</si>
  <si>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5*10*2mm</t>
  </si>
  <si>
    <t>البحيرة</t>
  </si>
  <si>
    <t>كيما بوكسي</t>
  </si>
  <si>
    <t>علبة حديد 15*5*3mm</t>
  </si>
  <si>
    <t>الغربية</t>
  </si>
  <si>
    <t>صنفرة</t>
  </si>
  <si>
    <t>1لوح / م2</t>
  </si>
  <si>
    <t>Total</t>
  </si>
  <si>
    <t>المنوفية</t>
  </si>
  <si>
    <t xml:space="preserve">كمر حديد </t>
  </si>
  <si>
    <t>الدقهلية</t>
  </si>
  <si>
    <t>JOTAMASTIC 87 GREY</t>
  </si>
  <si>
    <t>Column12</t>
  </si>
  <si>
    <t>سعر الكيلو</t>
  </si>
  <si>
    <t>الشرقية</t>
  </si>
  <si>
    <t>JOTAMASTIC 80 GREY</t>
  </si>
  <si>
    <t>كمر حديد(C) 14سم 12 متر</t>
  </si>
  <si>
    <t>شبك 12 م</t>
  </si>
  <si>
    <t>كفر الشيخ</t>
  </si>
  <si>
    <t>HARDTOP XP (WHITE/BLACK/GREY)</t>
  </si>
  <si>
    <t>كمر حديد(C) 14سم 6 متر</t>
  </si>
  <si>
    <t>دمياط</t>
  </si>
  <si>
    <t>HARDTOP XP COLOR</t>
  </si>
  <si>
    <t>بورسعيد</t>
  </si>
  <si>
    <t>BARRIER 80</t>
  </si>
  <si>
    <t>مستلزمات حدادة و تركيبات</t>
  </si>
  <si>
    <t>السويس</t>
  </si>
  <si>
    <t>THINNER 17</t>
  </si>
  <si>
    <t>الاسماعيلية</t>
  </si>
  <si>
    <t>THINNER 10</t>
  </si>
  <si>
    <t>سلك لحام</t>
  </si>
  <si>
    <t>باكو 5كجم</t>
  </si>
  <si>
    <t>البحر الاحمر</t>
  </si>
  <si>
    <t>كفر كبير و صغير</t>
  </si>
  <si>
    <t>بالكيلو</t>
  </si>
  <si>
    <t>شمال سيناء</t>
  </si>
  <si>
    <t>طارات قطعية</t>
  </si>
  <si>
    <t>جنوب سيناء</t>
  </si>
  <si>
    <t>طارات جلخ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</si>
  <si>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</si>
  <si>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</si>
  <si>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</si>
  <si>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</si>
  <si>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</si>
  <si>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</si>
  <si>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</si>
  <si>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</si>
  <si>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</si>
  <si>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</si>
  <si>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بالتة 10 مم 40 × 40</t>
  </si>
  <si>
    <t>حجبة مثلثة 10مم 10*10</t>
  </si>
  <si>
    <t>دهانات و مستلزمات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</si>
  <si>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</si>
  <si>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</si>
  <si>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</si>
  <si>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</si>
  <si>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</si>
  <si>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</si>
  <si>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</si>
  <si>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</si>
  <si>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</si>
  <si>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</si>
  <si>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</si>
  <si>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</si>
  <si>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>18.7 L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</si>
  <si>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</si>
  <si>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</si>
  <si>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</si>
  <si>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</si>
  <si>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</si>
  <si>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</si>
  <si>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</si>
  <si>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</si>
  <si>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</si>
  <si>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</si>
  <si>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</si>
  <si>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</si>
  <si>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</si>
  <si>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</si>
  <si>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الصيانة و الضمان</t>
  </si>
  <si>
    <t>اخري</t>
  </si>
  <si>
    <t>جلفنة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</si>
  <si>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</si>
  <si>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</si>
  <si>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</si>
  <si>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</si>
  <si>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</si>
  <si>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</si>
  <si>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</si>
  <si>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</si>
  <si>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</si>
  <si>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</si>
  <si>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</si>
  <si>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</si>
  <si>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</si>
  <si>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</si>
  <si>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</si>
  <si>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</si>
  <si>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</si>
  <si>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</si>
  <si>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</si>
  <si>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</si>
  <si>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</si>
  <si>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Column3</t>
  </si>
  <si>
    <t>اجمالي التكلفة</t>
  </si>
  <si>
    <t>سعر البيع غير شامل الضريبة</t>
  </si>
  <si>
    <t>مسطح</t>
  </si>
  <si>
    <t>JOTAMASTIC 87</t>
  </si>
  <si>
    <t>HARDTOP XP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</si>
  <si>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</si>
  <si>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</si>
  <si>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</si>
  <si>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</si>
  <si>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</si>
  <si>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طريقة الدهان</t>
  </si>
  <si>
    <t>A</t>
  </si>
  <si>
    <t>B</t>
  </si>
  <si>
    <t>لون الالومنيوم</t>
  </si>
  <si>
    <t>سادة</t>
  </si>
  <si>
    <t>المبيعات</t>
  </si>
  <si>
    <t>الشكل</t>
  </si>
  <si>
    <t>القطر / العرض</t>
  </si>
  <si>
    <t>الدهان</t>
  </si>
  <si>
    <t>القماش</t>
  </si>
  <si>
    <t>الفرنتونة</t>
  </si>
  <si>
    <t>مواصفات اضافية</t>
  </si>
  <si>
    <t>خشبي</t>
  </si>
  <si>
    <t>تليسكوب</t>
  </si>
  <si>
    <t>نصف جملة</t>
  </si>
  <si>
    <t>دائرية</t>
  </si>
  <si>
    <t>اسباني</t>
  </si>
  <si>
    <t>no</t>
  </si>
  <si>
    <t>المحرك</t>
  </si>
  <si>
    <t>موتور</t>
  </si>
  <si>
    <t>الارتفاع</t>
  </si>
  <si>
    <t>اقل من 3 م</t>
  </si>
  <si>
    <t>ROYAL UMBRELLA</t>
  </si>
  <si>
    <t>التثبيت</t>
  </si>
  <si>
    <t>العرض cm</t>
  </si>
  <si>
    <t>.</t>
  </si>
  <si>
    <t>الامتداد cm</t>
  </si>
  <si>
    <t>قواعد عادية</t>
  </si>
  <si>
    <t>بالتات</t>
  </si>
  <si>
    <t>ROYAL PERGOLA</t>
  </si>
  <si>
    <t>برجولة غير مثبتة علي مبني</t>
  </si>
  <si>
    <t>بيرسا مثبتة علي مبني</t>
  </si>
  <si>
    <t>بيرسا غير مثبتة علي مبني</t>
  </si>
  <si>
    <t>المقاس</t>
  </si>
  <si>
    <t>قطاعي</t>
  </si>
  <si>
    <t>4*4</t>
  </si>
  <si>
    <t>بولي استر</t>
  </si>
  <si>
    <t>double</t>
  </si>
  <si>
    <t>الارتفاع الخلفي</t>
  </si>
  <si>
    <t>الارتفاع الامامي</t>
  </si>
  <si>
    <t>ROYAL TELESQUP UMBRELLA</t>
  </si>
  <si>
    <t>اكثر من 3 م</t>
  </si>
  <si>
    <t>AWNING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</si>
  <si>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</si>
  <si>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</si>
  <si>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</si>
  <si>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</si>
  <si>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عدد الباكيات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</si>
  <si>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</si>
  <si>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</si>
  <si>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single</t>
  </si>
  <si>
    <t>cANTLEVER</t>
  </si>
  <si>
    <t>PERSA</t>
  </si>
  <si>
    <t>MOTORIZED LLUVERS</t>
  </si>
  <si>
    <t>مثبتة علي الحائط</t>
  </si>
  <si>
    <t>مثبتة غير علي الحائط</t>
  </si>
  <si>
    <t>المتغيرات الاساسية</t>
  </si>
  <si>
    <t>الخامة</t>
  </si>
  <si>
    <t>السعر</t>
  </si>
  <si>
    <t>حديد</t>
  </si>
  <si>
    <t>كمر</t>
  </si>
  <si>
    <t>الومنيوم</t>
  </si>
  <si>
    <t>دهان خشبي</t>
  </si>
  <si>
    <t xml:space="preserve">البي في سي </t>
  </si>
  <si>
    <t>سير البرجولة</t>
  </si>
  <si>
    <t>موتور كربيني 120</t>
  </si>
  <si>
    <t xml:space="preserve">ريموت كنترول </t>
  </si>
  <si>
    <t>طقم اكسسوار امامي بالغطاء الالومنيوم</t>
  </si>
  <si>
    <t>طقم اكسسوار خلفي</t>
  </si>
  <si>
    <t>جهاز كونترول للمواتير</t>
  </si>
  <si>
    <t>مفتاح تشغيل</t>
  </si>
  <si>
    <t>لمبات ليد بالغطاء و الدويل و وش ستانلس</t>
  </si>
  <si>
    <t>دهان ذهبي للالومنيوم</t>
  </si>
  <si>
    <t>دهان ساده للالومنيوم</t>
  </si>
  <si>
    <t>قماش اسباني</t>
  </si>
  <si>
    <t xml:space="preserve">hdpeقماش </t>
  </si>
  <si>
    <t>قماش بولي استر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</si>
  <si>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</si>
  <si>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</si>
  <si>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</si>
  <si>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</si>
  <si>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</si>
  <si>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شميز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</si>
  <si>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</si>
  <si>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</si>
  <si>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</si>
  <si>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</si>
  <si>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</si>
  <si>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</si>
  <si>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>موتور كربيني 50 بالريموت</t>
  </si>
  <si>
    <t xml:space="preserve">بيرجولا </t>
  </si>
  <si>
    <t xml:space="preserve">نزلة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</si>
  <si>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</si>
  <si>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</si>
  <si>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</si>
  <si>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</si>
  <si>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</si>
  <si>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</si>
  <si>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</si>
  <si>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</si>
  <si>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</si>
  <si>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</si>
  <si>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</si>
  <si>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</si>
  <si>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</si>
  <si>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</si>
  <si>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</si>
  <si>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</si>
  <si>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</si>
  <si>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</si>
  <si>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</si>
  <si>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</si>
  <si>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</si>
  <si>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</si>
  <si>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Προβολη</t>
  </si>
  <si>
    <t>Πλαστικο</t>
  </si>
  <si>
    <t>περγκολα Star οδηγος 160Χ85 - 120X70</t>
  </si>
  <si>
    <t xml:space="preserve">مدادات </t>
  </si>
  <si>
    <t xml:space="preserve">مدادات مع الأضائة </t>
  </si>
  <si>
    <t xml:space="preserve">مدادات باللمبات نتائج </t>
  </si>
  <si>
    <t xml:space="preserve">محور </t>
  </si>
  <si>
    <t>+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</si>
  <si>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</si>
  <si>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</si>
  <si>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</si>
  <si>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</si>
  <si>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</si>
  <si>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لون الألومنيوم </t>
  </si>
  <si>
    <t xml:space="preserve">لون البي في سي </t>
  </si>
  <si>
    <t xml:space="preserve">قواعد تثبيت </t>
  </si>
  <si>
    <t xml:space="preserve">عوارض تحميل </t>
  </si>
  <si>
    <t xml:space="preserve">صرف </t>
  </si>
  <si>
    <t xml:space="preserve">اضاءة </t>
  </si>
  <si>
    <t xml:space="preserve">بطانة </t>
  </si>
  <si>
    <t xml:space="preserve">ماتور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</si>
  <si>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</si>
  <si>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</si>
  <si>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</si>
  <si>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</si>
  <si>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</si>
  <si>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</si>
  <si>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</si>
  <si>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</si>
  <si>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مجري </t>
  </si>
  <si>
    <t xml:space="preserve">مداد </t>
  </si>
  <si>
    <t xml:space="preserve">مفصلات </t>
  </si>
  <si>
    <t xml:space="preserve">اعمدة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</si>
  <si>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</si>
  <si>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</si>
  <si>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</si>
  <si>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</si>
  <si>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</si>
  <si>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</si>
  <si>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</si>
  <si>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</si>
  <si>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</si>
  <si>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</si>
  <si>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</si>
  <si>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</si>
  <si>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</si>
  <si>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</si>
  <si>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</si>
  <si>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</si>
  <si>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</si>
  <si>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</si>
  <si>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</si>
  <si>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</si>
  <si>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</si>
  <si>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</si>
  <si>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</si>
  <si>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</si>
  <si>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</si>
  <si>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</si>
  <si>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</si>
  <si>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</si>
  <si>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Αξονας</t>
  </si>
  <si>
    <t>Star</t>
  </si>
  <si>
    <t>Αντιβαρα Για περγκολες Star - Magna</t>
  </si>
  <si>
    <t>Αντίβαρα για Πέργκολα Top Star</t>
  </si>
  <si>
    <t>Πάνελς για Persa</t>
  </si>
  <si>
    <t>Προβολή</t>
  </si>
  <si>
    <t>Αντίβαρα</t>
  </si>
  <si>
    <t>Πάνελς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</si>
  <si>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</si>
  <si>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</si>
  <si>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</si>
  <si>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</si>
  <si>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</si>
  <si>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</si>
  <si>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</si>
  <si>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</si>
  <si>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</si>
  <si>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Royal pergola 2 </t>
  </si>
  <si>
    <t>سعر طن الالومنيوم بالدهان</t>
  </si>
  <si>
    <t>سعر اليورو</t>
  </si>
  <si>
    <t xml:space="preserve">اسم العميل </t>
  </si>
  <si>
    <t xml:space="preserve">التاريخ </t>
  </si>
  <si>
    <t>سعر طن الالومنيوم</t>
  </si>
  <si>
    <t>EVO</t>
  </si>
  <si>
    <t xml:space="preserve">مقاسات 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</si>
  <si>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</si>
  <si>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</si>
  <si>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</si>
  <si>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</si>
  <si>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</si>
  <si>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</si>
  <si>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</si>
  <si>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عدد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</si>
  <si>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</si>
  <si>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</si>
  <si>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</si>
  <si>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</si>
  <si>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</si>
  <si>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>وزن المتر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</si>
  <si>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</si>
  <si>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</si>
  <si>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</si>
  <si>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 صغير                A-Ω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</si>
  <si>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</si>
  <si>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</si>
  <si>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</si>
  <si>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</si>
  <si>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</si>
  <si>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</si>
  <si>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</si>
  <si>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</si>
  <si>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</si>
  <si>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</si>
  <si>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</si>
  <si>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</si>
  <si>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</si>
  <si>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</si>
  <si>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</si>
  <si>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</si>
  <si>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</si>
  <si>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</si>
  <si>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</si>
  <si>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</si>
  <si>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</si>
  <si>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</si>
  <si>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</si>
  <si>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</si>
  <si>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طبة بلاستيك مدور للمداد الصغير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</si>
  <si>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</si>
  <si>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</si>
  <si>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</si>
  <si>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</si>
  <si>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</si>
  <si>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</si>
  <si>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</si>
  <si>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 xml:space="preserve">وصلة مداد كبير 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</si>
  <si>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</si>
  <si>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</si>
  <si>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</si>
  <si>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</si>
  <si>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مانع المياه للبروفيل</t>
  </si>
  <si>
    <t xml:space="preserve">ملاحظات </t>
  </si>
  <si>
    <t xml:space="preserve">PERGOLA  PERCO II</t>
  </si>
  <si>
    <t xml:space="preserve">برجولا </t>
  </si>
  <si>
    <t xml:space="preserve">غطاء  امامي للمجري </t>
  </si>
  <si>
    <t xml:space="preserve">اسود غير لامع مات </t>
  </si>
  <si>
    <t xml:space="preserve">ثلاث ابعاد رمادي </t>
  </si>
  <si>
    <t xml:space="preserve">امتداد </t>
  </si>
  <si>
    <t xml:space="preserve">ارتفاع </t>
  </si>
  <si>
    <t>4Χ220- 1Χ250</t>
  </si>
  <si>
    <t xml:space="preserve">اضواء </t>
  </si>
  <si>
    <t xml:space="preserve">كنترول تحكم </t>
  </si>
  <si>
    <t xml:space="preserve">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</si>
  <si>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</si>
  <si>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</si>
  <si>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</si>
  <si>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</si>
  <si>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</si>
  <si>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</si>
  <si>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</si>
  <si>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</si>
  <si>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</si>
  <si>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</si>
  <si>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>حساب تكلفة سعر البرجولة wavy بمساحة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</si>
  <si>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</si>
  <si>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</si>
  <si>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</si>
  <si>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</si>
  <si>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</si>
  <si>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</si>
  <si>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</si>
  <si>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</si>
  <si>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</si>
  <si>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</si>
  <si>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</si>
  <si>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</si>
  <si>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</si>
  <si>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</si>
  <si>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</si>
  <si>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</si>
  <si>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</si>
  <si>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</si>
  <si>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</si>
  <si>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</si>
  <si>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</si>
  <si>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</si>
  <si>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</si>
  <si>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</si>
  <si>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</si>
  <si>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</si>
  <si>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</si>
  <si>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</si>
  <si>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</si>
  <si>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</si>
  <si>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</si>
  <si>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</si>
  <si>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</si>
  <si>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</si>
  <si>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ميزان</t>
  </si>
  <si>
    <t>عدد/الشمسية</t>
  </si>
  <si>
    <t>سعر الوحدة</t>
  </si>
  <si>
    <t>قيمة</t>
  </si>
  <si>
    <t>البيان</t>
  </si>
  <si>
    <t>الناتج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</si>
  <si>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</si>
  <si>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</si>
  <si>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</si>
  <si>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</si>
  <si>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</si>
  <si>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</si>
  <si>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</si>
  <si>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</si>
  <si>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</si>
  <si>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</si>
  <si>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</si>
  <si>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</si>
  <si>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</si>
  <si>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</si>
  <si>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مربعة</t>
  </si>
  <si>
    <t>البكره</t>
  </si>
  <si>
    <t>سعر القماش</t>
  </si>
  <si>
    <t>لسان مشرشر</t>
  </si>
  <si>
    <t>قفيز البكره</t>
  </si>
  <si>
    <t>كمية القماش</t>
  </si>
  <si>
    <t>جلب</t>
  </si>
  <si>
    <t>الحبل</t>
  </si>
  <si>
    <t>تكلفة القماش</t>
  </si>
  <si>
    <t>طبات</t>
  </si>
  <si>
    <t>قطاع استانلس الريشة</t>
  </si>
  <si>
    <t>المصنعيات و اكسسوار و قاعدة</t>
  </si>
  <si>
    <t>ذهبي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</si>
  <si>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</si>
  <si>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</si>
  <si>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</si>
  <si>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</si>
  <si>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</si>
  <si>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</si>
  <si>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</si>
  <si>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</si>
  <si>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سعر البيع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</si>
  <si>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</si>
  <si>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</si>
  <si>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</si>
  <si>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</si>
  <si>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</si>
  <si>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</si>
  <si>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مدور 2.5</t>
  </si>
  <si>
    <t>v</t>
  </si>
  <si>
    <t>جملة</t>
  </si>
  <si>
    <t>مدور 2.7</t>
  </si>
  <si>
    <t>مدور 3</t>
  </si>
  <si>
    <t>single مطرز</t>
  </si>
  <si>
    <t>مدور 3.5</t>
  </si>
  <si>
    <t>مربع 2.5</t>
  </si>
  <si>
    <t>مربع 3</t>
  </si>
  <si>
    <t>مربع 3.3</t>
  </si>
  <si>
    <t>سعر</t>
  </si>
  <si>
    <t>Column6</t>
  </si>
  <si>
    <t>مواسير قطر 16 سمك 4مم طول 5متر</t>
  </si>
  <si>
    <t>مواسير قطر 16 سمك 4مم طول 4متر</t>
  </si>
  <si>
    <t>علبة 5*10 2 مم</t>
  </si>
  <si>
    <t>الايام</t>
  </si>
  <si>
    <t>مواسير 48 مجلفنة 2 مم</t>
  </si>
  <si>
    <t>مواسير 48 مجلفنة 3 مم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</si>
  <si>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</si>
  <si>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</si>
  <si>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</si>
  <si>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</si>
  <si>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</si>
  <si>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</si>
  <si>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</si>
  <si>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</si>
  <si>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</si>
  <si>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</si>
  <si>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</si>
  <si>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48 مجلفنة 3مم</t>
  </si>
  <si>
    <t>بيرسا</t>
  </si>
  <si>
    <t>حساب تكلفة سعر لوفرز متحركة بمساحة</t>
  </si>
  <si>
    <t>طول</t>
  </si>
  <si>
    <t>wt/m</t>
  </si>
  <si>
    <t>price</t>
  </si>
  <si>
    <t>القطاع</t>
  </si>
  <si>
    <t>العدد المطلوب</t>
  </si>
  <si>
    <t>ريشة</t>
  </si>
  <si>
    <t>متر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</si>
  <si>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</si>
  <si>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</si>
  <si>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</si>
  <si>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</si>
  <si>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</si>
  <si>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</si>
  <si>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</si>
  <si>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</si>
  <si>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</si>
  <si>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</si>
  <si>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</si>
  <si>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</si>
  <si>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3سم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</si>
  <si>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</si>
  <si>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</si>
  <si>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</si>
  <si>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</si>
  <si>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</si>
  <si>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</si>
  <si>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</si>
  <si>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>زاوية كورنر كبيره</t>
  </si>
  <si>
    <t>مسطرة طقم التثبيت</t>
  </si>
  <si>
    <t>كاوتش مانع المطر</t>
  </si>
  <si>
    <t>كاوتش 3خط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</si>
  <si>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</si>
  <si>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</si>
  <si>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</si>
  <si>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</si>
  <si>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</si>
  <si>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</si>
  <si>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Royal pergola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</si>
</sst>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_(* #,##0.00_);_(* \(#,##0.00\);_(* &quot;-&quot;??_);_(@_)"/>
    <numFmt numFmtId="165" formatCode="_(* #,##0_);_(* \(#,##0\);_(* &quot;-&quot;??_);_(@_)"/>
    <numFmt numFmtId="166" formatCode="0.0"/>
    <numFmt numFmtId="167" formatCode="0.0000"/>
    <numFmt numFmtId="168" formatCode="dd\ mmm\ yyyy"/>
    <numFmt numFmtId="169" formatCode="#,##0.0"/>
    <numFmt numFmtId="170" formatCode="[$-F800]dddd\,\ mmmm\ dd\,\ yyyy"/>
    <numFmt numFmtId="171" formatCode="0.0%"/>
    <numFmt numFmtId="172" formatCode="0.000"/>
  </numFmts>
  <fonts count="108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150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</font>
  </fonts>
  <fills count="2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7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5">
    <xf numFmtId="0" fontId="0" fillId="0" borderId="0" applyProtection="1"/>
    <xf numFmtId="164" applyNumberFormat="1" fontId="95" applyFont="1" fillId="0" borderId="0" applyProtection="1"/>
    <xf numFmtId="0" fontId="94" applyFont="1" fillId="0" borderId="0" applyProtection="1"/>
    <xf numFmtId="0" fontId="3" applyFont="1" fillId="0" borderId="0" applyProtection="1"/>
    <xf numFmtId="9" applyNumberFormat="1" fontId="95" applyFont="1" fillId="0" borderId="0" applyProtection="1"/>
  </cellStyleXfs>
  <cellXfs count="791">
    <xf numFmtId="0" fontId="0" fillId="0" borderId="0" xfId="0" applyProtection="1"/>
    <xf numFmtId="0" fontId="3" applyFont="1" fillId="0" borderId="0" xfId="3" applyProtection="1" applyAlignment="1">
      <alignment horizontal="center"/>
    </xf>
    <xf numFmtId="0" fontId="3" applyFont="1" fillId="0" borderId="1" applyBorder="1" xfId="3" applyProtection="1" applyAlignment="1">
      <alignment horizontal="center"/>
    </xf>
    <xf numFmtId="0" fontId="3" applyFont="1" fillId="0" borderId="2" applyBorder="1" xfId="3" applyProtection="1" applyAlignment="1">
      <alignment horizontal="center"/>
    </xf>
    <xf numFmtId="0" fontId="3" applyFont="1" fillId="0" borderId="3" applyBorder="1" xfId="3" applyProtection="1" applyAlignment="1">
      <alignment horizontal="center"/>
    </xf>
    <xf numFmtId="0" fontId="3" applyFont="1" fillId="0" borderId="4" applyBorder="1" xfId="3" applyProtection="1" applyAlignment="1">
      <alignment horizontal="center"/>
    </xf>
    <xf numFmtId="0" fontId="3" applyFont="1" fillId="0" borderId="5" applyBorder="1" xfId="3" applyProtection="1" applyAlignment="1">
      <alignment horizontal="center"/>
    </xf>
    <xf numFmtId="0" fontId="3" applyFont="1" fillId="0" borderId="6" applyBorder="1" xfId="3" applyProtection="1" applyAlignment="1">
      <alignment horizontal="center"/>
    </xf>
    <xf numFmtId="0" fontId="3" applyFont="1" fillId="0" borderId="7" applyBorder="1" xfId="3" applyProtection="1" applyAlignment="1">
      <alignment horizontal="center"/>
    </xf>
    <xf numFmtId="0" fontId="3" applyFont="1" fillId="0" borderId="8" applyBorder="1" xfId="3" applyProtection="1" applyAlignment="1">
      <alignment horizontal="center"/>
    </xf>
    <xf numFmtId="0" fontId="3" applyFont="1" fillId="0" borderId="0" xfId="3" applyProtection="1"/>
    <xf numFmtId="0" fontId="3" applyFont="1" fillId="0" borderId="0" xfId="3" applyProtection="1" applyAlignment="1">
      <alignment horizontal="left"/>
    </xf>
    <xf numFmtId="0" fontId="3" applyFont="1" fillId="0" borderId="9" applyBorder="1" xfId="3" applyProtection="1" applyAlignment="1">
      <alignment horizontal="center"/>
    </xf>
    <xf numFmtId="0" fontId="3" applyFont="1" fillId="0" borderId="10" applyBorder="1" xfId="3" applyProtection="1" applyAlignment="1">
      <alignment horizontal="center"/>
    </xf>
    <xf numFmtId="0" fontId="3" applyFont="1" fillId="0" borderId="11" applyBorder="1" xfId="3" applyProtection="1" applyAlignment="1">
      <alignment horizontal="center"/>
    </xf>
    <xf numFmtId="0" fontId="3" applyFont="1" fillId="0" borderId="0" xfId="3" applyProtection="1" applyAlignment="1">
      <alignment horizontal="center"/>
      <protection locked="0"/>
    </xf>
    <xf numFmtId="0" fontId="3" applyFont="1" fillId="0" borderId="5" applyBorder="1" xfId="3" applyProtection="1" applyAlignment="1">
      <alignment horizontal="center"/>
      <protection locked="0"/>
    </xf>
    <xf numFmtId="0" fontId="3" applyFont="1" fillId="0" borderId="2" applyBorder="1" xfId="3" applyProtection="1"/>
    <xf numFmtId="0" fontId="3" applyFont="1" fillId="0" borderId="7" applyBorder="1" xfId="3" applyProtection="1"/>
    <xf numFmtId="0" fontId="3" applyFont="1" fillId="0" borderId="5" applyBorder="1" xfId="3" applyProtection="1"/>
    <xf numFmtId="0" fontId="3" applyFont="1" fillId="0" borderId="12" applyBorder="1" xfId="3" applyProtection="1" applyAlignment="1">
      <alignment horizontal="center"/>
    </xf>
    <xf numFmtId="0" fontId="3" applyFont="1" fillId="0" borderId="13" applyBorder="1" xfId="3" applyProtection="1" applyAlignment="1">
      <alignment horizontal="center"/>
    </xf>
    <xf numFmtId="0" fontId="3" applyFont="1" fillId="0" borderId="14" applyBorder="1" xfId="3" applyProtection="1" applyAlignment="1">
      <alignment horizontal="center"/>
    </xf>
    <xf numFmtId="0" fontId="3" applyFont="1" fillId="2" applyFill="1" borderId="15" applyBorder="1" xfId="3" applyProtection="1" applyAlignment="1">
      <alignment horizontal="center"/>
    </xf>
    <xf numFmtId="0" fontId="3" applyFont="1" fillId="2" applyFill="1" borderId="16" applyBorder="1" xfId="3" applyProtection="1" applyAlignment="1">
      <alignment horizontal="center"/>
    </xf>
    <xf numFmtId="0" fontId="3" applyFont="1" fillId="3" applyFill="1" borderId="6" applyBorder="1" xfId="3" applyProtection="1" applyAlignment="1">
      <alignment horizontal="center"/>
    </xf>
    <xf numFmtId="0" fontId="3" applyFont="1" fillId="2" applyFill="1" borderId="17" applyBorder="1" xfId="3" applyProtection="1" applyAlignment="1">
      <alignment horizontal="center"/>
    </xf>
    <xf numFmtId="0" fontId="3" applyFont="1" fillId="2" applyFill="1" borderId="9" applyBorder="1" xfId="3" applyProtection="1" applyAlignment="1">
      <alignment horizontal="center"/>
    </xf>
    <xf numFmtId="0" fontId="3" applyFont="1" fillId="3" applyFill="1" borderId="12" applyBorder="1" xfId="3" applyProtection="1" applyAlignment="1">
      <alignment horizontal="center"/>
    </xf>
    <xf numFmtId="0" fontId="3" applyFont="1" fillId="2" applyFill="1" borderId="18" applyBorder="1" xfId="3" applyProtection="1" applyAlignment="1">
      <alignment horizontal="center"/>
    </xf>
    <xf numFmtId="0" fontId="3" applyFont="1" fillId="2" applyFill="1" borderId="19" applyBorder="1" xfId="3" applyProtection="1" applyAlignment="1">
      <alignment horizontal="center"/>
    </xf>
    <xf numFmtId="0" fontId="3" applyFont="1" fillId="3" applyFill="1" borderId="14" applyBorder="1" xfId="3" applyProtection="1" applyAlignment="1">
      <alignment horizontal="center"/>
    </xf>
    <xf numFmtId="0" fontId="3" applyFont="1" fillId="3" applyFill="1" borderId="8" applyBorder="1" xfId="3" applyProtection="1" applyAlignment="1">
      <alignment horizontal="center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0" fontId="3" applyFont="1" fillId="0" borderId="24" applyBorder="1" xfId="3" applyProtection="1">
      <protection locked="0"/>
    </xf>
    <xf numFmtId="0" fontId="3" applyFont="1" fillId="5" applyFill="1" borderId="0" xfId="3" applyProtection="1">
      <protection locked="0"/>
    </xf>
    <xf numFmtId="0" fontId="4" applyFont="1" fillId="0" borderId="0" xfId="3" applyProtection="1" applyAlignment="1">
      <alignment horizontal="center"/>
      <protection locked="0"/>
    </xf>
    <xf numFmtId="16" applyNumberFormat="1" fontId="3" applyFont="1" fillId="0" borderId="0" xfId="3" applyProtection="1">
      <protection locked="0"/>
    </xf>
    <xf numFmtId="0" fontId="4" applyFont="1" fillId="0" borderId="23" applyBorder="1" xfId="3" applyProtection="1">
      <protection locked="0"/>
    </xf>
    <xf numFmtId="0" fontId="4" applyFont="1" fillId="0" borderId="0" xfId="3" applyProtection="1">
      <protection locked="0"/>
    </xf>
    <xf numFmtId="1" applyNumberFormat="1" fontId="3" applyFont="1" fillId="0" borderId="0" xfId="3" applyProtection="1">
      <protection locked="0"/>
    </xf>
    <xf numFmtId="0" fontId="5" applyFont="1" fillId="0" borderId="24" applyBorder="1" xfId="3" applyProtection="1">
      <protection locked="0"/>
    </xf>
    <xf numFmtId="1" applyNumberFormat="1" fontId="4" applyFont="1" fillId="0" borderId="0" xfId="3" applyProtection="1">
      <protection locked="0"/>
    </xf>
    <xf numFmtId="0" fontId="3" applyFont="1" fillId="0" borderId="25" applyBorder="1" xfId="3" applyProtection="1">
      <protection locked="0"/>
    </xf>
    <xf numFmtId="1" applyNumberFormat="1" fontId="4" applyFont="1" fillId="0" borderId="26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0" fontId="3" applyFont="1" fillId="0" borderId="26" applyBorder="1" xfId="3" applyProtection="1">
      <protection locked="0"/>
    </xf>
    <xf numFmtId="0" fontId="3" applyFont="1" fillId="0" borderId="27" applyBorder="1" xfId="3" applyProtection="1">
      <protection locked="0"/>
    </xf>
    <xf numFmtId="0" fontId="3" applyFont="1" fillId="0" borderId="3" applyBorder="1" xfId="3" applyProtection="1"/>
    <xf numFmtId="0" fontId="3" applyFont="1" fillId="0" borderId="13" applyBorder="1" xfId="3" applyProtection="1"/>
    <xf numFmtId="0" fontId="3" applyFont="1" fillId="0" borderId="4" applyBorder="1" xfId="3" applyProtection="1"/>
    <xf numFmtId="0" fontId="3" applyFont="1" fillId="0" borderId="8" applyBorder="1" xfId="3" applyProtection="1"/>
    <xf numFmtId="0" fontId="3" applyFont="1" fillId="0" borderId="14" applyBorder="1" xfId="3" applyProtection="1"/>
    <xf numFmtId="16" applyNumberFormat="1" fontId="3" applyFont="1" fillId="0" borderId="0" xfId="3" applyProtection="1" applyAlignment="1">
      <alignment horizontal="center"/>
      <protection locked="0"/>
    </xf>
    <xf numFmtId="1" applyNumberFormat="1" fontId="3" applyFont="1" fillId="0" borderId="0" xfId="3" applyProtection="1" applyAlignment="1">
      <alignment horizontal="center"/>
      <protection locked="0"/>
    </xf>
    <xf numFmtId="0" fontId="3" applyFont="1" fillId="0" borderId="26" applyBorder="1" xfId="3" applyProtection="1" applyAlignment="1">
      <alignment horizontal="center"/>
      <protection locked="0"/>
    </xf>
    <xf numFmtId="0" fontId="3" applyFont="1" fillId="5" applyFill="1" borderId="26" applyBorder="1" xfId="3" applyProtection="1">
      <protection locked="0"/>
    </xf>
    <xf numFmtId="0" fontId="6" applyFont="1" fillId="0" borderId="0" xfId="3" applyProtection="1"/>
    <xf numFmtId="0" fontId="3" applyFont="1" fillId="0" borderId="0" xfId="3" applyProtection="1" applyAlignment="1">
      <alignment vertical="center"/>
    </xf>
    <xf numFmtId="0" fontId="7" applyFont="1" fillId="0" borderId="28" applyBorder="1" xfId="3" applyProtection="1" applyAlignment="1">
      <alignment horizontal="center" vertical="center"/>
    </xf>
    <xf numFmtId="167" applyNumberFormat="1" fontId="7" applyFont="1" fillId="0" borderId="28" applyBorder="1" xfId="3" applyProtection="1" applyAlignment="1">
      <alignment horizontal="center" vertical="center"/>
    </xf>
    <xf numFmtId="0" fontId="7" applyFont="1" fillId="0" borderId="0" xfId="3" applyProtection="1" applyAlignment="1">
      <alignment horizontal="center" vertical="center"/>
    </xf>
    <xf numFmtId="2" applyNumberFormat="1" fontId="10" applyFont="1" fillId="0" borderId="0" xfId="3" applyProtection="1" applyAlignment="1">
      <alignment horizontal="center" vertical="center" shrinkToFit="1"/>
    </xf>
    <xf numFmtId="0" fontId="11" applyFont="1" fillId="6" applyFill="1" borderId="28" applyBorder="1" xfId="3" applyProtection="1" applyAlignment="1">
      <alignment horizontal="center" vertical="center" shrinkToFit="1"/>
    </xf>
    <xf numFmtId="0" fontId="15" applyFont="1" fillId="0" borderId="0" xfId="3" applyProtection="1" applyAlignment="1">
      <alignment horizontal="left" vertical="center" shrinkToFit="1"/>
    </xf>
    <xf numFmtId="0" fontId="11" applyFont="1" fillId="0" borderId="0" xfId="3" applyProtection="1" applyAlignment="1">
      <alignment horizontal="center" vertical="center" shrinkToFit="1"/>
    </xf>
    <xf numFmtId="0" fontId="17" applyFont="1" fillId="0" borderId="17" applyBorder="1" xfId="3" applyProtection="1" applyAlignment="1">
      <alignment horizontal="center"/>
    </xf>
    <xf numFmtId="0" fontId="18" applyFont="1" fillId="0" borderId="0" xfId="3" applyProtection="1" applyAlignment="1">
      <alignment horizontal="center"/>
    </xf>
    <xf numFmtId="0" fontId="17" applyFont="1" fillId="0" borderId="14" applyBorder="1" xfId="3" applyProtection="1" applyAlignment="1">
      <alignment vertical="center" shrinkToFit="1"/>
    </xf>
    <xf numFmtId="0" fontId="17" applyFont="1" fillId="0" borderId="14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 shrinkToFit="1"/>
    </xf>
    <xf numFmtId="0" fontId="17" applyFont="1" fillId="0" borderId="28" applyBorder="1" xfId="3" applyProtection="1" applyAlignment="1">
      <alignment vertical="center" shrinkToFit="1"/>
    </xf>
    <xf numFmtId="0" fontId="17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horizontal="center" vertical="center" shrinkToFit="1"/>
    </xf>
    <xf numFmtId="0" fontId="19" applyFont="1" fillId="0" borderId="0" xfId="3" applyProtection="1"/>
    <xf numFmtId="0" fontId="17" applyFont="1" fillId="0" borderId="0" xfId="3" applyProtection="1" applyAlignment="1">
      <alignment horizontal="center"/>
    </xf>
    <xf numFmtId="0" fontId="17" applyFont="1" fillId="0" borderId="10" applyBorder="1" xfId="3" applyProtection="1" applyAlignment="1">
      <alignment horizontal="center"/>
    </xf>
    <xf numFmtId="0" fontId="3" applyFont="1" fillId="0" borderId="10" applyBorder="1" xfId="3" applyProtection="1"/>
    <xf numFmtId="0" fontId="18" applyFont="1" fillId="0" borderId="10" applyBorder="1" xfId="3" applyProtection="1" applyAlignment="1">
      <alignment horizontal="center"/>
    </xf>
    <xf numFmtId="0" fontId="19" applyFont="1" fillId="0" borderId="10" applyBorder="1" xfId="3" applyProtection="1"/>
    <xf numFmtId="0" fontId="18" applyFont="1" fillId="0" borderId="0" xfId="3" applyProtection="1"/>
    <xf numFmtId="0" fontId="22" applyFont="1" fillId="0" borderId="4" applyBorder="1" xfId="3" applyProtection="1" applyAlignment="1">
      <alignment vertical="center" wrapText="1"/>
    </xf>
    <xf numFmtId="0" fontId="22" applyFont="1" fillId="0" borderId="5" applyBorder="1" xfId="3" applyProtection="1" applyAlignment="1">
      <alignment vertical="center" wrapText="1"/>
    </xf>
    <xf numFmtId="0" fontId="22" applyFont="1" fillId="0" borderId="8" applyBorder="1" xfId="3" applyProtection="1" applyAlignment="1">
      <alignment vertical="center" wrapText="1"/>
    </xf>
    <xf numFmtId="0" fontId="3" applyFont="1" fillId="0" borderId="9" applyBorder="1" xfId="3" applyProtection="1"/>
    <xf numFmtId="0" fontId="3" applyFont="1" fillId="0" borderId="1" applyBorder="1" xfId="3" applyProtection="1"/>
    <xf numFmtId="0" fontId="8" applyFont="1" fillId="0" borderId="0" xfId="3" applyProtection="1" applyAlignment="1">
      <alignment horizontal="center"/>
    </xf>
    <xf numFmtId="0" fontId="23" applyFont="1" fillId="0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horizontal="center" vertical="center" wrapText="1"/>
    </xf>
    <xf numFmtId="0" fontId="7" applyFont="1" fillId="0" borderId="28" applyBorder="1" xfId="3" applyProtection="1" applyAlignment="1">
      <alignment horizontal="center" vertical="center" wrapText="1"/>
    </xf>
    <xf numFmtId="168" applyNumberFormat="1" fontId="3" applyFont="1" fillId="0" borderId="0" xfId="3" applyProtection="1" applyAlignment="1">
      <alignment horizontal="center" vertical="center" wrapText="1"/>
    </xf>
    <xf numFmtId="168" applyNumberFormat="1" fontId="7" applyFont="1" fillId="0" borderId="28" applyBorder="1" xfId="3" applyProtection="1" applyAlignment="1">
      <alignment horizontal="center" vertical="center" wrapText="1"/>
    </xf>
    <xf numFmtId="168" applyNumberFormat="1" fontId="3" applyFont="1" fillId="0" borderId="0" xfId="3" applyProtection="1" applyAlignment="1">
      <alignment vertical="center" wrapText="1"/>
    </xf>
    <xf numFmtId="0" fontId="24" applyFont="1" fillId="0" borderId="5" applyBorder="1" xfId="3" applyProtection="1" applyAlignment="1">
      <alignment horizontal="center"/>
    </xf>
    <xf numFmtId="3" applyNumberFormat="1" fontId="11" applyFont="1" fillId="0" borderId="5" applyBorder="1" xfId="3" applyProtection="1" applyAlignment="1">
      <alignment vertical="center"/>
    </xf>
    <xf numFmtId="0" fontId="11" applyFont="1" fillId="0" borderId="29" applyBorder="1" xfId="3" applyProtection="1" applyAlignment="1">
      <alignment vertical="center"/>
    </xf>
    <xf numFmtId="0" fontId="11" applyFont="1" fillId="0" borderId="28" applyBorder="1" xfId="3" applyProtection="1" applyAlignment="1">
      <alignment horizontal="center" vertical="center"/>
    </xf>
    <xf numFmtId="0" fontId="15" applyFont="1" fillId="0" borderId="10" applyBorder="1" xfId="3" applyProtection="1" applyAlignment="1">
      <alignment vertical="center"/>
    </xf>
    <xf numFmtId="4" applyNumberFormat="1" fontId="15" applyFont="1" fillId="4" applyFill="1" borderId="29" applyBorder="1" xfId="3" applyProtection="1" applyAlignment="1">
      <alignment vertical="center"/>
    </xf>
    <xf numFmtId="0" fontId="25" applyFont="1" fillId="2" applyFill="1" borderId="10" applyBorder="1" xfId="3" applyProtection="1" applyAlignment="1">
      <alignment horizontal="center"/>
    </xf>
    <xf numFmtId="0" fontId="15" applyFont="1" fillId="2" applyFill="1" borderId="11" applyBorder="1" xfId="3" applyProtection="1" applyAlignment="1">
      <alignment vertical="center"/>
    </xf>
    <xf numFmtId="4" applyNumberFormat="1" fontId="26" applyFont="1" fillId="7" applyFill="1" borderId="0" xfId="3" applyProtection="1" applyAlignment="1">
      <alignment vertical="center"/>
    </xf>
    <xf numFmtId="0" fontId="7" applyFont="1" fillId="2" applyFill="1" borderId="28" applyBorder="1" xfId="3" applyProtection="1" applyAlignment="1">
      <alignment horizontal="center" vertical="center"/>
    </xf>
    <xf numFmtId="0" fontId="4" applyFont="1" fillId="0" borderId="0" xfId="3" applyProtection="1" applyAlignment="1">
      <alignment vertical="center" shrinkToFit="1"/>
    </xf>
    <xf numFmtId="0" fontId="22" applyFont="1" fillId="0" borderId="0" xfId="3" applyProtection="1" applyAlignment="1">
      <alignment horizontal="center"/>
    </xf>
    <xf numFmtId="0" fontId="3" applyFont="1" fillId="0" borderId="0" xfId="3" applyProtection="1" applyAlignment="1">
      <alignment vertical="center" shrinkToFit="1"/>
    </xf>
    <xf numFmtId="0" fontId="11" applyFont="1" fillId="2" applyFill="1" borderId="28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 shrinkToFit="1"/>
    </xf>
    <xf numFmtId="0" fontId="22" applyFont="1" fillId="0" borderId="14" applyBorder="1" xfId="3" applyProtection="1" applyAlignment="1">
      <alignment horizontal="center" vertical="center" shrinkToFit="1"/>
    </xf>
    <xf numFmtId="0" fontId="27" applyFont="1" fillId="0" borderId="14" applyBorder="1" xfId="3" applyProtection="1" applyAlignment="1">
      <alignment horizontal="center" vertical="center" shrinkToFit="1"/>
    </xf>
    <xf numFmtId="0" fontId="22" applyFont="1" fillId="0" borderId="0" xfId="3" applyProtection="1" applyAlignment="1">
      <alignment horizontal="center" vertical="center" shrinkToFit="1"/>
    </xf>
    <xf numFmtId="0" fontId="22" applyFont="1" fillId="0" borderId="28" applyBorder="1" xfId="3" applyProtection="1" applyAlignment="1">
      <alignment horizontal="center" vertical="center" shrinkToFit="1"/>
    </xf>
    <xf numFmtId="166" applyNumberFormat="1" fontId="28" applyFont="1" fillId="0" borderId="0" xfId="3" applyProtection="1" applyAlignment="1">
      <alignment horizontal="center" vertical="center" shrinkToFit="1"/>
    </xf>
    <xf numFmtId="0" fontId="12" applyFont="1" fillId="0" borderId="34" applyBorder="1" xfId="3" applyProtection="1" applyAlignment="1">
      <alignment horizontal="center" vertical="center" shrinkToFit="1"/>
    </xf>
    <xf numFmtId="0" fontId="12" applyFont="1" fillId="0" borderId="0" xfId="3" applyProtection="1" applyAlignment="1">
      <alignment horizontal="center" vertical="center" shrinkToFit="1"/>
    </xf>
    <xf numFmtId="166" applyNumberFormat="1" fontId="22" applyFont="1" fillId="0" borderId="0" xfId="3" applyProtection="1" applyAlignment="1">
      <alignment horizontal="center" vertical="center" shrinkToFit="1"/>
    </xf>
    <xf numFmtId="0" fontId="22" applyFont="1" fillId="0" borderId="0" xfId="3" applyProtection="1" applyAlignment="1">
      <alignment vertical="center" shrinkToFit="1"/>
    </xf>
    <xf numFmtId="0" fontId="11" applyFont="1" fillId="0" borderId="28" applyBorder="1" xfId="3" applyProtection="1" applyAlignment="1">
      <alignment horizontal="center" vertical="center" shrinkToFit="1"/>
    </xf>
    <xf numFmtId="0" fontId="18" applyFont="1" fillId="0" borderId="0" xfId="3" applyProtection="1" applyAlignment="1">
      <alignment vertical="center"/>
    </xf>
    <xf numFmtId="0" fontId="29" applyFont="1" fillId="6" applyFill="1" borderId="28" applyBorder="1" xfId="3" applyProtection="1" applyAlignment="1">
      <alignment horizontal="center" vertical="center"/>
    </xf>
    <xf numFmtId="0" fontId="29" applyFont="1" fillId="0" borderId="28" applyBorder="1" xfId="3" applyProtection="1" applyAlignment="1">
      <alignment horizontal="center" vertical="center"/>
    </xf>
    <xf numFmtId="0" fontId="17" applyFont="1" fillId="2" applyFill="1" borderId="28" applyBorder="1" xfId="3" applyProtection="1" applyAlignment="1">
      <alignment horizontal="center" vertical="center" shrinkToFit="1"/>
    </xf>
    <xf numFmtId="0" fontId="18" applyFont="1" fillId="0" borderId="10" applyBorder="1" xfId="3" applyProtection="1"/>
    <xf numFmtId="0" fontId="29" applyFont="1" fillId="0" borderId="10" applyBorder="1" xfId="3" applyProtection="1" applyAlignment="1">
      <alignment vertical="center" shrinkToFit="1"/>
    </xf>
    <xf numFmtId="0" fontId="29" applyFont="1" fillId="0" borderId="11" applyBorder="1" xfId="3" applyProtection="1" applyAlignment="1">
      <alignment vertical="center" shrinkToFit="1"/>
    </xf>
    <xf numFmtId="0" fontId="29" applyFont="1" fillId="0" borderId="0" xfId="3" applyProtection="1" applyAlignment="1">
      <alignment vertical="center" shrinkToFit="1"/>
    </xf>
    <xf numFmtId="0" fontId="29" applyFont="1" fillId="0" borderId="28" applyBorder="1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vertical="center" shrinkToFit="1"/>
    </xf>
    <xf numFmtId="0" fontId="32" applyFont="1" fillId="0" borderId="28" applyBorder="1" xfId="3" applyProtection="1" applyAlignment="1">
      <alignment horizontal="center" vertical="center" shrinkToFit="1"/>
    </xf>
    <xf numFmtId="0" fontId="32" applyFont="1" fillId="0" borderId="0" xfId="3" applyProtection="1" applyAlignment="1">
      <alignment horizontal="center" shrinkToFit="1"/>
    </xf>
    <xf numFmtId="0" fontId="3" applyFont="1" fillId="0" borderId="11" applyBorder="1" xfId="3" applyProtection="1" applyAlignment="1">
      <alignment vertical="center"/>
    </xf>
    <xf numFmtId="0" fontId="3" applyFont="1" fillId="0" borderId="6" applyBorder="1" xfId="3" applyProtection="1" applyAlignment="1">
      <alignment vertical="center"/>
    </xf>
    <xf numFmtId="0" fontId="3" applyFont="1" fillId="0" borderId="7" applyBorder="1" xfId="3" applyProtection="1" applyAlignment="1">
      <alignment vertical="center"/>
    </xf>
    <xf numFmtId="0" fontId="3" applyFont="1" fillId="0" borderId="8" applyBorder="1" xfId="3" applyProtection="1" applyAlignment="1">
      <alignment vertical="center"/>
    </xf>
    <xf numFmtId="4" applyNumberFormat="1" fontId="7" applyFont="1" fillId="0" borderId="28" applyBorder="1" xfId="3" applyProtection="1" applyAlignment="1">
      <alignment horizontal="center" vertical="center"/>
    </xf>
    <xf numFmtId="0" fontId="15" applyFont="1" fillId="2" applyFill="1" borderId="28" applyBorder="1" xfId="3" applyProtection="1" applyAlignment="1">
      <alignment horizontal="center" vertical="center"/>
    </xf>
    <xf numFmtId="0" fontId="7" applyFont="1" fillId="4" applyFill="1" borderId="28" applyBorder="1" xfId="3" applyProtection="1" applyAlignment="1">
      <alignment horizontal="center" vertical="center"/>
    </xf>
    <xf numFmtId="167" applyNumberFormat="1" fontId="7" applyFont="1" fillId="2" applyFill="1" borderId="28" applyBorder="1" xfId="3" applyProtection="1" applyAlignment="1">
      <alignment horizontal="center" vertical="center"/>
    </xf>
    <xf numFmtId="2" applyNumberFormat="1" fontId="7" applyFont="1" fillId="2" applyFill="1" borderId="28" applyBorder="1" xfId="3" applyProtection="1" applyAlignment="1">
      <alignment horizontal="center" vertical="center"/>
    </xf>
    <xf numFmtId="3" applyNumberFormat="1" fontId="7" applyFont="1" fillId="2" applyFill="1" borderId="28" applyBorder="1" xfId="3" applyProtection="1" applyAlignment="1">
      <alignment horizontal="center" vertical="center"/>
    </xf>
    <xf numFmtId="0" fontId="7" applyFont="1" fillId="6" applyFill="1" borderId="28" applyBorder="1" xfId="3" applyProtection="1" applyAlignment="1">
      <alignment horizontal="center" vertical="center"/>
    </xf>
    <xf numFmtId="167" applyNumberFormat="1" fontId="7" applyFont="1" fillId="6" applyFill="1" borderId="28" applyBorder="1" xfId="3" applyProtection="1" applyAlignment="1">
      <alignment horizontal="center" vertical="center"/>
    </xf>
    <xf numFmtId="3" applyNumberFormat="1" fontId="7" applyFont="1" fillId="6" applyFill="1" borderId="28" applyBorder="1" xfId="3" applyProtection="1" applyAlignment="1">
      <alignment horizontal="center" vertical="center"/>
    </xf>
    <xf numFmtId="3" applyNumberFormat="1" fontId="7" applyFont="1" fillId="4" applyFill="1" borderId="28" applyBorder="1" xfId="3" applyProtection="1" applyAlignment="1">
      <alignment horizontal="center" vertical="center"/>
    </xf>
    <xf numFmtId="0" fontId="23" applyFont="1" fillId="6" applyFill="1" borderId="28" applyBorder="1" xfId="3" applyProtection="1" applyAlignment="1">
      <alignment horizontal="center" vertical="center"/>
    </xf>
    <xf numFmtId="167" applyNumberFormat="1" fontId="23" applyFont="1" fillId="6" applyFill="1" borderId="28" applyBorder="1" xfId="3" applyProtection="1" applyAlignment="1">
      <alignment horizontal="center" vertical="center"/>
    </xf>
    <xf numFmtId="0" fontId="7" applyFont="1" fillId="8" applyFill="1" borderId="28" applyBorder="1" xfId="3" applyProtection="1" applyAlignment="1">
      <alignment horizontal="center" vertical="center"/>
    </xf>
    <xf numFmtId="167" applyNumberFormat="1" fontId="7" applyFont="1" fillId="0" borderId="12" applyBorder="1" xfId="3" applyProtection="1" applyAlignment="1">
      <alignment horizontal="center" vertical="center"/>
    </xf>
    <xf numFmtId="0" fontId="7" applyFont="1" fillId="0" borderId="12" applyBorder="1" xfId="3" applyProtection="1" applyAlignment="1">
      <alignment horizontal="center" vertical="center"/>
    </xf>
    <xf numFmtId="0" fontId="7" applyFont="1" fillId="0" borderId="9" applyBorder="1" xfId="3" applyProtection="1" applyAlignment="1">
      <alignment horizontal="center" vertical="center"/>
    </xf>
    <xf numFmtId="167" applyNumberFormat="1" fontId="7" applyFont="1" fillId="0" borderId="15" applyBorder="1" xfId="3" applyProtection="1" applyAlignment="1">
      <alignment horizontal="center" vertical="center"/>
    </xf>
    <xf numFmtId="0" fontId="7" applyFont="1" fillId="0" borderId="34" applyBorder="1" xfId="3" applyProtection="1" applyAlignment="1">
      <alignment horizontal="center" vertical="center"/>
    </xf>
    <xf numFmtId="167" applyNumberFormat="1" fontId="7" applyFont="1" fillId="0" borderId="17" applyBorder="1" xfId="3" applyProtection="1" applyAlignment="1">
      <alignment horizontal="center" vertical="center"/>
    </xf>
    <xf numFmtId="166" applyNumberFormat="1" fontId="7" applyFont="1" fillId="0" borderId="28" applyBorder="1" xfId="3" applyProtection="1" applyAlignment="1">
      <alignment horizontal="center" vertical="center"/>
    </xf>
    <xf numFmtId="167" applyNumberFormat="1" fontId="7" applyFont="1" fillId="0" borderId="18" applyBorder="1" xfId="3" applyProtection="1" applyAlignment="1">
      <alignment horizontal="center" vertical="center"/>
    </xf>
    <xf numFmtId="0" fontId="7" applyFont="1" fillId="0" borderId="33" applyBorder="1" xfId="3" applyProtection="1" applyAlignment="1">
      <alignment horizontal="center" vertical="center"/>
    </xf>
    <xf numFmtId="167" applyNumberFormat="1" fontId="7" applyFont="1" fillId="0" borderId="14" applyBorder="1" xfId="3" applyProtection="1" applyAlignment="1">
      <alignment horizontal="center" vertical="center"/>
    </xf>
    <xf numFmtId="0" fontId="7" applyFont="1" fillId="0" borderId="14" applyBorder="1" xfId="3" applyProtection="1" applyAlignment="1">
      <alignment horizontal="center" vertical="center"/>
    </xf>
    <xf numFmtId="0" fontId="23" applyFont="1" fillId="6" applyFill="1" borderId="9" applyBorder="1" xfId="3" applyProtection="1" applyAlignment="1">
      <alignment horizontal="center" vertical="center"/>
    </xf>
    <xf numFmtId="0" fontId="7" applyFont="1" fillId="0" borderId="1" applyBorder="1" xfId="3" applyProtection="1" applyAlignment="1">
      <alignment horizontal="center" vertical="center"/>
    </xf>
    <xf numFmtId="0" fontId="7" applyFont="1" fillId="0" borderId="16" applyBorder="1" xfId="3" applyProtection="1" applyAlignment="1">
      <alignment horizontal="center" vertical="center"/>
    </xf>
    <xf numFmtId="0" fontId="7" applyFont="1" fillId="0" borderId="19" applyBorder="1" xfId="3" applyProtection="1" applyAlignment="1">
      <alignment horizontal="center" vertical="center"/>
    </xf>
    <xf numFmtId="0" fontId="23" applyFont="1" fillId="0" borderId="10" applyBorder="1" xfId="3" applyProtection="1"/>
    <xf numFmtId="2" applyNumberFormat="1" fontId="23" applyFont="1" fillId="0" borderId="10" applyBorder="1" xfId="3" applyProtection="1"/>
    <xf numFmtId="0" fontId="23" applyFont="1" fillId="0" borderId="3" applyBorder="1" xfId="3" applyProtection="1"/>
    <xf numFmtId="0" fontId="23" applyFont="1" fillId="0" borderId="0" xfId="3" applyProtection="1"/>
    <xf numFmtId="0" fontId="23" applyFont="1" fillId="0" borderId="1" applyBorder="1" xfId="3" applyProtection="1"/>
    <xf numFmtId="0" fontId="23" applyFont="1" fillId="0" borderId="2" applyBorder="1" xfId="3" applyProtection="1"/>
    <xf numFmtId="0" fontId="23" applyFont="1" fillId="0" borderId="4" applyBorder="1" xfId="3" applyProtection="1"/>
    <xf numFmtId="0" fontId="23" applyFont="1" fillId="0" borderId="5" applyBorder="1" xfId="3" applyProtection="1"/>
    <xf numFmtId="0" fontId="33" applyFont="1" fillId="0" borderId="10" applyBorder="1" xfId="3" applyProtection="1"/>
    <xf numFmtId="0" fontId="33" applyFont="1" fillId="0" borderId="11" applyBorder="1" xfId="3" applyProtection="1" applyAlignment="1">
      <alignment vertical="center"/>
    </xf>
    <xf numFmtId="0" fontId="33" applyFont="1" fillId="0" borderId="0" xfId="3" applyProtection="1" applyAlignment="1">
      <alignment vertical="center"/>
    </xf>
    <xf numFmtId="0" fontId="23" applyFont="1" fillId="0" borderId="6" applyBorder="1" xfId="3" applyProtection="1"/>
    <xf numFmtId="0" fontId="33" applyFont="1" fillId="0" borderId="0" xfId="3" applyProtection="1"/>
    <xf numFmtId="0" fontId="23" applyFont="1" fillId="0" borderId="0" xfId="3" applyProtection="1" applyAlignment="1">
      <alignment horizontal="center"/>
    </xf>
    <xf numFmtId="0" fontId="23" applyFont="1" fillId="0" borderId="8" applyBorder="1" xfId="3" applyProtection="1"/>
    <xf numFmtId="0" fontId="3" applyFont="1" fillId="0" borderId="10" applyBorder="1" xfId="3" applyProtection="1" applyAlignment="1">
      <alignment horizontal="center"/>
      <protection locked="0"/>
    </xf>
    <xf numFmtId="0" fontId="6" applyFont="1" fillId="2" applyFill="1" borderId="5" applyBorder="1" xfId="3" applyProtection="1" applyAlignment="1">
      <alignment horizontal="center"/>
    </xf>
    <xf numFmtId="3" applyNumberFormat="1" fontId="6" applyFont="1" fillId="2" applyFill="1" borderId="14" applyBorder="1" xfId="3" applyProtection="1" applyAlignment="1">
      <alignment horizontal="center"/>
      <protection locked="0"/>
    </xf>
    <xf numFmtId="0" fontId="6" applyFont="1" fillId="2" applyFill="1" borderId="14" applyBorder="1" xfId="3" applyProtection="1" applyAlignment="1">
      <alignment horizontal="center"/>
    </xf>
    <xf numFmtId="3" applyNumberFormat="1" fontId="6" applyFont="1" fillId="2" applyFill="1" borderId="8" applyBorder="1" xfId="3" applyProtection="1" applyAlignment="1">
      <alignment horizontal="center"/>
      <protection locked="0"/>
    </xf>
    <xf numFmtId="0" fontId="3" applyFont="1" fillId="0" borderId="11" applyBorder="1" xfId="3" applyProtection="1" applyAlignment="1">
      <alignment horizontal="left"/>
    </xf>
    <xf numFmtId="0" fontId="3" applyFont="1" fillId="0" borderId="28" applyBorder="1" xfId="3" applyProtection="1" applyAlignment="1">
      <alignment horizontal="center"/>
    </xf>
    <xf numFmtId="0" fontId="11" applyFont="1" fillId="0" borderId="5" applyBorder="1" xfId="3" applyProtection="1" applyAlignment="1">
      <alignment vertical="center"/>
    </xf>
    <xf numFmtId="0" fontId="7" applyFont="1" fillId="0" borderId="0" xfId="3" applyProtection="1" applyAlignment="1">
      <alignment horizontal="center"/>
    </xf>
    <xf numFmtId="0" fontId="7" applyFont="1" fillId="8" applyFill="1" borderId="20" applyBorder="1" xfId="3" applyProtection="1" applyAlignment="1">
      <alignment vertical="center"/>
    </xf>
    <xf numFmtId="169" applyNumberFormat="1" fontId="34" applyFont="1" fillId="8" applyFill="1" borderId="21" applyBorder="1" xfId="3" applyProtection="1" applyAlignment="1">
      <alignment horizontal="right"/>
    </xf>
    <xf numFmtId="0" fontId="7" applyFont="1" fillId="9" applyFill="1" borderId="21" applyBorder="1" xfId="3" applyProtection="1" applyAlignment="1">
      <alignment horizontal="center"/>
    </xf>
    <xf numFmtId="3" applyNumberFormat="1" fontId="7" applyFont="1" fillId="2" applyFill="1" borderId="21" applyBorder="1" xfId="3" applyProtection="1" applyAlignment="1">
      <alignment horizontal="center"/>
    </xf>
    <xf numFmtId="0" fontId="23" applyFont="1" fillId="0" borderId="21" applyBorder="1" xfId="3" applyProtection="1"/>
    <xf numFmtId="0" fontId="35" applyFont="1" fillId="0" borderId="23" applyBorder="1" xfId="0" applyProtection="1" applyAlignment="1">
      <alignment horizontal="center" vertical="center"/>
    </xf>
    <xf numFmtId="0" fontId="35" applyFont="1" fillId="0" borderId="0" xfId="0" applyProtection="1" applyAlignment="1">
      <alignment horizontal="center" vertical="center"/>
    </xf>
    <xf numFmtId="0" fontId="36" applyFont="1" fillId="0" borderId="0" xfId="3" applyProtection="1" applyAlignment="1">
      <alignment horizontal="center"/>
    </xf>
    <xf numFmtId="3" applyNumberFormat="1" fontId="35" applyFont="1" fillId="0" borderId="0" xfId="0" applyProtection="1" applyAlignment="1">
      <alignment horizontal="center" vertical="center"/>
    </xf>
    <xf numFmtId="169" applyNumberFormat="1" fontId="35" applyFont="1" fillId="0" borderId="0" xfId="0" applyProtection="1" applyAlignment="1">
      <alignment horizontal="center" vertical="center"/>
    </xf>
    <xf numFmtId="0" fontId="36" applyFont="1" fillId="0" borderId="28" applyBorder="1" xfId="3" applyProtection="1" applyAlignment="1">
      <alignment horizontal="center"/>
    </xf>
    <xf numFmtId="2" applyNumberFormat="1" fontId="35" applyFont="1" fillId="0" borderId="0" xfId="0" applyProtection="1" applyAlignment="1">
      <alignment horizontal="center" vertical="center"/>
    </xf>
    <xf numFmtId="0" fontId="3" applyFont="1" fillId="0" borderId="23" applyBorder="1" xfId="3" applyProtection="1" applyAlignment="1">
      <alignment horizontal="center"/>
    </xf>
    <xf numFmtId="0" fontId="38" applyFont="1" fillId="0" borderId="35" applyBorder="1" xfId="0" applyProtection="1" applyAlignment="1">
      <alignment horizontal="center" vertical="center"/>
    </xf>
    <xf numFmtId="0" fontId="38" applyFont="1" fillId="0" borderId="36" applyBorder="1" xfId="0" applyProtection="1" applyAlignment="1">
      <alignment horizontal="center" vertical="center"/>
    </xf>
    <xf numFmtId="0" fontId="39" applyFont="1" fillId="0" borderId="37" applyBorder="1" xfId="0" applyProtection="1" applyAlignment="1">
      <alignment horizontal="center" vertical="center"/>
      <protection locked="0"/>
    </xf>
    <xf numFmtId="0" fontId="39" applyFont="1" fillId="0" borderId="38" applyBorder="1" xfId="0" applyProtection="1" applyAlignment="1">
      <alignment horizontal="center" vertical="center"/>
      <protection locked="0"/>
    </xf>
    <xf numFmtId="2" applyNumberFormat="1" fontId="3" applyFont="1" fillId="0" borderId="28" applyBorder="1" xfId="3" applyProtection="1" applyAlignment="1">
      <alignment horizontal="center"/>
    </xf>
    <xf numFmtId="0" fontId="40" applyFont="1" fillId="2" applyFill="1" borderId="29" applyBorder="1" xfId="0" applyProtection="1" applyAlignment="1">
      <alignment vertical="center"/>
      <protection locked="0"/>
    </xf>
    <xf numFmtId="0" fontId="41" applyFont="1" fillId="0" borderId="0" xfId="0" applyProtection="1" applyAlignment="1">
      <alignment horizontal="center"/>
    </xf>
    <xf numFmtId="0" fontId="38" applyFont="1" fillId="0" borderId="0" xfId="0" applyProtection="1" applyAlignment="1">
      <alignment horizontal="center"/>
    </xf>
    <xf numFmtId="0" fontId="38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</xf>
    <xf numFmtId="0" fontId="44" applyFont="1" fillId="0" borderId="0" xfId="0" applyProtection="1" applyAlignment="1">
      <alignment horizontal="center"/>
      <protection locked="0"/>
    </xf>
    <xf numFmtId="0" fontId="44" applyFont="1" fillId="0" borderId="0" xfId="0" applyProtection="1" applyAlignment="1">
      <alignment horizontal="center" vertical="center" shrinkToFit="1"/>
    </xf>
    <xf numFmtId="0" fontId="44" applyFont="1" fillId="0" borderId="0" xfId="0" applyProtection="1" applyAlignment="1">
      <alignment horizontal="center" shrinkToFit="1"/>
    </xf>
    <xf numFmtId="0" fontId="45" applyFont="1" fillId="0" borderId="0" xfId="0" applyProtection="1" applyAlignment="1">
      <alignment horizontal="center" vertical="center" shrinkToFit="1"/>
    </xf>
    <xf numFmtId="0" fontId="36" applyFont="1" fillId="0" borderId="0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 vertical="center"/>
    </xf>
    <xf numFmtId="0" fontId="45" applyFont="1" fillId="0" borderId="0" xfId="0" applyProtection="1" applyAlignment="1">
      <alignment horizontal="center"/>
      <protection locked="0"/>
    </xf>
    <xf numFmtId="0" fontId="44" applyFont="1" fillId="7" applyFill="1" borderId="0" xfId="0" applyProtection="1" applyAlignment="1">
      <alignment horizontal="center" vertical="center" shrinkToFit="1"/>
    </xf>
    <xf numFmtId="0" fontId="44" applyFont="1" fillId="7" applyFill="1" borderId="0" xfId="0" applyProtection="1" applyAlignment="1">
      <alignment horizontal="center" shrinkToFit="1"/>
    </xf>
    <xf numFmtId="1" applyNumberFormat="1" fontId="44" applyFont="1" fillId="0" borderId="0" xfId="0" applyProtection="1" applyAlignment="1">
      <alignment horizontal="center"/>
      <protection locked="0"/>
    </xf>
    <xf numFmtId="14" applyNumberFormat="1" fontId="43" applyFont="1" fillId="0" borderId="16" applyBorder="1" xfId="0" applyProtection="1" applyAlignment="1">
      <alignment horizontal="center"/>
    </xf>
    <xf numFmtId="0" fontId="43" applyFont="1" fillId="0" borderId="39" applyBorder="1" xfId="0" applyProtection="1"/>
    <xf numFmtId="0" fontId="43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1" applyFont="1" fillId="0" borderId="21" applyBorder="1" xfId="0" applyProtection="1" applyAlignment="1">
      <alignment horizontal="center"/>
    </xf>
    <xf numFmtId="2" applyNumberFormat="1" fontId="46" applyFont="1" fillId="0" borderId="19" applyBorder="1" xfId="0" applyProtection="1" applyAlignment="1">
      <alignment horizontal="center"/>
    </xf>
    <xf numFmtId="0" fontId="46" applyFont="1" fillId="0" borderId="40" applyBorder="1" xfId="0" applyProtection="1"/>
    <xf numFmtId="4" applyNumberFormat="1" fontId="38" applyFont="1" fillId="0" borderId="35" applyBorder="1" xfId="0" applyProtection="1" applyAlignment="1">
      <alignment horizontal="center"/>
    </xf>
    <xf numFmtId="4" applyNumberFormat="1" fontId="38" applyFont="1" fillId="0" borderId="28" applyBorder="1" xfId="0" applyProtection="1" applyAlignment="1">
      <alignment horizontal="center"/>
    </xf>
    <xf numFmtId="4" applyNumberFormat="1" fontId="38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3" applyFont="1" fillId="2" applyFill="1" borderId="41" applyBorder="1" xfId="0" applyProtection="1" applyAlignment="1">
      <alignment horizontal="center" vertical="center"/>
    </xf>
    <xf numFmtId="170" applyNumberFormat="1" fontId="43" applyFont="1" fillId="0" borderId="0" xfId="0" applyProtection="1" applyAlignment="1">
      <alignment vertical="center"/>
    </xf>
    <xf numFmtId="170" applyNumberFormat="1" fontId="38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3" applyNumberFormat="1" fontId="45" applyFont="1" fillId="0" borderId="0" xfId="0" applyProtection="1" applyAlignment="1">
      <alignment horizontal="center"/>
    </xf>
    <xf numFmtId="2" applyNumberFormat="1" fontId="44" applyFont="1" fillId="12" applyFill="1" borderId="0" xfId="0" applyProtection="1" applyAlignment="1">
      <alignment horizontal="center"/>
    </xf>
    <xf numFmtId="9" applyNumberFormat="1" fontId="36" applyFont="1" fillId="0" borderId="0" xfId="4" applyProtection="1" applyAlignment="1">
      <alignment horizontal="center"/>
    </xf>
    <xf numFmtId="0" fontId="45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9" applyNumberFormat="1" fontId="36" applyFont="1" fillId="0" borderId="0" xfId="0" applyProtection="1" applyAlignment="1">
      <alignment horizontal="center"/>
    </xf>
    <xf numFmtId="14" applyNumberFormat="1" fontId="44" applyFont="1" fillId="0" borderId="0" xfId="0" applyProtection="1" applyAlignment="1">
      <alignment horizontal="center"/>
    </xf>
    <xf numFmtId="4" applyNumberFormat="1" fontId="44" applyFont="1" fillId="13" applyFill="1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4" applyNumberFormat="1" fontId="45" applyFont="1" fillId="0" borderId="0" xfId="0" applyProtection="1" applyAlignment="1">
      <alignment horizontal="center"/>
    </xf>
    <xf numFmtId="9" applyNumberFormat="1" fontId="44" applyFont="1" fillId="0" borderId="0" xfId="4" applyProtection="1" applyAlignment="1">
      <alignment horizontal="center"/>
    </xf>
    <xf numFmtId="0" fontId="44" applyFont="1" fillId="7" applyFill="1" borderId="0" xfId="0" applyProtection="1" applyAlignment="1">
      <alignment horizontal="center"/>
    </xf>
    <xf numFmtId="166" applyNumberFormat="1" fontId="36" applyFont="1" fillId="0" borderId="0" xfId="4" applyProtection="1" applyAlignment="1">
      <alignment horizontal="center"/>
    </xf>
    <xf numFmtId="1" applyNumberFormat="1" fontId="44" applyFont="1" fillId="12" applyFill="1" borderId="0" xfId="0" applyProtection="1" applyAlignment="1">
      <alignment horizontal="center"/>
    </xf>
    <xf numFmtId="169" applyNumberFormat="1" fontId="36" applyFont="1" fillId="0" borderId="0" xfId="0" applyProtection="1" applyAlignment="1">
      <alignment horizontal="center"/>
    </xf>
    <xf numFmtId="0" fontId="41" applyFont="1" fillId="0" borderId="22" applyBorder="1" xfId="0" applyProtection="1" applyAlignment="1">
      <alignment horizontal="center"/>
    </xf>
    <xf numFmtId="0" fontId="41" applyFont="1" fillId="0" borderId="24" applyBorder="1" xfId="0" applyProtection="1" applyAlignment="1">
      <alignment horizontal="center"/>
    </xf>
    <xf numFmtId="0" fontId="36" applyFont="1" fillId="0" borderId="24" applyBorder="1" xfId="0" applyProtection="1" applyAlignment="1">
      <alignment horizontal="center"/>
    </xf>
    <xf numFmtId="169" applyNumberFormat="1" fontId="36" applyFont="1" fillId="0" borderId="24" applyBorder="1" xfId="0" applyProtection="1" applyAlignment="1">
      <alignment horizontal="center"/>
    </xf>
    <xf numFmtId="0" fontId="36" applyFont="1" fillId="0" borderId="15" applyBorder="1" xfId="3" applyProtection="1" applyAlignment="1">
      <alignment horizontal="center"/>
    </xf>
    <xf numFmtId="2" applyNumberFormat="1" fontId="3" applyFont="1" fillId="0" borderId="34" applyBorder="1" xfId="3" applyProtection="1" applyAlignment="1">
      <alignment horizontal="center"/>
    </xf>
    <xf numFmtId="0" fontId="36" applyFont="1" fillId="0" borderId="17" applyBorder="1" xfId="3" applyProtection="1" applyAlignment="1">
      <alignment horizontal="center"/>
    </xf>
    <xf numFmtId="0" fontId="36" applyFont="1" fillId="0" borderId="18" applyBorder="1" xfId="3" applyProtection="1" applyAlignment="1">
      <alignment horizontal="center"/>
    </xf>
    <xf numFmtId="2" applyNumberFormat="1" fontId="3" applyFont="1" fillId="0" borderId="33" applyBorder="1" xfId="3" applyProtection="1" applyAlignment="1">
      <alignment horizontal="center"/>
    </xf>
    <xf numFmtId="0" fontId="3" applyFont="1" fillId="0" borderId="36" applyBorder="1" xfId="3" applyProtection="1" applyAlignment="1">
      <alignment horizontal="center"/>
    </xf>
    <xf numFmtId="0" fontId="3" applyFont="1" fillId="0" borderId="42" applyBorder="1" xfId="3" applyProtection="1" applyAlignment="1">
      <alignment horizontal="center"/>
    </xf>
    <xf numFmtId="0" fontId="3" applyFont="1" fillId="0" borderId="38" applyBorder="1" xfId="3" applyProtection="1" applyAlignment="1">
      <alignment horizontal="center"/>
    </xf>
    <xf numFmtId="2" applyNumberFormat="1" fontId="3" applyFont="1" fillId="0" borderId="0" xfId="3" applyProtection="1" applyAlignment="1">
      <alignment horizontal="center"/>
    </xf>
    <xf numFmtId="171" applyNumberFormat="1" fontId="36" applyFont="1" fillId="0" borderId="0" xfId="4" applyProtection="1" applyAlignment="1">
      <alignment horizontal="center"/>
    </xf>
    <xf numFmtId="0" fontId="3" applyFont="1" fillId="0" borderId="20" applyBorder="1" xfId="3" applyProtection="1" applyAlignment="1">
      <alignment horizontal="center"/>
    </xf>
    <xf numFmtId="0" fontId="3" applyFont="1" fillId="0" borderId="21" applyBorder="1" xfId="3" applyProtection="1" applyAlignment="1">
      <alignment horizontal="center"/>
    </xf>
    <xf numFmtId="0" fontId="7" applyFont="1" fillId="8" applyFill="1" borderId="23" applyBorder="1" xfId="3" applyProtection="1" applyAlignment="1">
      <alignment vertical="center"/>
    </xf>
    <xf numFmtId="169" applyNumberFormat="1" fontId="34" applyFont="1" fillId="8" applyFill="1" borderId="0" xfId="3" applyProtection="1" applyAlignment="1">
      <alignment horizontal="right"/>
    </xf>
    <xf numFmtId="0" fontId="7" applyFont="1" fillId="9" applyFill="1" borderId="0" xfId="3" applyProtection="1" applyAlignment="1">
      <alignment horizontal="center"/>
    </xf>
    <xf numFmtId="3" applyNumberFormat="1" fontId="7" applyFont="1" fillId="2" applyFill="1" borderId="0" xfId="3" applyProtection="1" applyAlignment="1">
      <alignment horizontal="center"/>
    </xf>
    <xf numFmtId="0" fontId="47" applyFont="1" fillId="0" borderId="0" xfId="0" applyProtection="1" applyAlignment="1">
      <alignment horizontal="center"/>
    </xf>
    <xf numFmtId="0" fontId="47" applyFont="1" fillId="0" borderId="0" xfId="0" applyProtection="1" applyAlignment="1">
      <alignment horizontal="center"/>
      <protection locked="0"/>
    </xf>
    <xf numFmtId="0" fontId="47" applyFont="1" fillId="0" borderId="0" xfId="0" applyProtection="1" applyAlignment="1">
      <alignment horizontal="center" vertical="center" shrinkToFit="1"/>
    </xf>
    <xf numFmtId="0" fontId="44" applyFont="1" fillId="0" borderId="26" applyBorder="1" xfId="0" applyProtection="1" applyAlignment="1">
      <alignment horizontal="center"/>
    </xf>
    <xf numFmtId="0" fontId="44" applyFont="1" fillId="0" borderId="26" applyBorder="1" xfId="0" applyProtection="1" applyAlignment="1">
      <alignment horizontal="center"/>
      <protection locked="0"/>
    </xf>
    <xf numFmtId="0" fontId="44" applyFont="1" fillId="0" borderId="26" applyBorder="1" xfId="0" applyProtection="1" applyAlignment="1">
      <alignment horizontal="center" vertical="center" shrinkToFit="1"/>
    </xf>
    <xf numFmtId="0" fontId="44" applyFont="1" fillId="0" borderId="26" applyBorder="1" xfId="0" applyProtection="1" applyAlignment="1">
      <alignment horizontal="center" shrinkToFit="1"/>
    </xf>
    <xf numFmtId="0" fontId="38" applyFont="1" fillId="0" borderId="21" applyBorder="1" xfId="0" applyProtection="1" applyAlignment="1">
      <alignment horizontal="center" vertical="center"/>
    </xf>
    <xf numFmtId="0" fontId="39" applyFont="1" fillId="0" borderId="0" xfId="0" applyProtection="1" applyAlignment="1">
      <alignment horizontal="center" vertical="center"/>
      <protection locked="0"/>
    </xf>
    <xf numFmtId="0" fontId="40" applyFont="1" fillId="2" applyFill="1" borderId="0" xfId="0" applyProtection="1" applyAlignment="1">
      <alignment vertical="center"/>
      <protection locked="0"/>
    </xf>
    <xf numFmtId="2" applyNumberFormat="1" fontId="3" applyFont="1" fillId="0" borderId="28" applyBorder="1" xfId="3" applyProtection="1" applyAlignment="1">
      <alignment horizontal="center" vertical="center"/>
    </xf>
    <xf numFmtId="0" fontId="47" applyFont="1" fillId="0" borderId="0" xfId="0" applyProtection="1" applyAlignment="1">
      <alignment horizontal="center" shrinkToFit="1"/>
    </xf>
    <xf numFmtId="0" fontId="48" applyFont="1" fillId="0" borderId="0" xfId="0" applyProtection="1" applyAlignment="1">
      <alignment horizontal="center"/>
    </xf>
    <xf numFmtId="0" fontId="49" applyFont="1" fillId="0" borderId="0" xfId="0" applyProtection="1" applyAlignment="1">
      <alignment horizontal="center"/>
    </xf>
    <xf numFmtId="2" applyNumberFormat="1" fontId="47" applyFont="1" fillId="12" applyFill="1" borderId="0" xfId="0" applyProtection="1" applyAlignment="1">
      <alignment horizontal="center"/>
    </xf>
    <xf numFmtId="9" applyNumberFormat="1" fontId="48" applyFont="1" fillId="0" borderId="0" xfId="0" applyProtection="1" applyAlignment="1">
      <alignment horizontal="center"/>
    </xf>
    <xf numFmtId="9" applyNumberFormat="1" fontId="44" applyFont="1" fillId="0" borderId="0" xfId="0" applyProtection="1" applyAlignment="1">
      <alignment horizontal="center" shrinkToFit="1"/>
    </xf>
    <xf numFmtId="1" applyNumberFormat="1" fontId="44" applyFont="1" fillId="0" borderId="0" xfId="0" applyProtection="1" applyAlignment="1">
      <alignment horizontal="center" shrinkToFit="1"/>
    </xf>
    <xf numFmtId="2" applyNumberFormat="1" fontId="44" applyFont="1" fillId="0" borderId="0" xfId="0" applyProtection="1" applyAlignment="1">
      <alignment horizontal="center"/>
    </xf>
    <xf numFmtId="166" applyNumberFormat="1" fontId="36" applyFont="1" fillId="0" borderId="0" xfId="0" applyProtection="1" applyAlignment="1">
      <alignment horizontal="center"/>
    </xf>
    <xf numFmtId="9" applyNumberFormat="1" fontId="44" applyFont="1" fillId="0" borderId="26" applyBorder="1" xfId="4" applyProtection="1" applyAlignment="1">
      <alignment horizontal="center" shrinkToFit="1"/>
    </xf>
    <xf numFmtId="1" applyNumberFormat="1" fontId="44" applyFont="1" fillId="0" borderId="26" applyBorder="1" xfId="0" applyProtection="1" applyAlignment="1">
      <alignment horizontal="center" shrinkToFit="1"/>
    </xf>
    <xf numFmtId="3" applyNumberFormat="1" fontId="44" applyFont="1" fillId="0" borderId="26" applyBorder="1" xfId="0" applyProtection="1" applyAlignment="1">
      <alignment horizontal="center"/>
    </xf>
    <xf numFmtId="2" applyNumberFormat="1" fontId="44" applyFont="1" fillId="0" borderId="26" applyBorder="1" xfId="0" applyProtection="1" applyAlignment="1">
      <alignment horizontal="center"/>
    </xf>
    <xf numFmtId="166" applyNumberFormat="1" fontId="36" applyFont="1" fillId="0" borderId="26" applyBorder="1" xfId="0" applyProtection="1" applyAlignment="1">
      <alignment horizont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21" applyBorder="1" xfId="0" applyProtection="1" applyAlignment="1">
      <alignment horizontal="center"/>
    </xf>
    <xf numFmtId="2" applyNumberFormat="1" fontId="46" applyFont="1" fillId="0" borderId="0" xfId="0" applyProtection="1" applyAlignment="1">
      <alignment horizontal="center"/>
    </xf>
    <xf numFmtId="0" fontId="46" applyFont="1" fillId="0" borderId="0" xfId="0" applyProtection="1"/>
    <xf numFmtId="4" applyNumberFormat="1" fontId="38" applyFont="1" fillId="0" borderId="0" xfId="0" applyProtection="1" applyAlignment="1">
      <alignment horizontal="center"/>
    </xf>
    <xf numFmtId="14" applyNumberFormat="1" fontId="43" applyFont="1" fillId="2" applyFill="1" borderId="0" xfId="0" applyProtection="1" applyAlignment="1">
      <alignment horizontal="center" vertical="center"/>
    </xf>
    <xf numFmtId="0" fontId="36" applyFont="1" fillId="0" borderId="22" applyBorder="1" xfId="0" applyProtection="1" applyAlignment="1">
      <alignment horizontal="center"/>
    </xf>
    <xf numFmtId="0" fontId="3" applyFont="1" fillId="0" borderId="43" applyBorder="1" xfId="3" applyProtection="1" applyAlignment="1">
      <alignment horizontal="center"/>
    </xf>
    <xf numFmtId="0" fontId="50" applyFont="1" fillId="0" borderId="23" applyBorder="1" xfId="0" applyProtection="1" applyAlignment="1">
      <alignment horizontal="center" vertical="center"/>
    </xf>
    <xf numFmtId="172" applyNumberFormat="1" fontId="3" applyFont="1" fillId="0" borderId="28" applyBorder="1" xfId="3" applyProtection="1" applyAlignment="1">
      <alignment horizontal="center"/>
    </xf>
    <xf numFmtId="2" applyNumberFormat="1" fontId="50" applyFont="1" fillId="0" borderId="0" xfId="0" applyProtection="1" applyAlignment="1">
      <alignment horizontal="center" vertical="center"/>
    </xf>
    <xf numFmtId="0" fontId="50" applyFont="1" fillId="0" borderId="0" xfId="0" applyProtection="1" applyAlignment="1">
      <alignment horizontal="center" vertical="center"/>
    </xf>
    <xf numFmtId="0" fontId="44" applyFont="1" fillId="0" borderId="21" applyBorder="1" xfId="0" applyProtection="1" applyAlignment="1">
      <alignment horizontal="center" vertical="center"/>
    </xf>
    <xf numFmtId="14" applyNumberFormat="1" fontId="44" applyFont="1" fillId="0" borderId="21" applyBorder="1" xfId="0" applyProtection="1" applyAlignment="1">
      <alignment horizontal="center"/>
    </xf>
    <xf numFmtId="0" fontId="37" applyFont="1" fillId="0" borderId="0" xfId="0" applyProtection="1" applyAlignment="1">
      <alignment horizontal="center" vertical="center"/>
      <protection locked="0"/>
    </xf>
    <xf numFmtId="2" applyNumberFormat="1" fontId="37" applyFont="1" fillId="0" borderId="0" xfId="0" applyProtection="1" applyAlignment="1">
      <alignment horizontal="center"/>
    </xf>
    <xf numFmtId="0" fontId="40" applyFont="1" fillId="2" applyFill="1" borderId="0" xfId="0" applyProtection="1" applyAlignment="1">
      <alignment horizontal="center" vertical="center"/>
      <protection locked="0"/>
    </xf>
    <xf numFmtId="0" fontId="44" applyFont="1" fillId="0" borderId="21" applyBorder="1" xfId="0" applyProtection="1"/>
    <xf numFmtId="0" fontId="37" applyFont="1" fillId="0" borderId="0" xfId="0" applyProtection="1"/>
    <xf numFmtId="0" fontId="3" applyFont="1" fillId="0" borderId="25" applyBorder="1" xfId="3" applyProtection="1" applyAlignment="1">
      <alignment horizontal="center"/>
    </xf>
    <xf numFmtId="0" fontId="3" applyFont="1" fillId="0" borderId="26" applyBorder="1" xfId="3" applyProtection="1" applyAlignment="1">
      <alignment horizontal="center"/>
    </xf>
    <xf numFmtId="9" applyNumberFormat="1" fontId="44" applyFont="1" fillId="0" borderId="0" xfId="4" applyProtection="1" applyAlignment="1">
      <alignment horizontal="center" shrinkToFit="1"/>
    </xf>
    <xf numFmtId="0" fontId="36" applyFont="1" fillId="0" borderId="26" applyBorder="1" xfId="0" applyProtection="1" applyAlignment="1">
      <alignment horizontal="center"/>
    </xf>
    <xf numFmtId="0" fontId="36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6" applyFont="1" fillId="0" borderId="8" applyBorder="1" xfId="0">
      <protection hidden="1"/>
    </xf>
    <xf numFmtId="0" fontId="36" applyFont="1" fillId="0" borderId="23" applyBorder="1" xfId="0" applyAlignment="1">
      <alignment horizontal="center" vertical="center"/>
      <protection hidden="1"/>
    </xf>
    <xf numFmtId="0" fontId="36" applyFont="1" fillId="0" borderId="0" xfId="0" applyAlignment="1">
      <alignment horizontal="center" vertical="center"/>
      <protection hidden="1"/>
    </xf>
    <xf numFmtId="0" fontId="36" applyFont="1" fillId="0" borderId="15" applyBorder="1" xfId="0" applyAlignment="1">
      <alignment horizontal="center" vertical="center"/>
      <protection hidden="1"/>
    </xf>
    <xf numFmtId="0" fontId="36" applyFont="1" fillId="0" borderId="36" applyBorder="1" xfId="0" applyAlignment="1">
      <alignment horizontal="center" vertical="center"/>
      <protection hidden="1"/>
    </xf>
    <xf numFmtId="0" fontId="36" applyFont="1" fillId="0" borderId="17" applyBorder="1" xfId="0" applyAlignment="1">
      <alignment horizontal="center" vertical="center"/>
      <protection hidden="1"/>
    </xf>
    <xf numFmtId="0" fontId="36" applyFont="1" fillId="0" borderId="42" applyBorder="1" xfId="0" applyAlignment="1">
      <alignment horizontal="center" vertical="center"/>
      <protection hidden="1"/>
    </xf>
    <xf numFmtId="0" fontId="36" applyFont="1" fillId="0" borderId="18" applyBorder="1" xfId="0" applyAlignment="1">
      <alignment horizontal="center" vertical="center"/>
      <protection hidden="1"/>
    </xf>
    <xf numFmtId="0" fontId="36" applyFont="1" fillId="0" borderId="27" applyBorder="1" xfId="0" applyAlignment="1">
      <alignment horizontal="center" vertical="center"/>
      <protection hidden="1"/>
    </xf>
    <xf numFmtId="0" fontId="36" applyFont="1" fillId="0" borderId="1" applyBorder="1" xfId="0">
      <protection hidden="1"/>
    </xf>
    <xf numFmtId="0" fontId="36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6" applyFont="1" fillId="0" borderId="3" applyBorder="1" xfId="0" applyAlignment="1">
      <alignment horizontal="center" vertical="center"/>
      <protection hidden="1"/>
    </xf>
    <xf numFmtId="166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6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6" applyFont="1" fillId="0" borderId="14" applyBorder="1" xfId="0" applyAlignment="1">
      <alignment horizontal="center" vertical="center"/>
      <protection hidden="1"/>
    </xf>
    <xf numFmtId="0" fontId="36" applyFont="1" fillId="0" borderId="4" applyBorder="1" xfId="0" applyAlignment="1">
      <alignment horizontal="center" vertical="center"/>
      <protection hidden="1"/>
    </xf>
    <xf numFmtId="0" fontId="41" applyFont="1" fillId="0" borderId="0" xfId="0" applyProtection="1"/>
    <xf numFmtId="0" fontId="0" fillId="0" borderId="24" applyBorder="1" xfId="0" applyProtection="1"/>
    <xf numFmtId="2" applyNumberFormat="1" fontId="36" applyFont="1" fillId="0" borderId="28" applyBorder="1" xfId="0" applyAlignment="1">
      <alignment horizontal="center" vertical="center"/>
      <protection hidden="1"/>
    </xf>
    <xf numFmtId="0" fontId="36" applyFont="1" fillId="0" borderId="28" applyBorder="1" xfId="0" applyAlignment="1">
      <alignment horizontal="center" vertical="center"/>
      <protection hidden="1"/>
    </xf>
    <xf numFmtId="0" fontId="36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6" applyFont="1" fillId="0" borderId="12" applyBorder="1" xfId="0" applyAlignment="1">
      <alignment horizontal="center" vertical="center"/>
      <protection hidden="1"/>
    </xf>
    <xf numFmtId="0" fontId="36" applyFont="1" fillId="0" borderId="12" applyBorder="1" xfId="0" applyAlignment="1">
      <alignment horizontal="center" vertical="center"/>
      <protection hidden="1"/>
    </xf>
    <xf numFmtId="0" fontId="36" applyFont="1" fillId="0" borderId="1" applyBorder="1" xfId="0" applyAlignment="1">
      <alignment horizontal="center" vertical="center"/>
      <protection hidden="1"/>
    </xf>
    <xf numFmtId="0" fontId="36" applyFont="1" fillId="0" borderId="28" applyBorder="1" xfId="0" applyProtection="1" applyAlignment="1">
      <alignment horizontal="center" vertical="center"/>
    </xf>
    <xf numFmtId="0" fontId="36" applyFont="1" fillId="0" borderId="6" applyBorder="1" xfId="0" applyAlignment="1">
      <alignment horizontal="center" vertical="center"/>
      <protection hidden="1"/>
    </xf>
    <xf numFmtId="2" applyNumberFormat="1" fontId="36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40" applyFont="1" fillId="7" applyFill="1" borderId="0" xfId="0" applyProtection="1" applyAlignment="1">
      <alignment horizontal="center" vertical="center" shrinkToFit="1"/>
    </xf>
    <xf numFmtId="0" fontId="44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51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6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7" applyFont="1" fillId="8" applyFill="1" borderId="0" xfId="3" applyProtection="1" applyAlignment="1">
      <alignment vertical="center"/>
    </xf>
    <xf numFmtId="0" fontId="34" applyFont="1" fillId="14" applyFill="1" borderId="0" xfId="3" applyProtection="1" applyAlignment="1">
      <alignment horizontal="center"/>
    </xf>
    <xf numFmtId="166" applyNumberFormat="1" fontId="7" applyFont="1" fillId="0" borderId="0" xfId="3" applyProtection="1" applyAlignment="1">
      <alignment horizontal="center"/>
    </xf>
    <xf numFmtId="166" applyNumberFormat="1" fontId="36" applyFont="1" fillId="0" borderId="0" xfId="3" applyProtection="1" applyAlignment="1">
      <alignment horizontal="center"/>
    </xf>
    <xf numFmtId="0" fontId="36" applyFont="1" fillId="0" borderId="2" applyBorder="1" xfId="0" applyProtection="1" applyAlignment="1">
      <alignment horizontal="center"/>
    </xf>
    <xf numFmtId="166" applyNumberFormat="1" fontId="36" applyFont="1" fillId="0" borderId="2" applyBorder="1" xfId="0" applyProtection="1" applyAlignment="1">
      <alignment horizontal="center"/>
    </xf>
    <xf numFmtId="166" applyNumberFormat="1" fontId="0" fillId="0" borderId="0" xfId="3" applyProtection="1" applyAlignment="1">
      <alignment horizontal="center"/>
    </xf>
    <xf numFmtId="0" fontId="7" applyFont="1" fillId="0" borderId="0" xfId="3" applyProtection="1"/>
    <xf numFmtId="166" applyNumberFormat="1" fontId="3" applyFont="1" fillId="0" borderId="0" xfId="3" applyProtection="1" applyAlignment="1">
      <alignment horizontal="center"/>
    </xf>
    <xf numFmtId="0" fontId="45" applyFont="1" fillId="0" borderId="0" xfId="0" applyProtection="1" applyAlignment="1">
      <alignment horizontal="center" shrinkToFit="1"/>
    </xf>
    <xf numFmtId="0" fontId="43" applyFont="1" fillId="0" borderId="0" xfId="0" applyProtection="1"/>
    <xf numFmtId="4" applyNumberFormat="1" fontId="44" applyFont="1" fillId="7" applyFill="1" borderId="0" xfId="0" applyProtection="1" applyAlignment="1">
      <alignment horizontal="center"/>
    </xf>
    <xf numFmtId="1" applyNumberFormat="1" fontId="44" applyFont="1" fillId="0" borderId="0" xfId="0" applyProtection="1" applyAlignment="1">
      <alignment horizontal="center"/>
    </xf>
    <xf numFmtId="9" applyNumberFormat="1" fontId="44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8" applyFont="1" fillId="2" applyFill="1" borderId="29" applyBorder="1" xfId="0" applyProtection="1" applyAlignment="1">
      <alignment vertical="center"/>
      <protection locked="0"/>
    </xf>
    <xf numFmtId="4" applyNumberFormat="1" fontId="15" applyFont="1" fillId="0" borderId="0" xfId="3" applyProtection="1" applyAlignment="1">
      <alignment horizontal="center"/>
    </xf>
    <xf numFmtId="4" applyNumberFormat="1" fontId="15" applyFont="1" fillId="0" borderId="0" xfId="0" applyProtection="1" applyAlignment="1">
      <alignment horizontal="center"/>
    </xf>
    <xf numFmtId="0" fontId="44" applyFont="1" fillId="15" applyFill="1" borderId="12" applyBorder="1" xfId="0" applyProtection="1" applyAlignment="1">
      <alignment horizontal="center" shrinkToFit="1"/>
    </xf>
    <xf numFmtId="4" applyNumberFormat="1" fontId="44" applyFont="1" fillId="15" applyFill="1" borderId="12" applyBorder="1" xfId="0" applyProtection="1" applyAlignment="1">
      <alignment horizontal="center"/>
    </xf>
    <xf numFmtId="166" applyNumberFormat="1" fontId="44" applyFont="1" fillId="2" applyFill="1" borderId="0" xfId="0" applyProtection="1" applyAlignment="1">
      <alignment horizontal="center" textRotation="90"/>
    </xf>
    <xf numFmtId="4" applyNumberFormat="1" fontId="44" applyFont="1" fillId="0" borderId="0" xfId="0" applyProtection="1" applyAlignment="1">
      <alignment horizontal="center" shrinkToFit="1"/>
    </xf>
    <xf numFmtId="169" applyNumberFormat="1" fontId="44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8" applyFont="1" fillId="16" applyFill="1" borderId="0" xfId="0" applyProtection="1" applyAlignment="1">
      <alignment vertical="center"/>
    </xf>
    <xf numFmtId="0" fontId="59" applyFont="1" fillId="16" applyFill="1" borderId="0" xfId="0" applyProtection="1" applyAlignment="1">
      <alignment vertical="center"/>
    </xf>
    <xf numFmtId="0" fontId="60" applyFont="1" fillId="16" applyFill="1" borderId="0" xfId="0" applyProtection="1" applyAlignment="1">
      <alignment vertical="center"/>
    </xf>
    <xf numFmtId="3" applyNumberFormat="1" fontId="61" applyFont="1" fillId="16" applyFill="1" borderId="0" xfId="0" applyProtection="1" applyAlignment="1">
      <alignment vertical="center"/>
    </xf>
    <xf numFmtId="3" applyNumberFormat="1" fontId="60" applyFont="1" fillId="16" applyFill="1" borderId="0" xfId="0" applyProtection="1" applyAlignment="1">
      <alignment vertical="center"/>
    </xf>
    <xf numFmtId="3" applyNumberFormat="1" fontId="59" applyFont="1" fillId="16" applyFill="1" borderId="23" applyBorder="1" xfId="0" applyProtection="1" applyAlignment="1">
      <alignment horizontal="center" vertical="center"/>
    </xf>
    <xf numFmtId="3" applyNumberFormat="1" fontId="60" applyFont="1" fillId="16" applyFill="1" borderId="0" xfId="0" applyProtection="1"/>
    <xf numFmtId="0" fontId="62" applyFont="1" fillId="16" applyFill="1" borderId="46" applyBorder="1" xfId="0" applyProtection="1" applyAlignment="1">
      <alignment vertical="center"/>
    </xf>
    <xf numFmtId="0" fontId="63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4" applyFont="1" fillId="16" applyFill="1" borderId="48" applyBorder="1" xfId="0" applyProtection="1" applyAlignment="1">
      <alignment vertical="center"/>
    </xf>
    <xf numFmtId="0" fontId="63" applyFont="1" fillId="16" applyFill="1" borderId="49" applyBorder="1" xfId="0" applyProtection="1" applyAlignment="1">
      <alignment horizontal="center" vertical="center"/>
    </xf>
    <xf numFmtId="0" fontId="64" applyFont="1" fillId="16" applyFill="1" borderId="50" applyBorder="1" xfId="0" applyProtection="1" applyAlignment="1">
      <alignment vertical="center"/>
    </xf>
    <xf numFmtId="0" fontId="63" applyFont="1" fillId="16" applyFill="1" borderId="51" applyBorder="1" xfId="0" applyProtection="1" applyAlignment="1">
      <alignment horizontal="center" vertical="center"/>
    </xf>
    <xf numFmtId="0" fontId="62" applyFont="1" fillId="16" applyFill="1" borderId="52" applyBorder="1" xfId="0" applyProtection="1" applyAlignment="1">
      <alignment vertical="center"/>
    </xf>
    <xf numFmtId="0" fontId="64" applyFont="1" fillId="16" applyFill="1" borderId="52" applyBorder="1" xfId="0" applyProtection="1" applyAlignment="1">
      <alignment vertical="center"/>
    </xf>
    <xf numFmtId="0" fontId="65" applyFont="1" fillId="17" applyFill="1" borderId="0" xfId="0" applyProtection="1" applyAlignment="1">
      <alignment vertical="center"/>
    </xf>
    <xf numFmtId="0" fontId="66" applyFont="1" fillId="17" applyFill="1" borderId="0" xfId="0" applyProtection="1" applyAlignment="1">
      <alignment vertical="center"/>
    </xf>
    <xf numFmtId="0" fontId="64" applyFont="1" fillId="16" applyFill="1" borderId="45" applyBorder="1" xfId="0" applyProtection="1" applyAlignment="1">
      <alignment horizontal="center" vertical="center"/>
    </xf>
    <xf numFmtId="0" fontId="59" applyFont="1" fillId="15" applyFill="1" borderId="0" xfId="0" applyProtection="1" applyAlignment="1">
      <alignment vertical="center"/>
    </xf>
    <xf numFmtId="0" fontId="68" applyFont="1" fillId="16" applyFill="1" borderId="0" xfId="0" applyProtection="1" applyAlignment="1">
      <alignment vertical="center"/>
    </xf>
    <xf numFmtId="0" fontId="59" applyFont="1" fillId="16" applyFill="1" borderId="52" applyBorder="1" xfId="0" applyProtection="1" applyAlignment="1">
      <alignment vertical="center"/>
    </xf>
    <xf numFmtId="0" fontId="62" applyFont="1" fillId="16" applyFill="1" borderId="50" applyBorder="1" xfId="0" applyProtection="1" applyAlignment="1">
      <alignment vertical="center"/>
    </xf>
    <xf numFmtId="0" fontId="67" applyFont="1" fillId="16" applyFill="1" borderId="0" xfId="0" applyProtection="1"/>
    <xf numFmtId="0" fontId="69" applyFont="1" fillId="16" applyFill="1" borderId="55" applyBorder="1" xfId="0" applyProtection="1" applyAlignment="1">
      <alignment horizontal="center" vertical="center"/>
    </xf>
    <xf numFmtId="0" fontId="69" applyFont="1" fillId="16" applyFill="1" borderId="56" applyBorder="1" xfId="0" applyProtection="1" applyAlignment="1">
      <alignment horizontal="center" vertical="center"/>
    </xf>
    <xf numFmtId="0" fontId="70" applyFont="1" fillId="16" applyFill="1" borderId="57" applyBorder="1" xfId="0" applyProtection="1" applyAlignment="1">
      <alignment horizontal="center" vertical="center"/>
    </xf>
    <xf numFmtId="165" applyNumberFormat="1" fontId="68" applyFont="1" fillId="16" applyFill="1" borderId="58" applyBorder="1" xfId="1" applyProtection="1" applyAlignment="1">
      <alignment horizontal="center" vertical="center"/>
    </xf>
    <xf numFmtId="0" fontId="71" applyFont="1" fillId="16" applyFill="1" borderId="55" applyBorder="1" xfId="0" applyProtection="1" applyAlignment="1">
      <alignment horizontal="center" vertical="center"/>
    </xf>
    <xf numFmtId="0" fontId="69" applyFont="1" fillId="16" applyFill="1" borderId="59" applyBorder="1" xfId="0" applyProtection="1" applyAlignment="1">
      <alignment horizontal="center" vertical="center"/>
    </xf>
    <xf numFmtId="0" fontId="69" applyFont="1" fillId="18" applyFill="1" borderId="60" applyBorder="1" xfId="0" applyProtection="1" applyAlignment="1">
      <alignment horizontal="center" vertical="center"/>
    </xf>
    <xf numFmtId="0" fontId="69" applyFont="1" fillId="18" applyFill="1" borderId="56" applyBorder="1" xfId="0" applyProtection="1" applyAlignment="1">
      <alignment horizontal="center" vertical="center"/>
    </xf>
    <xf numFmtId="0" fontId="72" applyFont="1" fillId="16" applyFill="1" borderId="0" xfId="0" applyProtection="1"/>
    <xf numFmtId="0" fontId="72" applyFont="1" fillId="16" applyFill="1" borderId="61" applyBorder="1" xfId="0" applyProtection="1"/>
    <xf numFmtId="0" fontId="72" applyFont="1" fillId="16" applyFill="1" borderId="56" applyBorder="1" xfId="0" applyProtection="1"/>
    <xf numFmtId="0" fontId="69" applyFont="1" fillId="16" applyFill="1" borderId="62" applyBorder="1" xfId="0" applyProtection="1" applyAlignment="1">
      <alignment horizontal="center" vertical="center"/>
    </xf>
    <xf numFmtId="0" fontId="69" applyFont="1" fillId="16" applyFill="1" borderId="57" applyBorder="1" xfId="0" applyProtection="1" applyAlignment="1">
      <alignment horizontal="center" vertical="center"/>
    </xf>
    <xf numFmtId="0" fontId="69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73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9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71" applyFont="1" fillId="16" applyFill="1" borderId="58" applyBorder="1" xfId="0" applyProtection="1" applyAlignment="1">
      <alignment horizontal="center" vertical="center"/>
    </xf>
    <xf numFmtId="0" fontId="74" applyFont="1" fillId="7" applyFill="1" borderId="45" applyBorder="1" xfId="0" applyProtection="1" applyAlignment="1">
      <alignment horizontal="center"/>
    </xf>
    <xf numFmtId="0" fontId="60" applyFont="1" fillId="16" applyFill="1" borderId="0" xfId="0" applyProtection="1"/>
    <xf numFmtId="3" applyNumberFormat="1" fontId="77" applyFont="1" fillId="16" applyFill="1" borderId="0" xfId="0" applyProtection="1"/>
    <xf numFmtId="0" fontId="75" applyFont="1" fillId="16" applyFill="1" borderId="0" xfId="0" applyProtection="1" applyAlignment="1">
      <alignment vertical="center"/>
    </xf>
    <xf numFmtId="0" fontId="69" applyFont="1" fillId="16" applyFill="1" borderId="54" applyBorder="1" xfId="0" applyProtection="1" applyAlignment="1">
      <alignment horizontal="center" vertical="center"/>
    </xf>
    <xf numFmtId="0" fontId="81" applyFont="1" fillId="16" applyFill="1" borderId="0" xfId="0" applyProtection="1"/>
    <xf numFmtId="0" fontId="82" applyFont="1" fillId="0" borderId="45" applyBorder="1" xfId="0" applyProtection="1" applyAlignment="1">
      <alignment horizontal="center" vertical="center"/>
    </xf>
    <xf numFmtId="0" fontId="83" applyFont="1" fillId="0" borderId="45" applyBorder="1" xfId="0" applyProtection="1" applyAlignment="1">
      <alignment horizontal="center" vertical="center" wrapText="1"/>
    </xf>
    <xf numFmtId="0" fontId="82" applyFont="1" fillId="0" borderId="31" applyBorder="1" xfId="0" applyProtection="1" applyAlignment="1">
      <alignment horizontal="center" vertical="center"/>
    </xf>
    <xf numFmtId="0" fontId="84" applyFont="1" fillId="0" borderId="41" applyBorder="1" xfId="0" applyProtection="1" applyAlignment="1">
      <alignment horizontal="center" vertical="center"/>
    </xf>
    <xf numFmtId="0" fontId="84" applyFont="1" fillId="0" borderId="63" applyBorder="1" xfId="0" applyProtection="1" applyAlignment="1">
      <alignment horizontal="center" vertical="center"/>
    </xf>
    <xf numFmtId="0" fontId="84" applyFont="1" fillId="0" borderId="64" applyBorder="1" xfId="0" applyProtection="1" applyAlignment="1">
      <alignment horizontal="center" vertical="center"/>
    </xf>
    <xf numFmtId="0" fontId="58" applyFont="1" fillId="16" applyFill="1" borderId="48" applyBorder="1" xfId="0" applyProtection="1" applyAlignment="1">
      <alignment vertical="center"/>
    </xf>
    <xf numFmtId="1" applyNumberFormat="1" fontId="58" applyFont="1" fillId="16" applyFill="1" borderId="48" applyBorder="1" xfId="0" applyProtection="1" applyAlignment="1">
      <alignment vertical="center"/>
    </xf>
    <xf numFmtId="1" applyNumberFormat="1" fontId="58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5" applyFont="1" fillId="8" applyFill="1" borderId="0" xfId="0" applyProtection="1" applyAlignment="1">
      <alignment vertical="center"/>
    </xf>
    <xf numFmtId="0" fontId="89" applyFont="1" fillId="7" applyFill="1" borderId="45" applyBorder="1" xfId="0" applyProtection="1" applyAlignment="1">
      <alignment horizontal="center" vertical="center"/>
    </xf>
    <xf numFmtId="0" fontId="59" applyFont="1" fillId="8" applyFill="1" borderId="0" xfId="0" applyProtection="1" applyAlignment="1">
      <alignment vertical="center"/>
    </xf>
    <xf numFmtId="0" fontId="58" applyFont="1" fillId="0" borderId="0" xfId="0" applyProtection="1" applyAlignment="1">
      <alignment vertical="center"/>
    </xf>
    <xf numFmtId="3" applyNumberFormat="1" fontId="60" applyFont="1" fillId="0" borderId="0" xfId="0" applyProtection="1" applyAlignment="1">
      <alignment vertical="center"/>
    </xf>
    <xf numFmtId="3" applyNumberFormat="1" fontId="60" applyFont="1" fillId="0" borderId="0" xfId="0" applyProtection="1"/>
    <xf numFmtId="0" fontId="65" applyFont="1" fillId="0" borderId="0" xfId="0" applyProtection="1" applyAlignment="1">
      <alignment vertical="center"/>
    </xf>
    <xf numFmtId="0" fontId="63" applyFont="1" fillId="16" applyFill="1" borderId="69" applyBorder="1" xfId="0" applyProtection="1" applyAlignment="1">
      <alignment horizontal="center" vertical="center"/>
    </xf>
    <xf numFmtId="0" fontId="89" applyFont="1" fillId="0" borderId="0" xfId="0" applyProtection="1" applyAlignment="1">
      <alignment horizontal="center" vertical="center"/>
    </xf>
    <xf numFmtId="0" fontId="59" applyFont="1" fillId="0" borderId="0" xfId="0" applyProtection="1" applyAlignment="1">
      <alignment vertical="center"/>
    </xf>
    <xf numFmtId="0" fontId="64" applyFont="1" fillId="0" borderId="0" xfId="0" applyProtection="1" applyAlignment="1">
      <alignment horizontal="center" vertical="center"/>
    </xf>
    <xf numFmtId="1" applyNumberFormat="1" fontId="58" applyFont="1" fillId="16" applyFill="1" borderId="56" applyBorder="1" xfId="0" applyProtection="1" applyAlignment="1">
      <alignment vertical="center"/>
    </xf>
    <xf numFmtId="0" fontId="58" applyFont="1" fillId="16" applyFill="1" borderId="56" applyBorder="1" xfId="0" applyProtection="1" applyAlignment="1">
      <alignment vertical="center"/>
    </xf>
    <xf numFmtId="0" fontId="59" applyFont="1" fillId="16" applyFill="1" borderId="56" applyBorder="1" xfId="0" applyProtection="1" applyAlignment="1">
      <alignment vertical="center"/>
    </xf>
    <xf numFmtId="0" fontId="73" applyFont="1" fillId="16" applyFill="1" borderId="56" applyBorder="1" xfId="0" applyProtection="1" applyAlignment="1">
      <alignment vertical="center"/>
    </xf>
    <xf numFmtId="0" fontId="66" applyFont="1" fillId="8" applyFill="1" borderId="0" xfId="0" applyProtection="1" applyAlignment="1">
      <alignment vertical="center"/>
    </xf>
    <xf numFmtId="0" fontId="62" applyFont="1" fillId="16" applyFill="1" borderId="56" applyBorder="1" xfId="0" applyProtection="1" applyAlignment="1">
      <alignment vertical="center"/>
    </xf>
    <xf numFmtId="0" fontId="91" applyFont="1" fillId="0" borderId="45" applyBorder="1" xfId="0" applyProtection="1" applyAlignment="1">
      <alignment horizontal="center" vertical="center"/>
    </xf>
    <xf numFmtId="0" fontId="66" applyFont="1" fillId="0" borderId="0" xfId="0" applyProtection="1" applyAlignment="1">
      <alignment vertical="center"/>
    </xf>
    <xf numFmtId="1" applyNumberFormat="1" fontId="58" applyFont="1" fillId="16" applyFill="1" borderId="56" applyBorder="1" xfId="0" applyProtection="1" applyAlignment="1">
      <alignment horizontal="center" vertical="center"/>
    </xf>
    <xf numFmtId="0" fontId="67" applyFont="1" fillId="16" applyFill="1" borderId="56" applyBorder="1" xfId="0" applyProtection="1"/>
    <xf numFmtId="0" fontId="64" applyFont="1" fillId="16" applyFill="1" borderId="31" applyBorder="1" xfId="0" applyProtection="1" applyAlignment="1">
      <alignment horizontal="center" vertical="center"/>
    </xf>
    <xf numFmtId="0" fontId="56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3" applyFont="1" fillId="0" borderId="20" applyBorder="1" xfId="0" applyProtection="1" applyAlignment="1">
      <alignment horizontal="center"/>
    </xf>
    <xf numFmtId="0" fontId="93" applyFont="1" fillId="0" borderId="21" applyBorder="1" xfId="0" applyProtection="1" applyAlignment="1">
      <alignment horizontal="center"/>
    </xf>
    <xf numFmtId="0" fontId="93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3" applyFont="1" fillId="0" borderId="23" applyBorder="1" xfId="0" applyProtection="1" applyAlignment="1">
      <alignment horizontal="center"/>
    </xf>
    <xf numFmtId="0" fontId="93" applyFont="1" fillId="0" borderId="0" xfId="0" applyProtection="1" applyAlignment="1">
      <alignment horizontal="center"/>
    </xf>
    <xf numFmtId="0" fontId="93" applyFont="1" fillId="0" borderId="24" applyBorder="1" xfId="0" applyProtection="1" applyAlignment="1">
      <alignment horizontal="center"/>
    </xf>
    <xf numFmtId="0" fontId="93" applyFont="1" fillId="0" borderId="25" applyBorder="1" xfId="0" applyProtection="1" applyAlignment="1">
      <alignment horizontal="center"/>
    </xf>
    <xf numFmtId="0" fontId="93" applyFont="1" fillId="0" borderId="26" applyBorder="1" xfId="0" applyProtection="1" applyAlignment="1">
      <alignment horizontal="center"/>
    </xf>
    <xf numFmtId="0" fontId="93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6" applyFont="1" fillId="0" borderId="0" xfId="0" applyProtection="1" applyAlignment="1">
      <alignment horizontal="center"/>
    </xf>
    <xf numFmtId="0" fontId="96" applyFont="1" fillId="0" borderId="0" xfId="0" applyProtection="1" applyAlignment="1">
      <alignment horizontal="center"/>
      <protection locked="0"/>
    </xf>
    <xf numFmtId="0" fontId="96" applyFont="1" fillId="0" borderId="0" xfId="0" applyProtection="1" applyAlignment="1">
      <alignment horizontal="center" vertical="center" shrinkToFit="1"/>
    </xf>
    <xf numFmtId="0" fontId="96" applyFont="1" fillId="0" borderId="0" xfId="0" applyProtection="1" applyAlignment="1">
      <alignment horizontal="center" shrinkToFit="1"/>
    </xf>
    <xf numFmtId="0" fontId="97" applyFont="1" fillId="0" borderId="0" xfId="0" applyProtection="1" applyAlignment="1">
      <alignment horizontal="center"/>
    </xf>
    <xf numFmtId="0" fontId="98" applyFont="1" fillId="0" borderId="0" xfId="0" applyProtection="1" applyAlignment="1">
      <alignment horizontal="center"/>
    </xf>
    <xf numFmtId="2" applyNumberFormat="1" fontId="96" applyFont="1" fillId="12" applyFill="1" borderId="0" xfId="0" applyProtection="1" applyAlignment="1">
      <alignment horizontal="center"/>
    </xf>
    <xf numFmtId="9" applyNumberFormat="1" fontId="97" applyFont="1" fillId="0" borderId="0" xfId="0" applyProtection="1" applyAlignment="1">
      <alignment horizontal="center"/>
    </xf>
    <xf numFmtId="0" fontId="62" applyFont="1" fillId="16" applyFill="1" borderId="0" xfId="0" applyProtection="1" applyAlignment="1">
      <alignment vertical="center"/>
    </xf>
    <xf numFmtId="0" fontId="64" applyFont="1" fillId="16" applyFill="1" borderId="0" xfId="0" applyProtection="1" applyAlignment="1">
      <alignment vertical="center"/>
    </xf>
    <xf numFmtId="0" fontId="59" applyFont="1" fillId="16" applyFill="1" borderId="22" applyBorder="1" xfId="0" applyProtection="1" applyAlignment="1">
      <alignment horizontal="center" vertical="center"/>
    </xf>
    <xf numFmtId="0" fontId="62" applyFont="1" fillId="16" applyFill="1" borderId="55" applyBorder="1" xfId="0" applyProtection="1" applyAlignment="1">
      <alignment vertical="center"/>
    </xf>
    <xf numFmtId="0" fontId="99" applyFont="1" fillId="16" applyFill="1" borderId="56" applyBorder="1" xfId="0" applyProtection="1" applyAlignment="1">
      <alignment vertical="center"/>
    </xf>
    <xf numFmtId="0" fontId="63" applyFont="1" fillId="16" applyFill="1" borderId="56" applyBorder="1" xfId="0" applyProtection="1" applyAlignment="1">
      <alignment horizontal="center" vertical="center"/>
    </xf>
    <xf numFmtId="0" fontId="63" applyFont="1" fillId="16" applyFill="1" borderId="59" applyBorder="1" xfId="0" applyProtection="1" applyAlignment="1">
      <alignment horizontal="center" vertical="center"/>
    </xf>
    <xf numFmtId="0" fontId="67" applyFont="1" fillId="16" applyFill="1" borderId="59" applyBorder="1" xfId="0" applyProtection="1"/>
    <xf numFmtId="0" fontId="67" applyFont="1" fillId="16" applyFill="1" borderId="58" applyBorder="1" xfId="0" applyProtection="1"/>
    <xf numFmtId="0" fontId="99" applyFont="1" fillId="16" applyFill="1" borderId="71" applyBorder="1" xfId="0" applyProtection="1" applyAlignment="1">
      <alignment vertical="center"/>
    </xf>
    <xf numFmtId="0" fontId="99" applyFont="1" fillId="16" applyFill="1" borderId="69" applyBorder="1" xfId="0" applyProtection="1" applyAlignment="1">
      <alignment vertical="center"/>
    </xf>
    <xf numFmtId="0" fontId="2" applyFont="1" fillId="0" borderId="0" xfId="0" applyProtection="1" applyAlignment="1">
      <alignment horizontal="center"/>
    </xf>
    <xf numFmtId="167" applyNumberFormat="1" fontId="36" applyFont="1" fillId="0" borderId="0" xfId="0" applyProtection="1" applyAlignment="1">
      <alignment horizontal="center"/>
    </xf>
    <xf numFmtId="1" applyNumberFormat="1" fontId="36" applyFont="1" fillId="0" borderId="0" xfId="0" applyProtection="1" applyAlignment="1">
      <alignment horizontal="center"/>
    </xf>
    <xf numFmtId="0" fontId="3" applyFont="1" fillId="0" borderId="0" xfId="3" applyProtection="1" applyAlignment="1">
      <alignment horizontal="center" vertical="center"/>
    </xf>
    <xf numFmtId="0" fontId="76" applyFont="1" fillId="16" applyFill="1" borderId="0" xfId="0" applyProtection="1" applyAlignment="1">
      <alignment vertical="center"/>
    </xf>
    <xf numFmtId="0" fontId="100" applyFont="1" fillId="16" applyFill="1" borderId="49" applyBorder="1" xfId="0" applyProtection="1" applyAlignment="1">
      <alignment horizontal="center" vertical="center"/>
    </xf>
    <xf numFmtId="1" applyNumberFormat="1" fontId="101" applyFont="1" fillId="16" applyFill="1" borderId="56" applyBorder="1" xfId="0" applyProtection="1" applyAlignment="1">
      <alignment horizontal="center" vertical="center"/>
    </xf>
    <xf numFmtId="0" fontId="103" applyFont="1" fillId="8" applyFill="1" borderId="23" applyBorder="1" xfId="3" applyProtection="1" applyAlignment="1">
      <alignment horizontal="center" vertical="center"/>
    </xf>
    <xf numFmtId="169" applyNumberFormat="1" fontId="104" applyFont="1" fillId="8" applyFill="1" borderId="0" xfId="3" applyProtection="1" applyAlignment="1">
      <alignment horizontal="center" vertical="center"/>
    </xf>
    <xf numFmtId="0" fontId="103" applyFont="1" fillId="20" applyFill="1" borderId="0" xfId="3" applyProtection="1" applyAlignment="1">
      <alignment horizontal="center" vertical="center"/>
    </xf>
    <xf numFmtId="3" applyNumberFormat="1" fontId="103" applyFont="1" fillId="2" applyFill="1" borderId="0" xfId="3" applyProtection="1" applyAlignment="1">
      <alignment horizontal="center" vertical="center"/>
    </xf>
    <xf numFmtId="0" fontId="105" applyFont="1" fillId="0" borderId="0" xfId="3" applyProtection="1" applyAlignment="1">
      <alignment horizontal="center" vertical="center"/>
    </xf>
    <xf numFmtId="0" fontId="106" applyFont="1" fillId="0" borderId="23" applyBorder="1" xfId="0" applyProtection="1" applyAlignment="1">
      <alignment horizontal="center" vertical="center"/>
    </xf>
    <xf numFmtId="0" fontId="106" applyFont="1" fillId="0" borderId="0" xfId="0" applyProtection="1" applyAlignment="1">
      <alignment horizontal="center" vertical="center"/>
    </xf>
    <xf numFmtId="0" fontId="102" applyFont="1" fillId="0" borderId="28" applyBorder="1" xfId="3" applyProtection="1" applyAlignment="1">
      <alignment horizontal="center" vertical="center"/>
    </xf>
    <xf numFmtId="3" applyNumberFormat="1" fontId="106" applyFont="1" fillId="0" borderId="0" xfId="0" applyProtection="1" applyAlignment="1">
      <alignment horizontal="center" vertical="center"/>
    </xf>
    <xf numFmtId="169" applyNumberFormat="1" fontId="106" applyFont="1" fillId="0" borderId="0" xfId="0" applyProtection="1" applyAlignment="1">
      <alignment horizontal="center" vertical="center"/>
    </xf>
    <xf numFmtId="0" fontId="3" applyFont="1" fillId="0" borderId="28" applyBorder="1" xfId="3" applyProtection="1" applyAlignment="1">
      <alignment horizontal="center" vertical="center"/>
    </xf>
    <xf numFmtId="0" fontId="103" applyFont="1" fillId="0" borderId="0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2" applyNumberFormat="1" fontId="3" applyFont="1" fillId="0" borderId="0" xfId="3" applyProtection="1" applyAlignment="1">
      <alignment horizontal="center" vertical="center"/>
    </xf>
    <xf numFmtId="0" fontId="0" fillId="0" borderId="0" xfId="0" applyProtection="1" applyAlignment="1">
      <alignment horizontal="center"/>
    </xf>
    <xf numFmtId="0" fontId="34" applyFont="1" fillId="0" borderId="21" applyBorder="1" xfId="0" applyProtection="1" applyAlignment="1">
      <alignment horizontal="center"/>
    </xf>
    <xf numFmtId="0" fontId="34" applyFont="1" fillId="0" borderId="0" xfId="0" applyProtection="1" applyAlignment="1">
      <alignment horizontal="center"/>
    </xf>
    <xf numFmtId="0" fontId="0" fillId="0" borderId="23" applyBorder="1" xfId="0" applyAlignment="1">
      <alignment horizontal="center" vertical="center"/>
      <protection hidden="1"/>
    </xf>
    <xf numFmtId="0" fontId="107" applyFont="1" fillId="0" borderId="23" applyBorder="1" xfId="0" applyAlignment="1">
      <alignment horizontal="center" vertical="center"/>
      <protection hidden="1"/>
    </xf>
    <xf numFmtId="0" fontId="107" applyFont="1" fillId="0" borderId="0" xfId="0" applyAlignment="1">
      <alignment horizontal="center" vertical="center"/>
      <protection hidden="1"/>
    </xf>
    <xf numFmtId="0" fontId="107" applyFont="1" fillId="0" borderId="0" xfId="0" applyAlignment="1">
      <alignment horizontal="center" vertical="center"/>
      <protection hidden="1"/>
    </xf>
    <xf numFmtId="0" fontId="36" applyFont="1" fillId="0" borderId="11" applyBorder="1" xfId="0" applyAlignment="1">
      <alignment horizontal="center" vertical="center"/>
      <protection hidden="1"/>
    </xf>
    <xf numFmtId="0" fontId="35" applyFont="1" fillId="0" borderId="0" xfId="0" applyProtection="1" applyAlignment="1">
      <alignment horizontal="center" vertical="center"/>
    </xf>
    <xf numFmtId="0" fontId="1" applyFont="1" fillId="0" borderId="0" xfId="0" applyProtection="1" applyAlignment="1">
      <alignment horizontal="center"/>
    </xf>
    <xf numFmtId="0" fontId="93" applyFont="1" fillId="0" borderId="21" applyBorder="1" xfId="0" applyProtection="1" applyAlignment="1">
      <alignment horizontal="center" vertical="center"/>
    </xf>
    <xf numFmtId="0" fontId="93" applyFont="1" fillId="0" borderId="0" xfId="0" applyProtection="1" applyAlignment="1">
      <alignment horizontal="center" vertical="center"/>
    </xf>
    <xf numFmtId="0" fontId="93" applyFont="1" fillId="0" borderId="0" xfId="0" applyProtection="1" applyAlignment="1">
      <alignment horizontal="center"/>
    </xf>
    <xf numFmtId="3" applyNumberFormat="1" fontId="60" applyFont="1" fillId="16" applyFill="1" borderId="0" xfId="0" applyProtection="1" applyAlignment="1">
      <alignment horizontal="center" vertical="center"/>
    </xf>
    <xf numFmtId="3" applyNumberFormat="1" fontId="77" applyFont="1" fillId="16" applyFill="1" borderId="0" xfId="0" applyProtection="1" applyAlignment="1">
      <alignment horizontal="right"/>
    </xf>
    <xf numFmtId="0" fontId="58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76" applyFont="1" fillId="16" applyFill="1" borderId="23" applyBorder="1" xfId="0" applyProtection="1" applyAlignment="1">
      <alignment horizontal="center" vertical="center"/>
    </xf>
    <xf numFmtId="0" fontId="76" applyFont="1" fillId="16" applyFill="1" borderId="0" xfId="0" applyProtection="1" applyAlignment="1">
      <alignment horizontal="center" vertical="center"/>
    </xf>
    <xf numFmtId="0" fontId="86" applyFont="1" fillId="0" borderId="67" applyBorder="1" xfId="0" applyProtection="1" applyAlignment="1">
      <alignment horizontal="center" vertical="center"/>
    </xf>
    <xf numFmtId="0" fontId="86" applyFont="1" fillId="0" borderId="68" applyBorder="1" xfId="0" applyProtection="1" applyAlignment="1">
      <alignment horizontal="center" vertical="center"/>
    </xf>
    <xf numFmtId="164" applyNumberFormat="1" fontId="88" applyFont="1" fillId="0" borderId="67" applyBorder="1" xfId="1" applyProtection="1" applyAlignment="1">
      <alignment horizontal="center" vertical="center"/>
    </xf>
    <xf numFmtId="164" applyNumberFormat="1" fontId="88" applyFont="1" fillId="0" borderId="68" applyBorder="1" xfId="1" applyProtection="1" applyAlignment="1">
      <alignment horizontal="center" vertical="center"/>
    </xf>
    <xf numFmtId="0" fontId="76" applyFont="1" fillId="0" borderId="0" xfId="0" applyProtection="1" applyAlignment="1">
      <alignment horizontal="center" vertical="center"/>
    </xf>
    <xf numFmtId="164" applyNumberFormat="1" fontId="74" applyFont="1" fillId="7" applyFill="1" borderId="29" applyBorder="1" xfId="1" applyProtection="1" applyAlignment="1">
      <alignment horizontal="center"/>
    </xf>
    <xf numFmtId="164" applyNumberFormat="1" fontId="74" applyFont="1" fillId="7" applyFill="1" borderId="31" applyBorder="1" xfId="1" applyProtection="1" applyAlignment="1">
      <alignment horizontal="center"/>
    </xf>
    <xf numFmtId="164" applyNumberFormat="1" fontId="90" applyFont="1" fillId="7" applyFill="1" borderId="20" applyBorder="1" xfId="1" applyProtection="1" applyAlignment="1">
      <alignment horizontal="center"/>
    </xf>
    <xf numFmtId="164" applyNumberFormat="1" fontId="90" applyFont="1" fillId="7" applyFill="1" borderId="22" applyBorder="1" xfId="1" applyProtection="1" applyAlignment="1">
      <alignment horizontal="center"/>
    </xf>
    <xf numFmtId="0" fontId="73" applyFont="1" fillId="16" applyFill="1" borderId="0" xfId="0" applyProtection="1" applyAlignment="1">
      <alignment horizontal="center" vertical="center"/>
    </xf>
    <xf numFmtId="164" applyNumberFormat="1" fontId="74" applyFont="1" fillId="7" applyFill="1" borderId="25" applyBorder="1" xfId="1" applyProtection="1" applyAlignment="1">
      <alignment horizontal="center"/>
    </xf>
    <xf numFmtId="164" applyNumberFormat="1" fontId="74" applyFont="1" fillId="7" applyFill="1" borderId="27" applyBorder="1" xfId="1" applyProtection="1" applyAlignment="1">
      <alignment horizontal="center"/>
    </xf>
    <xf numFmtId="0" fontId="69" applyFont="1" fillId="16" applyFill="1" borderId="55" applyBorder="1" xfId="0" applyProtection="1" applyAlignment="1">
      <alignment horizontal="center" vertical="center"/>
    </xf>
    <xf numFmtId="0" fontId="69" applyFont="1" fillId="16" applyFill="1" borderId="56" applyBorder="1" xfId="0" applyProtection="1" applyAlignment="1">
      <alignment horizontal="center" vertical="center"/>
    </xf>
    <xf numFmtId="0" fontId="0" fillId="16" applyFill="1" borderId="70" applyBorder="1" xfId="0" applyProtection="1" applyAlignment="1">
      <alignment horizontal="center"/>
    </xf>
    <xf numFmtId="0" fontId="60" applyFont="1" fillId="16" applyFill="1" borderId="0" xfId="0" applyProtection="1" applyAlignment="1">
      <alignment horizontal="center"/>
    </xf>
    <xf numFmtId="0" fontId="85" applyFont="1" fillId="0" borderId="21" applyBorder="1" xfId="0" applyProtection="1" applyAlignment="1">
      <alignment horizontal="center" vertical="center"/>
    </xf>
    <xf numFmtId="0" fontId="85" applyFont="1" fillId="0" borderId="5" applyBorder="1" xfId="0" applyProtection="1" applyAlignment="1">
      <alignment horizontal="center" vertical="center"/>
    </xf>
    <xf numFmtId="0" fontId="87" applyFont="1" fillId="0" borderId="2" applyBorder="1" xfId="0" applyProtection="1" applyAlignment="1">
      <alignment horizontal="center" vertical="center"/>
    </xf>
    <xf numFmtId="0" fontId="87" applyFont="1" fillId="0" borderId="0" xfId="0" applyProtection="1" applyAlignment="1">
      <alignment horizontal="center" vertical="center"/>
    </xf>
    <xf numFmtId="0" fontId="85" applyFont="1" fillId="0" borderId="21" applyBorder="1" xfId="0" applyProtection="1" applyAlignment="1">
      <alignment horizontal="center" vertical="center" wrapText="1"/>
    </xf>
    <xf numFmtId="0" fontId="85" applyFont="1" fillId="0" borderId="5" applyBorder="1" xfId="0" applyProtection="1" applyAlignment="1">
      <alignment horizontal="center" vertical="center" wrapText="1"/>
    </xf>
    <xf numFmtId="0" fontId="92" applyFont="1" fillId="16" applyFill="1" borderId="0" xfId="0" applyProtection="1" applyAlignment="1">
      <alignment horizontal="center"/>
    </xf>
    <xf numFmtId="0" fontId="79" applyFont="1" fillId="7" applyFill="1" borderId="0" xfId="0" applyProtection="1" applyAlignment="1">
      <alignment horizontal="center" vertical="center"/>
    </xf>
    <xf numFmtId="166" applyNumberFormat="1" fontId="80" applyFont="1" fillId="7" applyFill="1" borderId="0" xfId="0" applyProtection="1" applyAlignment="1">
      <alignment horizontal="center"/>
    </xf>
    <xf numFmtId="0" fontId="56" applyFont="1" fillId="16" applyFill="1" borderId="0" xfId="0" applyProtection="1" applyAlignment="1">
      <alignment horizontal="center"/>
    </xf>
    <xf numFmtId="0" fontId="0" fillId="16" applyFill="1" borderId="0" xfId="0" applyProtection="1" applyAlignment="1">
      <alignment horizontal="center"/>
    </xf>
    <xf numFmtId="0" fontId="0" fillId="0" borderId="0" xfId="0" applyProtection="1" applyAlignment="1">
      <alignment horizontal="center"/>
    </xf>
    <xf numFmtId="164" applyNumberFormat="1" fontId="88" applyFont="1" fillId="0" borderId="65" applyBorder="1" xfId="1" applyProtection="1" applyAlignment="1">
      <alignment horizontal="center" vertical="center"/>
    </xf>
    <xf numFmtId="164" applyNumberFormat="1" fontId="88" applyFont="1" fillId="0" borderId="0" xfId="1" applyProtection="1" applyAlignment="1">
      <alignment horizontal="center" vertical="center"/>
    </xf>
    <xf numFmtId="0" fontId="86" applyFont="1" fillId="0" borderId="65" applyBorder="1" xfId="0" applyProtection="1" applyAlignment="1">
      <alignment horizontal="center" vertical="center"/>
    </xf>
    <xf numFmtId="0" fontId="86" applyFont="1" fillId="0" borderId="66" applyBorder="1" xfId="0" applyProtection="1" applyAlignment="1">
      <alignment horizontal="center" vertical="center"/>
    </xf>
    <xf numFmtId="0" fontId="60" applyFont="1" fillId="16" applyFill="1" borderId="0" xfId="0" applyProtection="1" applyAlignment="1">
      <alignment horizontal="left"/>
    </xf>
    <xf numFmtId="0" fontId="54" applyFont="1" fillId="0" borderId="0" xfId="0" applyProtection="1" applyAlignment="1">
      <alignment horizontal="center" vertical="center"/>
    </xf>
    <xf numFmtId="0" fontId="52" applyFont="1" fillId="0" borderId="0" xfId="2" applyProtection="1" applyAlignment="1">
      <alignment horizontal="center" vertical="center"/>
    </xf>
    <xf numFmtId="0" fontId="57" applyFont="1" fillId="0" borderId="0" xfId="0" applyProtection="1" applyAlignment="1">
      <alignment horizontal="center" vertical="center"/>
    </xf>
    <xf numFmtId="0" fontId="53" applyFont="1" fillId="0" borderId="0" xfId="2" applyProtection="1" applyAlignment="1">
      <alignment horizontal="center" vertical="center"/>
    </xf>
    <xf numFmtId="0" fontId="78" applyFont="1" fillId="16" applyFill="1" borderId="0" xfId="0" applyProtection="1" applyAlignment="1">
      <alignment horizontal="center"/>
    </xf>
    <xf numFmtId="0" fontId="67" applyFont="1" fillId="16" applyFill="1" borderId="0" xfId="0" applyProtection="1" applyAlignment="1">
      <alignment horizontal="center"/>
    </xf>
    <xf numFmtId="0" fontId="67" applyFont="1" fillId="16" applyFill="1" borderId="53" applyBorder="1" xfId="0" applyProtection="1" applyAlignment="1">
      <alignment horizontal="center"/>
    </xf>
    <xf numFmtId="0" fontId="75" applyFont="1" fillId="16" applyFill="1" borderId="0" xfId="0" applyProtection="1" applyAlignment="1">
      <alignment horizontal="center" vertical="top"/>
    </xf>
    <xf numFmtId="0" fontId="55" applyFont="1" fillId="0" borderId="0" xfId="0" applyProtection="1" applyAlignment="1">
      <alignment horizontal="center"/>
    </xf>
    <xf numFmtId="0" fontId="75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42" applyFont="1" fillId="0" borderId="0" xfId="0" applyProtection="1" applyAlignment="1">
      <alignment horizontal="center"/>
      <protection locked="0"/>
    </xf>
    <xf numFmtId="0" fontId="37" applyFont="1" fillId="10" applyFill="1" borderId="20" applyBorder="1" xfId="0" applyProtection="1" applyAlignment="1">
      <alignment horizontal="center" vertical="center"/>
    </xf>
    <xf numFmtId="0" fontId="37" applyFont="1" fillId="10" applyFill="1" borderId="21" applyBorder="1" xfId="0" applyProtection="1" applyAlignment="1">
      <alignment horizontal="center" vertical="center"/>
    </xf>
    <xf numFmtId="0" fontId="37" applyFont="1" fillId="10" applyFill="1" borderId="22" applyBorder="1" xfId="0" applyProtection="1" applyAlignment="1">
      <alignment horizontal="center" vertical="center"/>
    </xf>
    <xf numFmtId="0" fontId="37" applyFont="1" fillId="10" applyFill="1" borderId="25" applyBorder="1" xfId="0" applyProtection="1" applyAlignment="1">
      <alignment horizontal="center" vertical="center"/>
    </xf>
    <xf numFmtId="0" fontId="37" applyFont="1" fillId="10" applyFill="1" borderId="26" applyBorder="1" xfId="0" applyProtection="1" applyAlignment="1">
      <alignment horizontal="center" vertical="center"/>
    </xf>
    <xf numFmtId="0" fontId="37" applyFont="1" fillId="10" applyFill="1" borderId="27" applyBorder="1" xfId="0" applyProtection="1" applyAlignment="1">
      <alignment horizontal="center" vertical="center"/>
    </xf>
    <xf numFmtId="0" fontId="42" applyFont="1" fillId="11" applyFill="1" borderId="0" xfId="0" applyProtection="1" applyAlignment="1">
      <alignment horizontal="center"/>
      <protection locked="0"/>
    </xf>
    <xf numFmtId="0" fontId="38" applyFont="1" fillId="2" applyFill="1" borderId="29" applyBorder="1" xfId="0" applyProtection="1" applyAlignment="1">
      <alignment horizontal="center" vertical="center"/>
    </xf>
    <xf numFmtId="0" fontId="38" applyFont="1" fillId="2" applyFill="1" borderId="31" applyBorder="1" xfId="0" applyProtection="1" applyAlignment="1">
      <alignment horizontal="center" vertical="center"/>
    </xf>
    <xf numFmtId="170" applyNumberFormat="1" fontId="43" applyFont="1" fillId="2" applyFill="1" borderId="23" applyBorder="1" xfId="0" applyProtection="1" applyAlignment="1">
      <alignment horizontal="center" vertical="center"/>
    </xf>
    <xf numFmtId="170" applyNumberFormat="1" fontId="43" applyFont="1" fillId="2" applyFill="1" borderId="0" xfId="0" applyProtection="1" applyAlignment="1">
      <alignment horizontal="center" vertical="center"/>
    </xf>
    <xf numFmtId="0" fontId="37" applyFont="1" fillId="10" applyFill="1" borderId="0" xfId="0" applyProtection="1" applyAlignment="1">
      <alignment horizontal="center" vertical="center"/>
    </xf>
    <xf numFmtId="0" fontId="38" applyFont="1" fillId="2" applyFill="1" borderId="0" xfId="0" applyProtection="1" applyAlignment="1">
      <alignment horizontal="center" vertical="center"/>
    </xf>
    <xf numFmtId="0" fontId="43" applyFont="1" fillId="2" applyFill="1" borderId="0" xfId="0" applyProtection="1" applyAlignment="1">
      <alignment horizontal="center" vertical="center"/>
    </xf>
    <xf numFmtId="0" fontId="6" applyFont="1" fillId="2" applyFill="1" borderId="9" applyBorder="1" xfId="3" applyProtection="1" applyAlignment="1">
      <alignment horizontal="center"/>
      <protection locked="0"/>
    </xf>
    <xf numFmtId="0" fontId="6" applyFont="1" fillId="2" applyFill="1" borderId="10" applyBorder="1" xfId="3" applyProtection="1" applyAlignment="1">
      <alignment horizontal="center"/>
      <protection locked="0"/>
    </xf>
    <xf numFmtId="0" fontId="6" applyFont="1" fillId="2" applyFill="1" borderId="11" applyBorder="1" xfId="3" applyProtection="1" applyAlignment="1">
      <alignment horizontal="center"/>
      <protection locked="0"/>
    </xf>
    <xf numFmtId="0" fontId="3" applyFont="1" fillId="0" borderId="5" applyBorder="1" xfId="3" applyProtection="1" applyAlignment="1">
      <alignment horizontal="center"/>
    </xf>
    <xf numFmtId="0" fontId="3" applyFont="1" fillId="0" borderId="1" applyBorder="1" xfId="3" applyProtection="1" applyAlignment="1">
      <alignment horizontal="center"/>
      <protection locked="0"/>
    </xf>
    <xf numFmtId="0" fontId="3" applyFont="1" fillId="0" borderId="2" applyBorder="1" xfId="3" applyProtection="1" applyAlignment="1">
      <alignment horizontal="center"/>
      <protection locked="0"/>
    </xf>
    <xf numFmtId="0" fontId="3" applyFont="1" fillId="0" borderId="6" applyBorder="1" xfId="3" applyProtection="1" applyAlignment="1">
      <alignment horizontal="center"/>
      <protection locked="0"/>
    </xf>
    <xf numFmtId="0" fontId="3" applyFont="1" fillId="0" borderId="9" applyBorder="1" xfId="3" applyProtection="1" applyAlignment="1">
      <alignment horizontal="center"/>
      <protection locked="0"/>
    </xf>
    <xf numFmtId="0" fontId="3" applyFont="1" fillId="0" borderId="10" applyBorder="1" xfId="3" applyProtection="1" applyAlignment="1">
      <alignment horizontal="center"/>
      <protection locked="0"/>
    </xf>
    <xf numFmtId="0" fontId="3" applyFont="1" fillId="0" borderId="11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</xf>
    <xf numFmtId="0" fontId="23" applyFont="1" fillId="0" borderId="0" xfId="3" applyProtection="1" applyAlignment="1">
      <alignment horizontal="left"/>
    </xf>
    <xf numFmtId="0" fontId="3" applyFont="1" fillId="0" borderId="9" applyBorder="1" xfId="3" applyProtection="1" applyAlignment="1">
      <alignment horizontal="center"/>
    </xf>
    <xf numFmtId="0" fontId="3" applyFont="1" fillId="0" borderId="10" applyBorder="1" xfId="3" applyProtection="1" applyAlignment="1">
      <alignment horizontal="center"/>
    </xf>
    <xf numFmtId="0" fontId="3" applyFont="1" fillId="0" borderId="9" applyBorder="1" xfId="3" applyProtection="1" applyAlignment="1">
      <alignment horizontal="left"/>
    </xf>
    <xf numFmtId="0" fontId="3" applyFont="1" fillId="0" borderId="10" applyBorder="1" xfId="3" applyProtection="1" applyAlignment="1">
      <alignment horizontal="left"/>
    </xf>
    <xf numFmtId="0" fontId="3" applyFont="1" fillId="2" applyFill="1" borderId="9" applyBorder="1" xfId="3" applyProtection="1" applyAlignment="1">
      <alignment horizontal="left"/>
    </xf>
    <xf numFmtId="0" fontId="3" applyFont="1" fillId="2" applyFill="1" borderId="10" applyBorder="1" xfId="3" applyProtection="1" applyAlignment="1">
      <alignment horizontal="left"/>
    </xf>
    <xf numFmtId="0" fontId="3" applyFont="1" fillId="2" applyFill="1" borderId="10" applyBorder="1" xfId="3" applyProtection="1" applyAlignment="1">
      <alignment horizontal="center"/>
      <protection locked="0"/>
    </xf>
    <xf numFmtId="0" fontId="3" applyFont="1" fillId="2" applyFill="1" borderId="11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left"/>
    </xf>
    <xf numFmtId="0" fontId="6" applyFont="1" fillId="0" borderId="0" xfId="3" applyProtection="1" applyAlignment="1">
      <alignment horizontal="left" wrapText="1"/>
    </xf>
    <xf numFmtId="0" fontId="8" applyFont="1" fillId="0" borderId="29" applyBorder="1" xfId="3" applyProtection="1" applyAlignment="1">
      <alignment horizontal="center"/>
    </xf>
    <xf numFmtId="0" fontId="8" applyFont="1" fillId="0" borderId="30" applyBorder="1" xfId="3" applyProtection="1" applyAlignment="1">
      <alignment horizontal="center"/>
    </xf>
    <xf numFmtId="0" fontId="8" applyFont="1" fillId="0" borderId="31" applyBorder="1" xfId="3" applyProtection="1" applyAlignment="1">
      <alignment horizontal="center"/>
    </xf>
    <xf numFmtId="0" fontId="3" applyFont="1" fillId="0" borderId="28" applyBorder="1" xfId="3" applyProtection="1" applyAlignment="1">
      <alignment horizontal="center" vertical="center" wrapText="1"/>
    </xf>
    <xf numFmtId="168" applyNumberFormat="1" fontId="3" applyFont="1" fillId="0" borderId="12" applyBorder="1" xfId="3" applyProtection="1" applyAlignment="1">
      <alignment horizontal="center" vertical="center" wrapText="1"/>
    </xf>
    <xf numFmtId="4" applyNumberFormat="1" fontId="10" applyFont="1" fillId="0" borderId="29" applyBorder="1" xfId="3" applyProtection="1" applyAlignment="1">
      <alignment horizontal="center" vertical="center" shrinkToFit="1"/>
    </xf>
    <xf numFmtId="4" applyNumberFormat="1" fontId="10" applyFont="1" fillId="0" borderId="30" applyBorder="1" xfId="3" applyProtection="1" applyAlignment="1">
      <alignment horizontal="center" vertical="center" shrinkToFit="1"/>
    </xf>
    <xf numFmtId="4" applyNumberFormat="1" fontId="10" applyFont="1" fillId="0" borderId="31" applyBorder="1" xfId="3" applyProtection="1" applyAlignment="1">
      <alignment horizontal="center" vertical="center" shrinkToFit="1"/>
    </xf>
    <xf numFmtId="2" applyNumberFormat="1" fontId="10" applyFont="1" fillId="0" borderId="29" applyBorder="1" xfId="3" applyProtection="1" applyAlignment="1">
      <alignment horizontal="center" vertical="center" shrinkToFit="1"/>
    </xf>
    <xf numFmtId="2" applyNumberFormat="1" fontId="10" applyFont="1" fillId="0" borderId="30" applyBorder="1" xfId="3" applyProtection="1" applyAlignment="1">
      <alignment horizontal="center" vertical="center" shrinkToFit="1"/>
    </xf>
    <xf numFmtId="2" applyNumberFormat="1" fontId="10" applyFont="1" fillId="0" borderId="31" applyBorder="1" xfId="3" applyProtection="1" applyAlignment="1">
      <alignment horizontal="center" vertical="center" shrinkToFit="1"/>
    </xf>
    <xf numFmtId="0" fontId="13" applyFont="1" fillId="0" borderId="4" applyBorder="1" xfId="3" applyProtection="1" applyAlignment="1">
      <alignment horizontal="center"/>
    </xf>
    <xf numFmtId="0" fontId="13" applyFont="1" fillId="0" borderId="5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8" applyBorder="1" xfId="3" applyProtection="1" applyAlignment="1">
      <alignment horizontal="center"/>
    </xf>
    <xf numFmtId="1" applyNumberFormat="1" fontId="11" applyFont="1" fillId="0" borderId="5" applyBorder="1" xfId="3" applyProtection="1" applyAlignment="1">
      <alignment horizontal="right"/>
    </xf>
    <xf numFmtId="49" applyNumberFormat="1" fontId="9" applyFont="1" fillId="0" borderId="28" applyBorder="1" xfId="3" applyProtection="1" applyAlignment="1">
      <alignment horizontal="center" vertical="center" shrinkToFit="1"/>
    </xf>
    <xf numFmtId="49" applyNumberFormat="1" fontId="9" applyFont="1" fillId="0" borderId="12" applyBorder="1" xfId="3" applyProtection="1" applyAlignment="1">
      <alignment horizontal="center" vertical="center" shrinkToFit="1"/>
    </xf>
    <xf numFmtId="2" applyNumberFormat="1" fontId="10" applyFont="1" fillId="0" borderId="28" applyBorder="1" xfId="3" applyProtection="1" applyAlignment="1">
      <alignment horizontal="center" vertical="center" shrinkToFit="1"/>
    </xf>
    <xf numFmtId="2" applyNumberFormat="1" fontId="10" applyFont="1" fillId="0" borderId="12" applyBorder="1" xfId="3" applyProtection="1" applyAlignment="1">
      <alignment horizontal="center" vertical="center" shrinkToFit="1"/>
    </xf>
    <xf numFmtId="0" fontId="13" applyFont="1" fillId="0" borderId="9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1" applyNumberFormat="1" fontId="11" applyFont="1" fillId="0" borderId="10" applyBorder="1" xfId="3" applyProtection="1" applyAlignment="1">
      <alignment horizontal="right"/>
    </xf>
    <xf numFmtId="0" fontId="14" applyFont="1" fillId="0" borderId="9" applyBorder="1" xfId="3" applyProtection="1" applyAlignment="1">
      <alignment horizontal="center"/>
    </xf>
    <xf numFmtId="0" fontId="14" applyFont="1" fillId="0" borderId="10" applyBorder="1" xfId="3" applyProtection="1" applyAlignment="1">
      <alignment horizontal="center"/>
    </xf>
    <xf numFmtId="0" fontId="14" applyFont="1" fillId="0" borderId="11" applyBorder="1" xfId="3" applyProtection="1" applyAlignment="1">
      <alignment horizontal="center"/>
    </xf>
    <xf numFmtId="0" fontId="15" applyFont="1" fillId="2" applyFill="1" borderId="10" applyBorder="1" xfId="3" applyProtection="1" applyAlignment="1">
      <alignment horizontal="right"/>
    </xf>
    <xf numFmtId="0" fontId="15" applyFont="1" fillId="0" borderId="28" applyBorder="1" xfId="3" applyProtection="1" applyAlignment="1">
      <alignment horizontal="center"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22" applyFont="1" fillId="0" borderId="28" applyBorder="1" xfId="3" applyProtection="1" applyAlignment="1">
      <alignment horizontal="center"/>
    </xf>
    <xf numFmtId="0" fontId="15" applyFont="1" fillId="2" applyFill="1" borderId="4" applyBorder="1" xfId="3" applyProtection="1" applyAlignment="1">
      <alignment horizontal="left" vertical="center" shrinkToFit="1"/>
    </xf>
    <xf numFmtId="0" fontId="3" applyFont="1" fillId="2" applyFill="1" borderId="5" applyBorder="1" xfId="3" applyProtection="1"/>
    <xf numFmtId="0" fontId="3" applyFont="1" fillId="2" applyFill="1" borderId="8" applyBorder="1" xfId="3" applyProtection="1"/>
    <xf numFmtId="0" fontId="11" applyFont="1" fillId="2" applyFill="1" borderId="14" applyBorder="1" xfId="3" applyProtection="1" applyAlignment="1">
      <alignment horizontal="center" vertical="center" shrinkToFit="1"/>
    </xf>
    <xf numFmtId="166" applyNumberFormat="1" fontId="22" applyFont="1" fillId="2" applyFill="1" borderId="14" applyBorder="1" xfId="3" applyProtection="1" applyAlignment="1">
      <alignment horizontal="center" vertical="center" shrinkToFit="1"/>
    </xf>
    <xf numFmtId="0" fontId="15" applyFont="1" fillId="2" applyFill="1" borderId="28" applyBorder="1" xfId="3" applyProtection="1" applyAlignment="1">
      <alignment horizontal="left" vertical="center" shrinkToFit="1"/>
    </xf>
    <xf numFmtId="0" fontId="11" applyFont="1" fillId="2" applyFill="1" borderId="28" applyBorder="1" xfId="3" applyProtection="1" applyAlignment="1">
      <alignment horizontal="center" vertical="center" shrinkToFit="1"/>
    </xf>
    <xf numFmtId="166" applyNumberFormat="1" fontId="22" applyFont="1" fillId="2" applyFill="1" borderId="28" applyBorder="1" xfId="3" applyProtection="1" applyAlignment="1">
      <alignment horizontal="center" vertical="center" shrinkToFit="1"/>
    </xf>
    <xf numFmtId="0" fontId="10" applyFont="1" fillId="0" borderId="33" applyBorder="1" xfId="3" applyProtection="1" applyAlignment="1">
      <alignment horizontal="center" vertical="center" shrinkToFit="1"/>
    </xf>
    <xf numFmtId="0" fontId="22" applyFont="1" fillId="0" borderId="28" applyBorder="1" xfId="3" applyProtection="1" applyAlignment="1">
      <alignment horizontal="center" vertical="center" shrinkToFit="1"/>
    </xf>
    <xf numFmtId="166" applyNumberFormat="1" fontId="28" applyFont="1" fillId="0" borderId="28" applyBorder="1" xfId="3" applyProtection="1" applyAlignment="1">
      <alignment horizontal="center" vertical="center" shrinkToFit="1"/>
    </xf>
    <xf numFmtId="0" fontId="22" applyFont="1" fillId="0" borderId="1" applyBorder="1" xfId="3" applyProtection="1" applyAlignment="1">
      <alignment horizontal="center" vertical="center" shrinkToFit="1"/>
    </xf>
    <xf numFmtId="0" fontId="22" applyFont="1" fillId="0" borderId="2" applyBorder="1" xfId="3" applyProtection="1" applyAlignment="1">
      <alignment horizontal="center" vertical="center" shrinkToFit="1"/>
    </xf>
    <xf numFmtId="0" fontId="22" applyFont="1" fillId="0" borderId="6" applyBorder="1" xfId="3" applyProtection="1" applyAlignment="1">
      <alignment horizontal="center" vertical="center" shrinkToFit="1"/>
    </xf>
    <xf numFmtId="0" fontId="15" applyFont="1" fillId="2" applyFill="1" borderId="9" applyBorder="1" xfId="3" applyProtection="1" applyAlignment="1">
      <alignment horizontal="center" vertical="center" shrinkToFit="1"/>
    </xf>
    <xf numFmtId="0" fontId="15" applyFont="1" fillId="2" applyFill="1" borderId="10" applyBorder="1" xfId="3" applyProtection="1" applyAlignment="1">
      <alignment horizontal="center" vertical="center" shrinkToFit="1"/>
    </xf>
    <xf numFmtId="0" fontId="15" applyFont="1" fillId="2" applyFill="1" borderId="11" applyBorder="1" xfId="3" applyProtection="1" applyAlignment="1">
      <alignment horizontal="center" vertical="center" shrinkToFit="1"/>
    </xf>
    <xf numFmtId="0" fontId="12" applyFont="1" fillId="0" borderId="34" applyBorder="1" xfId="3" applyProtection="1" applyAlignment="1">
      <alignment horizontal="center" vertical="center" shrinkToFit="1"/>
    </xf>
    <xf numFmtId="0" fontId="15" applyFont="1" fillId="6" applyFill="1" borderId="28" applyBorder="1" xfId="3" applyProtection="1" applyAlignment="1">
      <alignment horizontal="left" vertical="center" shrinkToFit="1"/>
    </xf>
    <xf numFmtId="0" fontId="11" applyFont="1" fillId="6" applyFill="1" borderId="28" applyBorder="1" xfId="3" applyProtection="1" applyAlignment="1">
      <alignment horizontal="center" vertical="center" shrinkToFit="1"/>
    </xf>
    <xf numFmtId="166" applyNumberFormat="1" fontId="22" applyFont="1" fillId="6" applyFill="1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16" applyFont="1" fillId="0" borderId="32" applyBorder="1" xfId="3" applyProtection="1" applyAlignment="1">
      <alignment horizontal="center"/>
    </xf>
    <xf numFmtId="0" fontId="17" applyFont="1" fillId="0" borderId="14" applyBorder="1" xfId="3" applyProtection="1" applyAlignment="1">
      <alignment horizontal="center" vertical="center" shrinkToFit="1"/>
    </xf>
    <xf numFmtId="0" fontId="17" applyFont="1" fillId="0" borderId="28" applyBorder="1" xfId="3" applyProtection="1" applyAlignment="1">
      <alignment horizontal="center" vertical="center" shrinkToFit="1"/>
    </xf>
    <xf numFmtId="0" fontId="17" applyFont="1" fillId="0" borderId="9" applyBorder="1" xfId="3" applyProtection="1" applyAlignment="1">
      <alignment horizontal="center" vertical="center" shrinkToFit="1"/>
    </xf>
    <xf numFmtId="0" fontId="17" applyFont="1" fillId="0" borderId="10" applyBorder="1" xfId="3" applyProtection="1" applyAlignment="1">
      <alignment horizontal="center" vertical="center" shrinkToFit="1"/>
    </xf>
    <xf numFmtId="0" fontId="17" applyFont="1" fillId="0" borderId="11" applyBorder="1" xfId="3" applyProtection="1" applyAlignment="1">
      <alignment horizontal="center" vertical="center" shrinkToFit="1"/>
    </xf>
    <xf numFmtId="0" fontId="11" applyFont="1" fillId="0" borderId="4" applyBorder="1" xfId="3" applyProtection="1" applyAlignment="1">
      <alignment horizontal="center" vertical="center" shrinkToFit="1"/>
    </xf>
    <xf numFmtId="0" fontId="11" applyFont="1" fillId="0" borderId="5" applyBorder="1" xfId="3" applyProtection="1" applyAlignment="1">
      <alignment horizontal="center" vertical="center" shrinkToFit="1"/>
    </xf>
    <xf numFmtId="0" fontId="11" applyFont="1" fillId="0" borderId="8" applyBorder="1" xfId="3" applyProtection="1" applyAlignment="1">
      <alignment horizontal="center" vertical="center" shrinkToFit="1"/>
    </xf>
    <xf numFmtId="0" fontId="21" applyFont="1" fillId="0" borderId="3" applyBorder="1" xfId="3" applyProtection="1" applyAlignment="1">
      <alignment horizontal="center" vertical="center" wrapText="1"/>
    </xf>
    <xf numFmtId="0" fontId="21" applyFont="1" fillId="0" borderId="0" xfId="3" applyProtection="1" applyAlignment="1">
      <alignment horizontal="center" vertical="center" wrapText="1"/>
    </xf>
    <xf numFmtId="0" fontId="21" applyFont="1" fillId="0" borderId="7" applyBorder="1" xfId="3" applyProtection="1" applyAlignment="1">
      <alignment horizontal="center" vertical="center" wrapText="1"/>
    </xf>
    <xf numFmtId="0" fontId="31" applyFont="1" fillId="0" borderId="1" applyBorder="1" xfId="3" applyProtection="1" applyAlignment="1">
      <alignment horizontal="center" vertical="center" shrinkToFit="1"/>
    </xf>
    <xf numFmtId="0" fontId="31" applyFont="1" fillId="0" borderId="2" applyBorder="1" xfId="3" applyProtection="1" applyAlignment="1">
      <alignment horizontal="center" vertical="center" shrinkToFit="1"/>
    </xf>
    <xf numFmtId="0" fontId="31" applyFont="1" fillId="0" borderId="6" applyBorder="1" xfId="3" applyProtection="1" applyAlignment="1">
      <alignment horizontal="center" vertical="center" shrinkToFit="1"/>
    </xf>
    <xf numFmtId="0" fontId="32" applyFont="1" fillId="0" borderId="4" applyBorder="1" xfId="3" applyProtection="1" applyAlignment="1">
      <alignment horizontal="center" shrinkToFit="1"/>
    </xf>
    <xf numFmtId="0" fontId="32" applyFont="1" fillId="0" borderId="5" applyBorder="1" xfId="3" applyProtection="1" applyAlignment="1">
      <alignment horizontal="center" shrinkToFit="1"/>
    </xf>
    <xf numFmtId="0" fontId="32" applyFont="1" fillId="0" borderId="8" applyBorder="1" xfId="3" applyProtection="1" applyAlignment="1">
      <alignment horizontal="center" shrinkToFit="1"/>
    </xf>
    <xf numFmtId="49" applyNumberFormat="1" fontId="23" applyFont="1" fillId="0" borderId="9" applyBorder="1" xfId="3" applyProtection="1" applyAlignment="1">
      <alignment horizontal="center"/>
    </xf>
    <xf numFmtId="49" applyNumberFormat="1" fontId="23" applyFont="1" fillId="0" borderId="10" applyBorder="1" xfId="3" applyProtection="1" applyAlignment="1">
      <alignment horizontal="center"/>
    </xf>
    <xf numFmtId="0" fontId="23" applyFont="1" fillId="0" borderId="2" applyBorder="1" xfId="3" applyProtection="1" applyAlignment="1">
      <alignment horizontal="center"/>
    </xf>
    <xf numFmtId="0" fontId="23" applyFont="1" fillId="0" borderId="6" applyBorder="1" xfId="3" applyProtection="1" applyAlignment="1">
      <alignment horizontal="center"/>
    </xf>
    <xf numFmtId="0" fontId="23" applyFont="1" fillId="0" borderId="4" applyBorder="1" xfId="3" applyProtection="1" applyAlignment="1">
      <alignment horizontal="center"/>
    </xf>
    <xf numFmtId="0" fontId="23" applyFont="1" fillId="0" borderId="5" applyBorder="1" xfId="3" applyProtection="1" applyAlignment="1">
      <alignment horizontal="center"/>
    </xf>
    <xf numFmtId="0" fontId="23" applyFont="1" fillId="0" borderId="8" applyBorder="1" xfId="3" applyProtection="1" applyAlignment="1">
      <alignment horizontal="center"/>
    </xf>
    <xf numFmtId="0" fontId="12" applyFont="1" fillId="0" borderId="13" applyBorder="1" xfId="3" applyProtection="1" applyAlignment="1">
      <alignment horizontal="center" vertical="center" wrapText="1"/>
    </xf>
    <xf numFmtId="0" fontId="12" applyFont="1" fillId="0" borderId="14" applyBorder="1" xfId="3" applyProtection="1" applyAlignment="1">
      <alignment horizontal="center" vertical="center" wrapText="1"/>
    </xf>
    <xf numFmtId="0" fontId="7" applyFont="1" fillId="4" applyFill="1" borderId="28" applyBorder="1" xfId="3" applyProtection="1" applyAlignment="1">
      <alignment horizontal="center" vertical="center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11" applyFont="1" fillId="0" borderId="3" applyBorder="1" xfId="3" applyProtection="1" applyAlignment="1">
      <alignment horizontal="center" vertical="center"/>
    </xf>
    <xf numFmtId="0" fontId="11" applyFont="1" fillId="0" borderId="0" xfId="3" applyProtection="1" applyAlignment="1">
      <alignment horizontal="center" vertical="center"/>
    </xf>
    <xf numFmtId="0" fontId="11" applyFont="1" fillId="0" borderId="7" applyBorder="1" xfId="3" applyProtection="1" applyAlignment="1">
      <alignment horizontal="center" vertical="center"/>
    </xf>
    <xf numFmtId="0" fontId="11" applyFont="1" fillId="0" borderId="4" applyBorder="1" xfId="3" applyProtection="1" applyAlignment="1">
      <alignment horizontal="center" vertical="center"/>
    </xf>
    <xf numFmtId="0" fontId="11" applyFont="1" fillId="0" borderId="5" applyBorder="1" xfId="3" applyProtection="1" applyAlignment="1">
      <alignment horizontal="center" vertical="center"/>
    </xf>
    <xf numFmtId="0" fontId="11" applyFont="1" fillId="0" borderId="8" applyBorder="1" xfId="3" applyProtection="1" applyAlignment="1">
      <alignment horizontal="center" vertical="center"/>
    </xf>
    <xf numFmtId="0" fontId="17" applyFont="1" fillId="0" borderId="9" applyBorder="1" xfId="3" applyProtection="1" applyAlignment="1">
      <alignment horizontal="center"/>
    </xf>
    <xf numFmtId="0" fontId="17" applyFont="1" fillId="0" borderId="10" applyBorder="1" xfId="3" applyProtection="1" applyAlignment="1">
      <alignment horizontal="center"/>
    </xf>
    <xf numFmtId="0" fontId="30" applyFont="1" fillId="0" borderId="3" applyBorder="1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0" applyFont="1" fillId="0" borderId="7" applyBorder="1" xfId="3" applyProtection="1" applyAlignment="1">
      <alignment horizontal="center" vertical="center" shrinkToFit="1"/>
    </xf>
    <xf numFmtId="0" fontId="7" applyFont="1" fillId="8" applyFill="1" borderId="28" applyBorder="1" xfId="3" applyProtection="1" applyAlignment="1">
      <alignment horizontal="center" vertical="center"/>
    </xf>
    <xf numFmtId="0" fontId="3" applyFont="1" fillId="0" borderId="1" applyBorder="1" xfId="3" applyProtection="1" applyAlignment="1">
      <alignment horizontal="center"/>
    </xf>
    <xf numFmtId="0" fontId="3" applyFont="1" fillId="0" borderId="2" applyBorder="1" xfId="3" applyProtection="1" applyAlignment="1">
      <alignment horizontal="center"/>
    </xf>
    <xf numFmtId="0" fontId="3" applyFont="1" fillId="0" borderId="6" applyBorder="1" xfId="3" applyProtection="1" applyAlignment="1">
      <alignment horizontal="center"/>
    </xf>
    <xf numFmtId="0" fontId="3" applyFont="1" fillId="3" applyFill="1" borderId="1" applyBorder="1" xfId="3" applyProtection="1" applyAlignment="1">
      <alignment horizontal="center"/>
    </xf>
    <xf numFmtId="0" fontId="3" applyFont="1" fillId="3" applyFill="1" borderId="2" applyBorder="1" xfId="3" applyProtection="1" applyAlignment="1">
      <alignment horizontal="center"/>
    </xf>
    <xf numFmtId="0" fontId="3" applyFont="1" fillId="3" applyFill="1" borderId="6" applyBorder="1" xfId="3" applyProtection="1" applyAlignment="1">
      <alignment horizontal="center"/>
    </xf>
    <xf numFmtId="0" fontId="3" applyFont="1" fillId="0" borderId="20" applyBorder="1" xfId="3" applyProtection="1" applyAlignment="1">
      <alignment horizontal="center"/>
      <protection locked="0"/>
    </xf>
    <xf numFmtId="0" fontId="3" applyFont="1" fillId="0" borderId="21" applyBorder="1" xfId="3" applyProtection="1" applyAlignment="1">
      <alignment horizontal="center"/>
      <protection locked="0"/>
    </xf>
    <xf numFmtId="0" fontId="3" applyFont="1" fillId="0" borderId="22" applyBorder="1" xfId="3" applyProtection="1" applyAlignment="1">
      <alignment horizontal="center"/>
      <protection locked="0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3" applyFont="1" fillId="0" borderId="25" applyBorder="1" xfId="3" applyProtection="1" applyAlignment="1">
      <alignment horizontal="center"/>
      <protection locked="0"/>
    </xf>
    <xf numFmtId="0" fontId="3" applyFont="1" fillId="0" borderId="26" applyBorder="1" xfId="3" applyProtection="1" applyAlignment="1">
      <alignment horizontal="center"/>
      <protection locked="0"/>
    </xf>
    <xf numFmtId="0" fontId="4" applyFont="1" fillId="0" borderId="23" applyBorder="1" xfId="3" applyProtection="1" applyAlignment="1">
      <alignment horizontal="center"/>
      <protection locked="0"/>
    </xf>
    <xf numFmtId="0" fontId="4" applyFont="1" fillId="0" borderId="0" xfId="3" applyProtection="1" applyAlignment="1">
      <alignment horizontal="center"/>
      <protection locked="0"/>
    </xf>
    <xf numFmtId="0" fontId="3" applyFont="1" fillId="2" applyFill="1" borderId="1" applyBorder="1" xfId="3" applyProtection="1" applyAlignment="1">
      <alignment horizontal="center" vertical="center" wrapText="1"/>
    </xf>
    <xf numFmtId="0" fontId="3" applyFont="1" fillId="2" applyFill="1" borderId="2" applyBorder="1" xfId="3" applyProtection="1" applyAlignment="1">
      <alignment horizontal="center" vertical="center" wrapText="1"/>
    </xf>
    <xf numFmtId="0" fontId="3" applyFont="1" fillId="2" applyFill="1" borderId="3" applyBorder="1" xfId="3" applyProtection="1" applyAlignment="1">
      <alignment horizontal="center" vertical="center" wrapText="1"/>
    </xf>
    <xf numFmtId="0" fontId="3" applyFont="1" fillId="2" applyFill="1" borderId="0" xfId="3" applyProtection="1" applyAlignment="1">
      <alignment horizontal="center" vertical="center" wrapText="1"/>
    </xf>
    <xf numFmtId="0" fontId="3" applyFont="1" fillId="2" applyFill="1" borderId="4" applyBorder="1" xfId="3" applyProtection="1" applyAlignment="1">
      <alignment horizontal="center" vertical="center" wrapText="1"/>
    </xf>
    <xf numFmtId="0" fontId="3" applyFont="1" fillId="2" applyFill="1" borderId="5" applyBorder="1" xfId="3" applyProtection="1" applyAlignment="1">
      <alignment horizontal="center" vertical="center" wrapText="1"/>
    </xf>
    <xf numFmtId="0" fontId="3" applyFont="1" fillId="3" applyFill="1" borderId="1" applyBorder="1" xfId="3" applyProtection="1" applyAlignment="1">
      <alignment horizontal="center" vertical="center" wrapText="1"/>
    </xf>
    <xf numFmtId="0" fontId="3" applyFont="1" fillId="3" applyFill="1" borderId="2" applyBorder="1" xfId="3" applyProtection="1" applyAlignment="1">
      <alignment horizontal="center" vertical="center" wrapText="1"/>
    </xf>
    <xf numFmtId="0" fontId="3" applyFont="1" fillId="3" applyFill="1" borderId="3" applyBorder="1" xfId="3" applyProtection="1" applyAlignment="1">
      <alignment horizontal="center" vertical="center" wrapText="1"/>
    </xf>
    <xf numFmtId="0" fontId="3" applyFont="1" fillId="3" applyFill="1" borderId="0" xfId="3" applyProtection="1" applyAlignment="1">
      <alignment horizontal="center" vertical="center" wrapText="1"/>
    </xf>
    <xf numFmtId="0" fontId="3" applyFont="1" fillId="3" applyFill="1" borderId="4" applyBorder="1" xfId="3" applyProtection="1" applyAlignment="1">
      <alignment horizontal="center" vertical="center" wrapText="1"/>
    </xf>
    <xf numFmtId="0" fontId="3" applyFont="1" fillId="3" applyFill="1" borderId="5" applyBorder="1" xfId="3" applyProtection="1" applyAlignment="1">
      <alignment horizontal="center" vertical="center" wrapText="1"/>
    </xf>
    <xf numFmtId="0" fontId="3" applyFont="1" fillId="4" applyFill="1" borderId="1" applyBorder="1" xfId="3" applyProtection="1" applyAlignment="1">
      <alignment horizontal="center" vertical="center" wrapText="1"/>
    </xf>
    <xf numFmtId="0" fontId="3" applyFont="1" fillId="4" applyFill="1" borderId="2" applyBorder="1" xfId="3" applyProtection="1" applyAlignment="1">
      <alignment horizontal="center" vertical="center" wrapText="1"/>
    </xf>
    <xf numFmtId="0" fontId="3" applyFont="1" fillId="4" applyFill="1" borderId="3" applyBorder="1" xfId="3" applyProtection="1" applyAlignment="1">
      <alignment horizontal="center" vertical="center" wrapText="1"/>
    </xf>
    <xf numFmtId="0" fontId="3" applyFont="1" fillId="4" applyFill="1" borderId="0" xfId="3" applyProtection="1" applyAlignment="1">
      <alignment horizontal="center" vertical="center" wrapText="1"/>
    </xf>
    <xf numFmtId="0" fontId="3" applyFont="1" fillId="4" applyFill="1" borderId="4" applyBorder="1" xfId="3" applyProtection="1" applyAlignment="1">
      <alignment horizontal="center" vertical="center" wrapText="1"/>
    </xf>
    <xf numFmtId="0" fontId="3" applyFont="1" fillId="4" applyFill="1" borderId="5" applyBorder="1" xfId="3" applyProtection="1" applyAlignment="1">
      <alignment horizontal="center" vertical="center" wrapText="1"/>
    </xf>
    <xf numFmtId="0" fontId="3" applyFont="1" fillId="0" borderId="0" xfId="3" applyProtection="1" applyAlignment="1">
      <alignment horizontal="center" vertical="center"/>
    </xf>
    <xf numFmtId="0" fontId="3" applyFont="1" fillId="0" borderId="7" applyBorder="1" xfId="3" applyProtection="1" applyAlignment="1">
      <alignment horizontal="center" vertical="center"/>
    </xf>
    <xf numFmtId="164" applyNumberFormat="1" fontId="0" fillId="0" borderId="0" xfId="1" applyProtection="1" applyAlignment="1">
      <alignment horizontal="center"/>
    </xf>
  </cellXfs>
  <cellStyles count="5">
    <cellStyle name="Comma" xfId="1" builtinId="3"/>
    <cellStyle name="Hyperlink" xfId="2" builtinId="8"/>
    <cellStyle name="Normal" xfId="0" builtinId="0"/>
    <cellStyle name="Normal 2" xfId="3"/>
    <cellStyle name="Percent" xfId="4" builtinId="5"/>
  </cellStyles>
  <dxfs count="1280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border outline="0">
        <left style="thin">
          <color auto="1"/>
        </left>
      </border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164" formatCode="yyyy/mm/dd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  <numFmt numFmtId="165" formatCode="0.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166" formatCode="0.0"/>
      <border>
        <top style="thin">
          <color auto="1"/>
        </top>
      </border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left style="thin">
          <color auto="1"/>
        </left>
        <right style="thin">
          <color auto="1"/>
        </right>
        <top style="thin">
          <color auto="1"/>
        </top>
      </border>
    </dxf>
    <dxf>
      <font>
        <strike val="0"/>
        <sz val="11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strike val="0"/>
        <sz val="14"/>
        <color theme="1"/>
        <name val="Calibri"/>
      </font>
    </dxf>
    <dxf>
      <font>
        <strike val="0"/>
        <sz val="14"/>
        <color theme="1"/>
        <name val="Calibri"/>
      </font>
    </dxf>
    <dxf>
      <numFmt numFmtId="1" formatCode="0"/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6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  <border>
        <left style="medium">
          <color indexed="64"/>
        </left>
        <right style="medium">
          <color indexed="64"/>
        </right>
      </border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18.xml><?xml version="1.0" encoding="utf-8"?>
<formControlPr xmlns="http://schemas.microsoft.com/office/spreadsheetml/2009/9/main" objectType="Drop" dropStyle="combo" dx="16" fmlaLink="'Format (2)'!$B$5" fmlaRange="'Format (2)'!$B$2:$B$4" noThreeD="1" val="0"/>
</file>

<file path=xl/ctrlProps/ctrlProp19.xml><?xml version="1.0" encoding="utf-8"?>
<formControlPr xmlns="http://schemas.microsoft.com/office/spreadsheetml/2009/9/main" objectType="Drop" dropStyle="combo" dx="16" fmlaLink="'Format (2)'!$C$8" fmlaRange="'Format (2)'!$C$2:$C$7" noThreeD="1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val="0"/>
</file>

<file path=xl/ctrlProps/ctrlProp20.xml><?xml version="1.0" encoding="utf-8"?>
<formControlPr xmlns="http://schemas.microsoft.com/office/spreadsheetml/2009/9/main" objectType="Drop" dropStyle="combo" dx="16" fmlaLink="'Format (2)'!$D$4" fmlaRange="'Format (2)'!$D$2:$D$3" noThreeD="1" val="0"/>
</file>

<file path=xl/ctrlProps/ctrlProp21.xml><?xml version="1.0" encoding="utf-8"?>
<formControlPr xmlns="http://schemas.microsoft.com/office/spreadsheetml/2009/9/main" objectType="Drop" dropStyle="combo" dx="16" fmlaLink="'Format (2)'!$E$8" fmlaRange="'Format (2)'!$E$2:$E$7" noThreeD="1" val="0"/>
</file>

<file path=xl/ctrlProps/ctrlProp22.xml><?xml version="1.0" encoding="utf-8"?>
<formControlPr xmlns="http://schemas.microsoft.com/office/spreadsheetml/2009/9/main" objectType="Drop" dropStyle="combo" dx="16" fmlaLink="'Format (2)'!$G$4" fmlaRange="'Format (2)'!$G$2:$G$3" noThreeD="1" val="0"/>
</file>

<file path=xl/ctrlProps/ctrlProp23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24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25.xml><?xml version="1.0" encoding="utf-8"?>
<formControlPr xmlns="http://schemas.microsoft.com/office/spreadsheetml/2009/9/main" objectType="Drop" dropStyle="combo" dx="16" fmlaLink="'Format (2)'!$F$4" fmlaRange="'Format (2)'!$F$2:$F$3" noThreeD="1" val="0"/>
</file>

<file path=xl/ctrlProps/ctrlProp26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27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28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29.xml><?xml version="1.0" encoding="utf-8"?>
<formControlPr xmlns="http://schemas.microsoft.com/office/spreadsheetml/2009/9/main" objectType="Drop" dropStyle="combo" dx="16" fmlaLink="'Format (2)'!$N$8" fmlaRange="'Format (2)'!$N$2:$N$7" noThreeD="1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val="0"/>
</file>

<file path=xl/ctrlProps/ctrlProp30.xml><?xml version="1.0" encoding="utf-8"?>
<formControlPr xmlns="http://schemas.microsoft.com/office/spreadsheetml/2009/9/main" objectType="Drop" dropStyle="combo" dx="16" fmlaLink="'Format (2)'!$O$4" fmlaRange="'Format (2)'!$O$2:$O$3" noThreeD="1" val="0"/>
</file>

<file path=xl/ctrlProps/ctrlProp31.xml><?xml version="1.0" encoding="utf-8"?>
<formControlPr xmlns="http://schemas.microsoft.com/office/spreadsheetml/2009/9/main" objectType="Drop" dropStyle="combo" dx="16" fmlaLink="'Format (2)'!$P$5" fmlaRange="'Format (2)'!$P$2:$P$4" noThreeD="1" val="0"/>
</file>

<file path=xl/ctrlProps/ctrlProp32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5" Type="http://schemas.openxmlformats.org/officeDocument/2006/relationships/hyperlink" Target="#&#1578;&#1587;&#1593;&#1610;&#1585;!A98"/><Relationship Id="rId4" Type="http://schemas.openxmlformats.org/officeDocument/2006/relationships/hyperlink" Target="#&#1578;&#1587;&#1593;&#1610;&#1585;!A78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21</xdr:col>
      <xdr:colOff>1619249</xdr:colOff>
      <xdr:row>5</xdr:row>
      <xdr:rowOff>419100</xdr:rowOff>
    </xdr:from>
    <xdr:to>
      <xdr:col>26</xdr:col>
      <xdr:colOff>1428750</xdr:colOff>
      <xdr:row>7</xdr:row>
      <xdr:rowOff>133350</xdr:rowOff>
    </xdr:to>
    <xdr:cxnSp macro="">
      <xdr:nvCxnSpPr>
        <xdr:cNvPr id="23" name="Straight Arrow Connector 22">
          <a:extLst>
            <a:ext uri="{FF2B5EF4-FFF2-40B4-BE49-F238E27FC236}">
              <a16:creationId xmlns:a16="http://schemas.microsoft.com/office/drawing/2014/main" xmlns="" id="{00000000-0008-0000-0100-000017000000}"/>
            </a:ext>
          </a:extLst>
        </xdr:cNvPr>
        <xdr:cNvCxnSpPr/>
      </xdr:nvCxnSpPr>
      <xdr:spPr>
        <a:xfrm flipH="1" flipV="1">
          <a:off x="10015251750" y="3695700"/>
          <a:ext cx="8343901" cy="6667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:a16="http://schemas.microsoft.com/office/drawing/2014/main" xmlns="" id="{00000000-0008-0000-0100-000019000000}"/>
            </a:ext>
          </a:extLst>
        </xdr:cNvPr>
        <xdr:cNvCxnSpPr/>
      </xdr:nvCxnSpPr>
      <xdr:spPr>
        <a:xfrm flipH="1">
          <a:off x="10012279950" y="6819900"/>
          <a:ext cx="2895600" cy="11620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:a16="http://schemas.microsoft.com/office/drawing/2014/main" xmlns="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:a16="http://schemas.microsoft.com/office/drawing/2014/main" xmlns="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:a16="http://schemas.microsoft.com/office/drawing/2014/main" xmlns="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:a16="http://schemas.microsoft.com/office/drawing/2014/main" xmlns="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:a16="http://schemas.microsoft.com/office/drawing/2014/main" xmlns="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:a16="http://schemas.microsoft.com/office/drawing/2014/main" xmlns="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:a16="http://schemas.microsoft.com/office/drawing/2014/main" xmlns="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:a16="http://schemas.microsoft.com/office/drawing/2014/main" xmlns="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:a16="http://schemas.microsoft.com/office/drawing/2014/main" xmlns="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:a16="http://schemas.microsoft.com/office/drawing/2014/main" xmlns="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:a16="http://schemas.microsoft.com/office/drawing/2014/main" xmlns="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:a16="http://schemas.microsoft.com/office/drawing/2014/main" xmlns="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:a16="http://schemas.microsoft.com/office/drawing/2014/main" xmlns="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:a16="http://schemas.microsoft.com/office/drawing/2014/main" xmlns="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:a16="http://schemas.microsoft.com/office/drawing/2014/main" xmlns="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:a16="http://schemas.microsoft.com/office/drawing/2014/main" xmlns="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:a16="http://schemas.microsoft.com/office/drawing/2014/main" xmlns="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476250</xdr:colOff>
      <xdr:row>36</xdr:row>
      <xdr:rowOff>500062</xdr:rowOff>
    </xdr:from>
    <xdr:to>
      <xdr:col>64</xdr:col>
      <xdr:colOff>785813</xdr:colOff>
      <xdr:row>37</xdr:row>
      <xdr:rowOff>357188</xdr:rowOff>
    </xdr:to>
    <xdr:cxnSp macro="">
      <xdr:nvCxnSpPr>
        <xdr:cNvPr id="91" name="Straight Arrow Connector 90">
          <a:extLst>
            <a:ext uri="{FF2B5EF4-FFF2-40B4-BE49-F238E27FC236}">
              <a16:creationId xmlns:a16="http://schemas.microsoft.com/office/drawing/2014/main" xmlns="" id="{00000000-0008-0000-0100-00005B000000}"/>
            </a:ext>
          </a:extLst>
        </xdr:cNvPr>
        <xdr:cNvCxnSpPr/>
      </xdr:nvCxnSpPr>
      <xdr:spPr>
        <a:xfrm flipH="1" flipV="1">
          <a:off x="9949943587" y="20293012"/>
          <a:ext cx="1947863" cy="390526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:a16="http://schemas.microsoft.com/office/drawing/2014/main" xmlns="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:a16="http://schemas.microsoft.com/office/drawing/2014/main" xmlns="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:a16="http://schemas.microsoft.com/office/drawing/2014/main" xmlns="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:a16="http://schemas.microsoft.com/office/drawing/2014/main" xmlns="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xmlns="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xmlns="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xmlns="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xmlns="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xmlns="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xmlns="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xmlns="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xmlns="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xmlns="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xmlns="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xmlns="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xmlns="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xmlns="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xmlns="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xmlns="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xmlns="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xmlns="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xmlns="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xmlns="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xmlns="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xmlns="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xmlns="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xmlns="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xmlns="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xmlns="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xmlns="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xmlns="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xmlns="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xmlns="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xmlns="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xmlns="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xmlns="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xmlns="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xmlns="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xmlns="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xmlns="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xmlns="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xmlns="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xmlns="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xmlns="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xmlns="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xmlns="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xmlns="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xmlns="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xmlns="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xmlns="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xmlns="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xmlns="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xmlns="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xmlns="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xmlns="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xmlns="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xmlns="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xmlns="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xmlns="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xmlns="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xmlns="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xmlns="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xmlns="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xmlns="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xmlns="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xmlns="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xmlns="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xmlns="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xmlns="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xmlns="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xmlns="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xmlns="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xmlns="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xmlns="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xmlns="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xmlns="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xmlns="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xmlns="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xmlns="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xmlns="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xmlns="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xmlns="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xmlns="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xmlns="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xmlns="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xmlns="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:a16="http://schemas.microsoft.com/office/drawing/2014/main" xmlns="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:a16="http://schemas.microsoft.com/office/drawing/2014/main" xmlns="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:a16="http://schemas.microsoft.com/office/drawing/2014/main" xmlns="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:a16="http://schemas.microsoft.com/office/drawing/2014/main" xmlns="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:a16="http://schemas.microsoft.com/office/drawing/2014/main" xmlns="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:a16="http://schemas.microsoft.com/office/drawing/2014/main" xmlns="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:a16="http://schemas.microsoft.com/office/drawing/2014/main" xmlns="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:a16="http://schemas.microsoft.com/office/drawing/2014/main" xmlns="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:a16="http://schemas.microsoft.com/office/drawing/2014/main" xmlns="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:a16="http://schemas.microsoft.com/office/drawing/2014/main" xmlns="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:a16="http://schemas.microsoft.com/office/drawing/2014/main" xmlns="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:a16="http://schemas.microsoft.com/office/drawing/2014/main" xmlns="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:a16="http://schemas.microsoft.com/office/drawing/2014/main" xmlns="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:a16="http://schemas.microsoft.com/office/drawing/2014/main" xmlns="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:a16="http://schemas.microsoft.com/office/drawing/2014/main" xmlns="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:a16="http://schemas.microsoft.com/office/drawing/2014/main" xmlns="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:a16="http://schemas.microsoft.com/office/drawing/2014/main" xmlns="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:a16="http://schemas.microsoft.com/office/drawing/2014/main" xmlns="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:a16="http://schemas.microsoft.com/office/drawing/2014/main" xmlns="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:a16="http://schemas.microsoft.com/office/drawing/2014/main" xmlns="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:a16="http://schemas.microsoft.com/office/drawing/2014/main" xmlns="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:a16="http://schemas.microsoft.com/office/drawing/2014/main" xmlns="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:a16="http://schemas.microsoft.com/office/drawing/2014/main" xmlns="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:a16="http://schemas.microsoft.com/office/drawing/2014/main" xmlns="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:a16="http://schemas.microsoft.com/office/drawing/2014/main" xmlns="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:a16="http://schemas.microsoft.com/office/drawing/2014/main" xmlns="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:a16="http://schemas.microsoft.com/office/drawing/2014/main" xmlns="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:a16="http://schemas.microsoft.com/office/drawing/2014/main" xmlns="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:a16="http://schemas.microsoft.com/office/drawing/2014/main" xmlns="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:a16="http://schemas.microsoft.com/office/drawing/2014/main" xmlns="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:a16="http://schemas.microsoft.com/office/drawing/2014/main" xmlns="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:a16="http://schemas.microsoft.com/office/drawing/2014/main" xmlns="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:a16="http://schemas.microsoft.com/office/drawing/2014/main" xmlns="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:a16="http://schemas.microsoft.com/office/drawing/2014/main" xmlns="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:a16="http://schemas.microsoft.com/office/drawing/2014/main" xmlns="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:a16="http://schemas.microsoft.com/office/drawing/2014/main" xmlns="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:a16="http://schemas.microsoft.com/office/drawing/2014/main" xmlns="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:a16="http://schemas.microsoft.com/office/drawing/2014/main" xmlns="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:a16="http://schemas.microsoft.com/office/drawing/2014/main" xmlns="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:a16="http://schemas.microsoft.com/office/drawing/2014/main" xmlns="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:a16="http://schemas.microsoft.com/office/drawing/2014/main" xmlns="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/calculation%20sheet%208-9-2020/Royal%20pergola%208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</sheetNames>
    <definedNames/>
    <sheetDataSet>
      <sheetData sheetId="0">
        <row r="14">
          <cell r="L14">
            <v>12</v>
          </cell>
        </row>
      </sheetData>
      <sheetData sheetId="1"/>
      <sheetData sheetId="2">
        <row r="4">
          <cell r="H4">
            <v>2</v>
          </cell>
        </row>
      </sheetData>
      <sheetData sheetId="3"/>
      <sheetData sheetId="4"/>
      <sheetData sheetId="5"/>
      <sheetData sheetId="6"/>
    </sheetDataSet>
  </externalBook>
</externalLink>
</file>

<file path=xl/tables/table1.xml><?xml version="1.0" encoding="utf-8"?>
<table xmlns="http://schemas.openxmlformats.org/spreadsheetml/2006/main" id="13" name="Table3" displayName="Table3" ref="A1:D7" totalsRowShown="0">
  <autoFilter ref="A1:D7"/>
  <tableColumns count="4">
    <tableColumn id="1" name="الارتفاع"/>
    <tableColumn id="3" name="طريقة الدهان"/>
    <tableColumn id="5" name="لون الالومنيوم"/>
    <tableColumn id="6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id="6" name="Table6" displayName="Table6" ref="V4:Y13" totalsRowShown="0">
  <autoFilter ref="V4:Y13"/>
  <tableColumns count="4">
    <tableColumn id="1" name="المادة" dataDxfId="56"/>
    <tableColumn id="2" name="المعدل" dataDxfId="1212"/>
    <tableColumn id="3" name="الوحدة" dataDxfId="1258"/>
    <tableColumn id="4" name="Column4" dataDxfId="88"/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id="102" name="Table13597192103" displayName="Table13597192103" ref="BG97:BR113" totalsRowCount="1">
  <autoFilter ref="BG97:BR112"/>
  <tableColumns count="12">
    <tableColumn id="1" name="م" totalsRowLabel="Total" dataDxfId="1248" totalsRowDxfId="1249"/>
    <tableColumn id="2" name="عدد" dataDxfId="1250" totalsRowDxfId="1249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name="بيان" totalsRowLabel="Total" dataDxfId="1248" totalsRowDxfId="1249"/>
    <tableColumn id="11" name="Column2" dataDxfId="1248" totalsRowDxfId="1249"/>
    <tableColumn id="10" name="Column1" dataDxfId="1248" totalsRowDxfId="1249"/>
    <tableColumn id="12" name="Column12" dataDxfId="1248" totalsRowDxfId="1249"/>
    <tableColumn id="4" name="الوحده" totalsRowLabel="total" dataDxfId="1248" totalsRowDxfId="1249"/>
    <tableColumn id="5" name="الوزن" dataDxfId="1248" totalsRowDxfId="1249"/>
    <tableColumn id="6" name="سعر الكيلو" dataDxfId="1248" totalsRowDxfId="1249"/>
    <tableColumn id="7" name="سعر الشبك " dataDxfId="1251" totalsRowDxfId="1253">
      <calculatedColumnFormula>BP28</calculatedColumnFormula>
    </tableColumn>
    <tableColumn id="8" name="اجمالي" totalsRowFunction="sum" dataDxfId="1252" totalsRowDxfId="1254">
      <calculatedColumnFormula>BH98*BP99</calculatedColumnFormula>
    </tableColumn>
    <tableColumn id="9" name="%" totalsRowFunction="custom" totalsRowDxfId="1255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id="103" name="Table15617293104" displayName="Table15617293104" ref="BG83:BR89" totalsRowCount="1">
  <autoFilter ref="BG83:BR88"/>
  <tableColumns count="12">
    <tableColumn id="1" name="م" totalsRowLabel="Total" dataDxfId="1248" totalsRowDxfId="1249"/>
    <tableColumn id="2" name="عدد" dataDxfId="1250" totalsRowDxfId="1249">
      <calculatedColumnFormula>IF((#REF!="بالتات"),0,4)</calculatedColumnFormula>
    </tableColumn>
    <tableColumn id="3" name="بيان" totalsRowLabel="Total" dataDxfId="1248" totalsRowDxfId="1249"/>
    <tableColumn id="11" name="Column2" dataDxfId="1248" totalsRowDxfId="1249"/>
    <tableColumn id="10" name="Column1" dataDxfId="1248" totalsRowDxfId="1249"/>
    <tableColumn id="12" name="Column12" dataDxfId="1256" totalsRowDxfId="1257"/>
    <tableColumn id="4" name="الوحده" dataDxfId="1248" totalsRowDxfId="1249"/>
    <tableColumn id="5" name="الوزن" dataDxfId="1248" totalsRowDxfId="1249"/>
    <tableColumn id="6" name="سعر الكيلو" dataDxfId="1248" totalsRowDxfId="1249"/>
    <tableColumn id="7" name="سعر الشبك " dataDxfId="1265" totalsRowDxfId="1253">
      <calculatedColumnFormula>Sheet2!AW26</calculatedColumnFormula>
    </tableColumn>
    <tableColumn id="8" name="اجمالي" totalsRowFunction="sum" dataDxfId="1252" totalsRowDxfId="1254">
      <calculatedColumnFormula>BH84*BP84</calculatedColumnFormula>
    </tableColumn>
    <tableColumn id="9" name="%" totalsRowFunction="custom" totalsRowDxfId="1255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2.xml><?xml version="1.0" encoding="utf-8"?>
<table xmlns="http://schemas.openxmlformats.org/spreadsheetml/2006/main" id="104" name="Table16627394105" displayName="Table16627394105" ref="BG91:BR95" totalsRowCount="1">
  <autoFilter ref="BG91:BR94"/>
  <tableColumns count="12">
    <tableColumn id="1" name="م" totalsRowLabel="Total" dataDxfId="1248"/>
    <tableColumn id="2" name="عدد" totalsRowFunction="sum" dataDxfId="1248">
      <calculatedColumnFormula>BH90*4</calculatedColumnFormula>
    </tableColumn>
    <tableColumn id="3" name="بيان" totalsRowLabel="Total" dataDxfId="1248"/>
    <tableColumn id="11" name="Column2" dataDxfId="1248"/>
    <tableColumn id="10" name="Column1" dataDxfId="1248"/>
    <tableColumn id="12" name="Column12" totalsRowFunction="sum" dataDxfId="1256">
      <calculatedColumnFormula>(Table16627394105[[#This Row],[Column1]]*Table16627394105[[#This Row],[Column2]])*Table16627394105[[#This Row],[عدد]]</calculatedColumnFormula>
    </tableColumn>
    <tableColumn id="4" name="الوحده" dataDxfId="1248"/>
    <tableColumn id="5" name="الوزن" totalsRowFunction="custom">
      <totalsRowFormula>(BN93*BH93)+(BH94*BN94)</totalsRowFormula>
    </tableColumn>
    <tableColumn id="6" name="سعر الكيلو" dataDxfId="1250"/>
    <tableColumn id="7" name="سعر الشبك " dataDxfId="1251">
      <calculatedColumnFormula>BN92*$S$2/1000</calculatedColumnFormula>
    </tableColumn>
    <tableColumn id="8" name="اجمالي" totalsRowFunction="sum" dataDxfId="1252">
      <calculatedColumnFormula>BH92*BP92</calculatedColumnFormula>
    </tableColumn>
    <tableColumn id="9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id="105" name="Table6637495106" displayName="Table6637495106" ref="CE78:CH89" totalsRowShown="0">
  <autoFilter ref="CE78:CH89"/>
  <tableColumns count="4">
    <tableColumn id="1" name="المادة" dataDxfId="1258"/>
    <tableColumn id="2" name="المعدل" dataDxfId="1258"/>
    <tableColumn id="3" name="الوحدة" dataDxfId="1258"/>
    <tableColumn id="4" name="Column4" dataDxfId="1267"/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id="106" name="Table7647596107" displayName="Table7647596107" ref="CJ78:CN93" totalsRowShown="0">
  <autoFilter ref="CJ78:CN93"/>
  <tableColumns count="5">
    <tableColumn id="1" name="Column1" dataDxfId="1258"/>
    <tableColumn id="2" name="Column2" dataDxfId="1267"/>
    <tableColumn id="3" name="Column3" dataDxfId="1258"/>
    <tableColumn id="4" name="Column4" dataDxfId="1258"/>
    <tableColumn id="5" name="Column5" dataDxfId="1258"/>
  </tableColumns>
  <tableStyleInfo name="TableStyleLight16" showFirstColumn="0" showLastColumn="0" showRowStripes="1" showColumnStripes="0"/>
</table>
</file>

<file path=xl/tables/table105.xml><?xml version="1.0" encoding="utf-8"?>
<table xmlns="http://schemas.openxmlformats.org/spreadsheetml/2006/main" id="107" name="Table1612677697108" displayName="Table1612677697108" ref="BG121:BR135" totalsRowCount="1">
  <autoFilter ref="BG121:BR134"/>
  <tableColumns count="12">
    <tableColumn id="1" name="م" totalsRowLabel="Total" dataDxfId="1248"/>
    <tableColumn id="2" name="عدد" dataDxfId="1263">
      <calculatedColumnFormula>IF((تسعير!$AU$14="بالتات"),0,BH119-2)</calculatedColumnFormula>
    </tableColumn>
    <tableColumn id="3" name="بيان" totalsRowLabel="Total" dataDxfId="1264"/>
    <tableColumn id="5" name="اليومية / الاجرة" dataDxfId="1264"/>
    <tableColumn id="6" name="بدل الوجبة" dataDxfId="1262"/>
    <tableColumn id="11" name="موقع العمل" dataDxfId="1259">
      <calculatedColumnFormula>تسعير!$BE$44</calculatedColumnFormula>
    </tableColumn>
    <tableColumn id="10" name="شيفت العمل" dataDxfId="1248"/>
    <tableColumn id="12" name="Column12" totalsRowFunction="sum" dataDxfId="1256">
      <calculatedColumnFormula>SUMIF(Table17697899110[Column1],Table1612677697108[[#This Row],[موقع العمل]],$AE$2:$AE$8)</calculatedColumnFormula>
    </tableColumn>
    <tableColumn id="4" name="عدد الايام" dataDxfId="1268"/>
    <tableColumn id="7" name="اجمالي التكلفة للعامل" dataDxfId="1269">
      <calculatedColumnFormula>Table1612677697108[[#This Row],[Column12]]</calculatedColumnFormula>
    </tableColumn>
    <tableColumn id="8" name="اجمالي" totalsRowFunction="sum" dataDxfId="1252">
      <calculatedColumnFormula>BH122*BP122</calculatedColumnFormula>
    </tableColumn>
    <tableColumn id="9" name="%" totalsRowFunction="custom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id="108" name="Table1613687798109" displayName="Table1613687798109" ref="BG116:BR119" totalsRowCount="1">
  <autoFilter ref="BG116:BR118"/>
  <tableColumns count="12">
    <tableColumn id="1" name="م" totalsRowLabel="Total" dataDxfId="1259"/>
    <tableColumn id="2" name="عدد" dataDxfId="1263">
      <calculatedColumnFormula>IF((BL133="الاسكندرية"),0.25,0.1)</calculatedColumnFormula>
    </tableColumn>
    <tableColumn id="3" name="بيان" totalsRowLabel="Total" dataDxfId="1259"/>
    <tableColumn id="11" name="Column2" dataDxfId="1259"/>
    <tableColumn id="10" name="Column1" dataDxfId="1259"/>
    <tableColumn id="12" name="Column12" totalsRowFunction="sum" dataDxfId="1271"/>
    <tableColumn id="4" name="الوحده" dataDxfId="1260"/>
    <tableColumn id="5" name="الوزن" dataDxfId="1259"/>
    <tableColumn id="6" name="سعر الكيلو" dataDxfId="1259"/>
    <tableColumn id="7" name="سعر الشبك " dataDxfId="1265">
      <calculatedColumnFormula>BQ116</calculatedColumnFormula>
    </tableColumn>
    <tableColumn id="8" name="اجمالي" totalsRowFunction="sum" dataDxfId="1252">
      <calculatedColumnFormula>BH117*Table1613687798109[[#This Row],[سعر الشبك ]]</calculatedColumnFormula>
    </tableColumn>
    <tableColumn id="9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id="109" name="Table17697899110" displayName="Table17697899110" ref="BT75:BZ102" totalsRowShown="0">
  <autoFilter ref="BT75:BZ102"/>
  <tableColumns count="7">
    <tableColumn id="1" name="Column1" dataDxfId="1258"/>
    <tableColumn id="2" name="خارجي" dataDxfId="1258"/>
    <tableColumn id="3" name="داخلي" dataDxfId="1258"/>
    <tableColumn id="4" name="بدل الوجبة" dataDxfId="1258"/>
    <tableColumn id="5" name="دبابة" dataDxfId="1258"/>
    <tableColumn id="6" name="جامبو" dataDxfId="1258"/>
    <tableColumn id="7" name="الاقامة" dataDxfId="1258"/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id="110" name="Table187079100111" displayName="Table187079100111" ref="BI137:BM139" totalsRowShown="0">
  <autoFilter ref="BI137:BM139"/>
  <tableColumns count="5">
    <tableColumn id="1" name="Column1" dataDxfId="1259"/>
    <tableColumn id="4" name="Column22" dataDxfId="1259"/>
    <tableColumn id="5" name="Column23" dataDxfId="1259"/>
    <tableColumn id="3" name="Column3" dataDxfId="1270">
      <calculatedColumnFormula>IF((BL133="المقطم"),0.3,IF((BL133="التجمع"),0.3,IF((BL133="الشيخ زايد"),0.3,IF((BL133="الاسكندرية"),0.5,0.35))))</calculatedColumnFormula>
    </tableColumn>
    <tableColumn id="2" name="Column2" dataDxfId="1263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id="111" name="Table15880101112" displayName="Table15880101112" ref="BG75:BR81" totalsRowCount="1">
  <autoFilter ref="BG75:BR80"/>
  <tableColumns count="12">
    <tableColumn id="1" name="م" dataDxfId="1248"/>
    <tableColumn id="2" name="عدد" dataDxfId="1248">
      <calculatedColumnFormula>IF(OR((BI69="B11"),(BI69="B12"),(BI69="B21"),(BI69="B22"),(BI69="B31"),(BI69="B32")),3,0)</calculatedColumnFormula>
    </tableColumn>
    <tableColumn id="3" name="بيان" totalsRowLabel="Total" dataDxfId="1248"/>
    <tableColumn id="11" name="Column2" dataDxfId="1248"/>
    <tableColumn id="10" name="Column1" dataDxfId="1248"/>
    <tableColumn id="12" name="المسطح" totalsRowFunction="sum" dataDxfId="1256">
      <calculatedColumnFormula>(Table15880101112[[#This Row],[Column1]]+Table15880101112[[#This Row],[Column2]])*12*Table15880101112[[#This Row],[عدد]]</calculatedColumnFormula>
    </tableColumn>
    <tableColumn id="4" name="الوحده" dataDxfId="1248"/>
    <tableColumn id="5" name="الوزن" totalsRowFunction="custom">
      <totalsRowFormula>(BN76*BH76)+(BN77*BH77)+(BN78*BH78)+(BN79*BH79)</totalsRowFormula>
    </tableColumn>
    <tableColumn id="6" name="اجمالي المسطح" totalsRowFunction="sum" dataDxfId="1250">
      <calculatedColumnFormula>Table15880101112[[#This Row],[المسطح]]*Table15880101112[[#This Row],[عدد]]</calculatedColumnFormula>
    </tableColumn>
    <tableColumn id="7" name="سعر الشبك " dataDxfId="1274">
      <calculatedColumnFormula>BN76*$S$2/1000</calculatedColumnFormula>
    </tableColumn>
    <tableColumn id="8" name="اجمالي" totalsRowFunction="sum" dataDxfId="1252">
      <calculatedColumnFormula>BH76*BP76</calculatedColumnFormula>
    </tableColumn>
    <tableColumn id="9" name="%" totalsRowFunction="custom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id="9" name="Table1610" displayName="Table1610" ref="A52:L55" totalsRowCount="1">
  <autoFilter ref="A52:L54"/>
  <sortState ref="A54:L56">
    <sortCondition ref="A128:A140"/>
  </sortState>
  <tableColumns count="12">
    <tableColumn id="1" name="م" totalsRowLabel="Total" dataDxfId="1248"/>
    <tableColumn id="2" name="عدد" dataDxfId="1082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name="بيان" totalsRowLabel="Total" dataDxfId="53"/>
    <tableColumn id="11" name="Column2" dataDxfId="1213"/>
    <tableColumn id="10" name="Column1" dataDxfId="67"/>
    <tableColumn id="12" name="Column12" totalsRowFunction="sum" dataDxfId="963"/>
    <tableColumn id="4" name="الوحده" dataDxfId="962"/>
    <tableColumn id="5" name="الوزن" dataDxfId="961"/>
    <tableColumn id="6" name="سعر الكيلو" dataDxfId="1214"/>
    <tableColumn id="7" name="سعر الشبك " dataDxfId="64">
      <calculatedColumnFormula>Sheet2!B31</calculatedColumnFormula>
    </tableColumn>
    <tableColumn id="8" name="اجمالي" totalsRowFunction="sum" dataDxfId="1252">
      <calculatedColumnFormula>B53*J53</calculatedColumnFormula>
    </tableColumn>
    <tableColumn id="9" name="%" totalsRowFunction="custom">
      <calculatedColumnFormula>Table1610[[#Totals],[اجمالي]]/$G$79</calculatedColumnFormula>
      <totalsRowFormula>Table1610[[#Totals],[اجمالي]]/$G$79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id="112" name="Table80102113" displayName="Table80102113" ref="AV73:BA85" totalsRowCount="1">
  <autoFilter ref="AV73:BA84"/>
  <tableColumns count="6">
    <tableColumn id="1" name="Column1" totalsRowLabel="Total" dataDxfId="1275" totalsRowDxfId="1243"/>
    <tableColumn id="2" name="عدد" totalsRowFunction="custom" totalsRowDxfId="1244">
      <totalsRowFormula>(Table80102113[[#Totals],[price]]*1.1)/(BA72*AY72/10000)</totalsRowFormula>
    </tableColumn>
    <tableColumn id="3" name="طول" dataDxfId="1275" totalsRowDxfId="1276"/>
    <tableColumn id="4" name="Column2" dataDxfId="1275" totalsRowDxfId="1276"/>
    <tableColumn id="5" name="wt/m" dataDxfId="1275" totalsRowDxfId="1276"/>
    <tableColumn id="6" name="price" totalsRowFunction="sum" dataDxfId="1275" totalsRowDxfId="1276">
      <calculatedColumnFormula>AZ74*AX74</calculatedColumnFormula>
    </tableColumn>
  </tableColumns>
  <tableStyleInfo name="TableStyleLight17" showFirstColumn="0" showLastColumn="0" showRowStripes="1" showColumnStripes="0"/>
</table>
</file>

<file path=xl/tables/table111.xml><?xml version="1.0" encoding="utf-8"?>
<table xmlns="http://schemas.openxmlformats.org/spreadsheetml/2006/main" id="113" name="Table80102114" displayName="Table80102114" ref="A2:F24" totalsRowCount="1" headerRowDxfId="14" dataDxfId="1" totalsRowDxfId="12">
  <autoFilter ref="A2:F23"/>
  <tableColumns count="6">
    <tableColumn id="1" name="Column1" totalsRowLabel="Total" dataDxfId="1245" totalsRowDxfId="1277"/>
    <tableColumn id="2" name="عدد" totalsRowFunction="custom" dataDxfId="1278" totalsRowDxfId="1279">
      <totalsRowFormula>(Table80102114[[#Totals],[price]]*1.1)/(F1*D1/10000)</totalsRowFormula>
    </tableColumn>
    <tableColumn id="3" name="طول" dataDxfId="1278" totalsRowDxfId="1276"/>
    <tableColumn id="4" name="Column2" dataDxfId="1278" totalsRowDxfId="1276"/>
    <tableColumn id="5" name="wt/m" dataDxfId="1278" totalsRowDxfId="1276"/>
    <tableColumn id="6" name="price" totalsRowFunction="sum" dataDxfId="1278" totalsRowDxfId="1276"/>
  </tableColumns>
  <tableStyleInfo name="TableStyleLight17" showFirstColumn="0" showLastColumn="0" showRowStripes="1" showColumnStripes="0"/>
</table>
</file>

<file path=xl/tables/table112.xml><?xml version="1.0" encoding="utf-8"?>
<table xmlns="http://schemas.openxmlformats.org/spreadsheetml/2006/main" id="114" name="Table80102114115" displayName="Table80102114115" ref="A75:F97" totalsRowCount="1" headerRowDxfId="1246" dataDxfId="1278" totalsRowDxfId="12">
  <autoFilter ref="A75:F96"/>
  <tableColumns count="6">
    <tableColumn id="1" name="Column1" totalsRowLabel="Total" dataDxfId="1278" totalsRowDxfId="1277"/>
    <tableColumn id="2" name="عدد" totalsRowFunction="custom" dataDxfId="1278" totalsRowDxfId="1279">
      <totalsRowFormula>(Table80102114115[[#Totals],[price]]*1.1)/(F74*D74/10000)</totalsRowFormula>
    </tableColumn>
    <tableColumn id="3" name="طول" dataDxfId="1278" totalsRowDxfId="1276"/>
    <tableColumn id="4" name="Column2" dataDxfId="1278" totalsRowDxfId="1276"/>
    <tableColumn id="5" name="wt/m" dataDxfId="1278" totalsRowDxfId="1276"/>
    <tableColumn id="6" name="price" totalsRowFunction="sum" dataDxfId="1278" totalsRowDxfId="1276"/>
  </tableColumns>
  <tableStyleInfo name="TableStyleLight17" showFirstColumn="0" showLastColumn="0" showRowStripes="1" showColumnStripes="0"/>
</table>
</file>

<file path=xl/tables/table12.xml><?xml version="1.0" encoding="utf-8"?>
<table xmlns="http://schemas.openxmlformats.org/spreadsheetml/2006/main" id="10" name="Table1611" displayName="Table1611" ref="A57:L60" totalsRowCount="1">
  <autoFilter ref="A57:L59"/>
  <tableColumns count="12">
    <tableColumn id="1" name="م" totalsRowLabel="Total" dataDxfId="1248"/>
    <tableColumn id="2" name="عدد" dataDxfId="1248">
      <calculatedColumnFormula>IF((F74="الاسكندرية"),0.25,0.1)</calculatedColumnFormula>
    </tableColumn>
    <tableColumn id="3" name="بيان برجولا رويال" totalsRowLabel="Total" dataDxfId="1248"/>
    <tableColumn id="12" name="Column12" totalsRowFunction="sum" dataDxfId="1256"/>
    <tableColumn id="5" name="Column1" dataDxfId="1248"/>
    <tableColumn id="11" name="العرض" dataDxfId="1259"/>
    <tableColumn id="10" name="الامتداد" dataDxfId="1250"/>
    <tableColumn id="4" name="سعر المتر" dataDxfId="1260"/>
    <tableColumn id="6" name="Column2" dataDxfId="80"/>
    <tableColumn id="7" name="سعر البرجولا كاملة" dataDxfId="1251">
      <calculatedColumnFormula>(K57)</calculatedColumnFormula>
    </tableColumn>
    <tableColumn id="8" name="اجمالي" totalsRowFunction="sum" dataDxfId="1252">
      <calculatedColumnFormula>B58*Table1611[[#This Row],[سعر البرجولا كاملة]]</calculatedColumnFormula>
    </tableColumn>
    <tableColumn id="9" name="%" totalsRowFunction="custom">
      <calculatedColumnFormula>Table1611[[#Totals],[اجمالي]]/$G$79</calculatedColumnFormula>
      <totalsRowFormula>Table1611[[#Totals],[اجمالي]]/$G$79</totalsRowFormula>
    </tableColumn>
  </tableColumns>
  <tableStyleInfo name="TableStyleLight16" showFirstColumn="0" showLastColumn="0" showRowStripes="1" showColumnStripes="0"/>
</table>
</file>

<file path=xl/tables/table13.xml><?xml version="1.0" encoding="utf-8"?>
<table xmlns="http://schemas.openxmlformats.org/spreadsheetml/2006/main" id="11" name="Table1612" displayName="Table1612" ref="A62:L76" totalsRowCount="1">
  <autoFilter ref="A62:L75"/>
  <tableColumns count="12">
    <tableColumn id="1" name="م" totalsRowLabel="Total" dataDxfId="1248" totalsRowDxfId="1249"/>
    <tableColumn id="2" name="عدد" dataDxfId="51" totalsRowDxfId="1249">
      <calculatedColumnFormula>B60</calculatedColumnFormula>
    </tableColumn>
    <tableColumn id="3" name="بيان" totalsRowLabel="Total" dataDxfId="81" totalsRowDxfId="1249"/>
    <tableColumn id="5" name="اليومية / الاجرة" dataDxfId="1215" totalsRowDxfId="1249"/>
    <tableColumn id="6" name="بدل الوجبة" dataDxfId="1216" totalsRowDxfId="1249"/>
    <tableColumn id="11" name="موقع العمل" dataDxfId="1259" totalsRowDxfId="1249">
      <calculatedColumnFormula>تسعير!$T$4</calculatedColumnFormula>
    </tableColumn>
    <tableColumn id="10" name="شيفت العمل" dataDxfId="1248" totalsRowDxfId="1249"/>
    <tableColumn id="12" name="Column12" totalsRowFunction="sum" dataDxfId="1256" totalsRowDxfId="1257">
      <calculatedColumnFormula>SUMIF(Table17[Column1],Table1612[[#This Row],[موقع العمل]],$T$2:$T$20)</calculatedColumnFormula>
    </tableColumn>
    <tableColumn id="4" name="عدد الايام" dataDxfId="76" totalsRowDxfId="1249"/>
    <tableColumn id="7" name="اجمالي التكلفة للعامل" dataDxfId="75" totalsRowDxfId="1253">
      <calculatedColumnFormula>Table1612[[#This Row],[Column12]]</calculatedColumnFormula>
    </tableColumn>
    <tableColumn id="8" name="اجمالي" totalsRowFunction="sum" dataDxfId="1252" totalsRowDxfId="1254">
      <calculatedColumnFormula>B63*J63</calculatedColumnFormula>
    </tableColumn>
    <tableColumn id="9" name="%" totalsRowFunction="custom" totalsRowDxfId="1255">
      <calculatedColumnFormula>Table1612[[#Totals],[اجمالي]]/$G$79</calculatedColumnFormula>
      <totalsRowFormula>Table1612[[#Totals],[اجمالي]]/$G$79</totalsRowFormula>
    </tableColumn>
  </tableColumns>
  <tableStyleInfo name="TableStyleLight16" showFirstColumn="0" showLastColumn="0" showRowStripes="1" showColumnStripes="0"/>
</table>
</file>

<file path=xl/tables/table14.xml><?xml version="1.0" encoding="utf-8"?>
<table xmlns="http://schemas.openxmlformats.org/spreadsheetml/2006/main" id="14" name="Table17" displayName="Table17" ref="N1:T20" totalsRowShown="0">
  <autoFilter ref="N1:T20"/>
  <tableColumns count="7">
    <tableColumn id="1" name="Column1" dataDxfId="595"/>
    <tableColumn id="2" name="خارجي" dataDxfId="1217"/>
    <tableColumn id="3" name="داخلي" dataDxfId="1261"/>
    <tableColumn id="4" name="بدل الوجبة" dataDxfId="1261"/>
    <tableColumn id="5" name="دبابة" dataDxfId="1261"/>
    <tableColumn id="6" name="جامبو" dataDxfId="1261"/>
    <tableColumn id="7" name="الاقامة" dataDxfId="1261"/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id="15" name="Table18" displayName="Table18" ref="C78:G80" totalsRowShown="0">
  <autoFilter ref="C78:G80"/>
  <tableColumns count="5">
    <tableColumn id="1" name="Column1" dataDxfId="1259"/>
    <tableColumn id="4" name="Column22" dataDxfId="1259"/>
    <tableColumn id="5" name="Column23" dataDxfId="1259"/>
    <tableColumn id="3" name="Column3" dataDxfId="52">
      <calculatedColumnFormula>IF((F74="المقطم"),0.3,IF((F74="التجمع"),0.3,IF((F74="الشيخ زايد"),0.3,IF((F74="الاسكندرية"),0.5,IF((F74="الساحل"),0.5,0.35)))))</calculatedColumnFormula>
    </tableColumn>
    <tableColumn id="2" name="Column2" dataDxfId="1213">
      <calculatedColumnFormula>G78*(1+Table18[[#This Row],[Column3]])</calculatedColumnFormula>
    </tableColumn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id="17" name="Table118" displayName="Table118" ref="A5:L10" totalsRowCount="1">
  <autoFilter ref="A5:L9"/>
  <tableColumns count="12">
    <tableColumn id="1" name="م" dataDxfId="1248"/>
    <tableColumn id="2" name="عدد" dataDxfId="1248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name="بيان" totalsRowLabel="Total" dataDxfId="1248"/>
    <tableColumn id="11" name="Column2" dataDxfId="1248"/>
    <tableColumn id="10" name="Column1" dataDxfId="1248"/>
    <tableColumn id="12" name="المسطح" totalsRowFunction="sum" dataDxfId="1256">
      <calculatedColumnFormula>(Table118[[#This Row],[Column1]]+Table118[[#This Row],[Column2]])*12*Table118[[#This Row],[عدد]]</calculatedColumnFormula>
    </tableColumn>
    <tableColumn id="4" name="الوحده" dataDxfId="1248"/>
    <tableColumn id="5" name="الوزن" dataDxfId="1248"/>
    <tableColumn id="6" name="اجمالي الميزان" totalsRowFunction="sum" dataDxfId="1250">
      <calculatedColumnFormula>Table118[[#This Row],[الوزن]]*Table118[[#This Row],[عدد]]</calculatedColumnFormula>
    </tableColumn>
    <tableColumn id="7" name="سعر الشبك " dataDxfId="1251">
      <calculatedColumnFormula>H6*$H$2/1000</calculatedColumnFormula>
    </tableColumn>
    <tableColumn id="8" name="اجمالي" totalsRowFunction="sum" dataDxfId="1252">
      <calculatedColumnFormula>B6*J6</calculatedColumnFormula>
    </tableColumn>
    <tableColumn id="9" name="%" totalsRowFunction="custom">
      <calculatedColumnFormula>Table118[[#Totals],[اجمالي]]/$G$84</calculatedColumnFormula>
      <totalsRowFormula>Table118[[#Totals],[اجمالي]]/$G$84</totalsRowFormula>
    </tableColumn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id="18" name="Table1319" displayName="Table1319" ref="A35:L50" totalsRowCount="1">
  <autoFilter ref="A35:L49"/>
  <tableColumns count="12">
    <tableColumn id="1" name="م" totalsRowLabel="Total" dataDxfId="1248"/>
    <tableColumn id="2" name="عدد" dataDxfId="1250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name="بيان" totalsRowLabel="Total" dataDxfId="1248"/>
    <tableColumn id="11" name="Column2" dataDxfId="1248"/>
    <tableColumn id="10" name="Column1" dataDxfId="1248"/>
    <tableColumn id="12" name="Column12" dataDxfId="1248"/>
    <tableColumn id="4" name="الوحده" totalsRowLabel="total" dataDxfId="1248"/>
    <tableColumn id="5" name="الوزن" dataDxfId="1250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name="سعر الكيلو" dataDxfId="1248">
      <calculatedColumnFormula>Sheet2!B7</calculatedColumnFormula>
    </tableColumn>
    <tableColumn id="7" name="سعر الشبك " dataDxfId="1251"/>
    <tableColumn id="8" name="اجمالي" totalsRowFunction="sum" dataDxfId="1252">
      <calculatedColumnFormula>B36*Table1319[[#This Row],[سعر الكيلو]]</calculatedColumnFormula>
    </tableColumn>
    <tableColumn id="9" name="%" totalsRowFunction="custom">
      <calculatedColumnFormula>Table1319[[#Totals],[اجمالي]]/$G$84</calculatedColumnFormula>
      <totalsRowFormula>Table1319[[#Totals],[اجمالي]]/$G$84</totalsRow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id="20" name="Table1421" displayName="Table1421" ref="A12:L15" totalsRowCount="1">
  <autoFilter ref="A12:L14"/>
  <tableColumns count="12">
    <tableColumn id="1" name="م" totalsRowLabel="Total" dataDxfId="1248"/>
    <tableColumn id="2" name="عدد" dataDxfId="1248">
      <calculatedColumnFormula>IF((تسعير!X30&lt;800),0,IF(AND((تسعير!X30&gt;800),(600&gt;=تسعير!AA32)),1,0))</calculatedColumnFormula>
    </tableColumn>
    <tableColumn id="3" name="بيان" totalsRowLabel="Total" dataDxfId="1248"/>
    <tableColumn id="11" name="Column2" dataDxfId="1248"/>
    <tableColumn id="10" name="Column1" dataDxfId="1248"/>
    <tableColumn id="12" name="Column12" totalsRowFunction="sum" dataDxfId="1250">
      <calculatedColumnFormula>(Table1421[[#This Row],[Column1]]+Table1421[[#This Row],[Column2]])*12*Table1421[[#This Row],[عدد]]</calculatedColumnFormula>
    </tableColumn>
    <tableColumn id="4" name="الوحده" dataDxfId="1248"/>
    <tableColumn id="5" name="الوزن" dataDxfId="1248"/>
    <tableColumn id="6" name="سعر الكيلو" totalsRowFunction="sum" dataDxfId="1250">
      <calculatedColumnFormula>Table1421[[#This Row],[الوزن]]*Table1421[[#This Row],[عدد]]</calculatedColumnFormula>
    </tableColumn>
    <tableColumn id="7" name="سعر الشبك " dataDxfId="1251">
      <calculatedColumnFormula>H13*$I$2/1000</calculatedColumnFormula>
    </tableColumn>
    <tableColumn id="8" name="اجمالي" totalsRowFunction="sum" dataDxfId="1252">
      <calculatedColumnFormula>B13*J13</calculatedColumnFormula>
    </tableColumn>
    <tableColumn id="9" name="%" totalsRowFunction="custom">
      <calculatedColumnFormula>Table1421[[#Totals],[اجمالي]]/$G$84</calculatedColumnFormula>
      <totalsRowFormula>Table1421[[#Totals],[اجمالي]]/$G$84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id="21" name="Table1522" displayName="Table1522" ref="A17:L28" totalsRowCount="1">
  <autoFilter ref="A17:L27"/>
  <tableColumns count="12">
    <tableColumn id="1" name="م" totalsRowLabel="Total" dataDxfId="1248"/>
    <tableColumn id="2" name="عدد" dataDxfId="1250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name="بيان" totalsRowLabel="Total" dataDxfId="1248"/>
    <tableColumn id="11" name="Column2" dataDxfId="1248"/>
    <tableColumn id="10" name="Column1" dataDxfId="1248"/>
    <tableColumn id="12" name="Column12" dataDxfId="1256"/>
    <tableColumn id="4" name="الوحده" dataDxfId="1248"/>
    <tableColumn id="5" name="الوزن" dataDxfId="1248"/>
    <tableColumn id="6" name="سعر الكيلو" dataDxfId="1248"/>
    <tableColumn id="7" name="سعر الشبك " dataDxfId="1251">
      <calculatedColumnFormula>Sheet2!B22</calculatedColumnFormula>
    </tableColumn>
    <tableColumn id="8" name="اجمالي" totalsRowFunction="sum" dataDxfId="1252">
      <calculatedColumnFormula>B18*J18</calculatedColumnFormula>
    </tableColumn>
    <tableColumn id="9" name="%" totalsRowFunction="custom">
      <calculatedColumnFormula>Table1522[[#Totals],[اجمالي]]/$G$84</calculatedColumnFormula>
      <totalsRowFormula>Table1522[[#Totals],[اجمالي]]/$G$84</totalsRow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id="16" name="Table20" displayName="Table20" ref="G2:I3" totalsRowShown="0">
  <autoFilter ref="G2:I3"/>
  <tableColumns count="3">
    <tableColumn id="1" name="Column1">
      <calculatedColumnFormula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calculatedColumnFormula>
    </tableColumn>
    <tableColumn id="2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id="23" name="Table1624" displayName="Table1624" ref="A30:L33" totalsRowCount="1">
  <autoFilter ref="A30:L32"/>
  <tableColumns count="12">
    <tableColumn id="1" name="م" totalsRowLabel="Total" dataDxfId="1248"/>
    <tableColumn id="2" name="عدد" totalsRowFunction="count" dataDxfId="1250">
      <calculatedColumnFormula>B30*4</calculatedColumnFormula>
    </tableColumn>
    <tableColumn id="3" name="بيان" totalsRowLabel="Total" dataDxfId="1248"/>
    <tableColumn id="11" name="Column2" dataDxfId="1248"/>
    <tableColumn id="10" name="Column1" dataDxfId="1248"/>
    <tableColumn id="12" name="Column12" totalsRowFunction="sum" dataDxfId="1256">
      <calculatedColumnFormula>(Table1624[[#This Row],[Column1]]*Table1624[[#This Row],[Column2]])*Table1624[[#This Row],[عدد]]</calculatedColumnFormula>
    </tableColumn>
    <tableColumn id="4" name="الوحده" dataDxfId="1248"/>
    <tableColumn id="5" name="الوزن" totalsRowFunction="custom">
      <totalsRowFormula>H31*B31+H32*B32</totalsRowFormula>
    </tableColumn>
    <tableColumn id="6" name="سعر الكيلو" dataDxfId="1250">
      <calculatedColumnFormula>$H$2/1000</calculatedColumnFormula>
    </tableColumn>
    <tableColumn id="7" name="سعر الشبك " dataDxfId="1251">
      <calculatedColumnFormula>H31*$H$2/1000</calculatedColumnFormula>
    </tableColumn>
    <tableColumn id="8" name="اجمالي" totalsRowFunction="sum" dataDxfId="1252">
      <calculatedColumnFormula>B31*J31</calculatedColumnFormula>
    </tableColumn>
    <tableColumn id="9" name="%" totalsRowFunction="custom">
      <calculatedColumnFormula>Table1624[[#Totals],[اجمالي]]/$G$84</calculatedColumnFormula>
      <totalsRowFormula>Table1624[[#Totals],[اجمالي]]/$G$84</totalsRow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id="24" name="Table625" displayName="Table625" ref="Y4:AB18" totalsRowShown="0">
  <autoFilter ref="Y4:AB18"/>
  <tableColumns count="4">
    <tableColumn id="1" name="المادة" dataDxfId="1258"/>
    <tableColumn id="2" name="المعدل" dataDxfId="1258"/>
    <tableColumn id="3" name="الوحدة" dataDxfId="1258"/>
    <tableColumn id="4" name="Column4" dataDxfId="1212"/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id="26" name="Table161027" displayName="Table161027" ref="A53:L56" totalsRowCount="1">
  <autoFilter ref="A53:L55"/>
  <tableColumns count="12">
    <tableColumn id="1" name="م" totalsRowLabel="Total" dataDxfId="1248"/>
    <tableColumn id="2" name="عدد" dataDxfId="967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name="بيان" totalsRowLabel="Total" dataDxfId="1259"/>
    <tableColumn id="11" name="Column2" dataDxfId="1259"/>
    <tableColumn id="10" name="Column1" dataDxfId="1260"/>
    <tableColumn id="12" name="Column12" totalsRowFunction="sum" dataDxfId="963"/>
    <tableColumn id="4" name="الوحده" dataDxfId="1221"/>
    <tableColumn id="5" name="الوزن" dataDxfId="1222"/>
    <tableColumn id="6" name="سعر الكيلو" dataDxfId="1260"/>
    <tableColumn id="7" name="سعر الشبك " dataDxfId="1223">
      <calculatedColumnFormula>Sheet2!B31</calculatedColumnFormula>
    </tableColumn>
    <tableColumn id="8" name="اجمالي" totalsRowFunction="sum" dataDxfId="1252">
      <calculatedColumnFormula>B54*J54</calculatedColumnFormula>
    </tableColumn>
    <tableColumn id="9" name="%" totalsRowFunction="custom">
      <calculatedColumnFormula>Table161027[[#Totals],[اجمالي]]/$G$84</calculatedColumnFormula>
      <totalsRowFormula>Table161027[[#Totals],[اجمالي]]/$G$84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id="27" name="Table161128" displayName="Table161128" ref="A58:L61" totalsRowCount="1">
  <autoFilter ref="A58:L60"/>
  <tableColumns count="12">
    <tableColumn id="1" name="م" totalsRowLabel="Total" dataDxfId="1248"/>
    <tableColumn id="2" name="عدد" dataDxfId="1248">
      <calculatedColumnFormula>IF((F79="الاسكندرية"),0.25,0.1)</calculatedColumnFormula>
    </tableColumn>
    <tableColumn id="3" name="بيان برجولا رويال" totalsRowLabel="Total" dataDxfId="1248"/>
    <tableColumn id="12" name="Column12" totalsRowFunction="sum" dataDxfId="1256"/>
    <tableColumn id="5" name="Column1" dataDxfId="1248"/>
    <tableColumn id="11" name="العرض" dataDxfId="1259"/>
    <tableColumn id="10" name="الامتداد" dataDxfId="1250"/>
    <tableColumn id="4" name="سعر المتر" dataDxfId="1260"/>
    <tableColumn id="6" name="Column2" dataDxfId="1262"/>
    <tableColumn id="7" name="سعر البرجولا كاملة" dataDxfId="1251">
      <calculatedColumnFormula>K58</calculatedColumnFormula>
    </tableColumn>
    <tableColumn id="8" name="اجمالي" totalsRowFunction="sum" dataDxfId="1252">
      <calculatedColumnFormula>Table161128[[#This Row],[عدد]]*Table161128[[#This Row],[سعر البرجولا كاملة]]</calculatedColumnFormula>
    </tableColumn>
    <tableColumn id="9" name="%" totalsRowFunction="custom">
      <calculatedColumnFormula>Table161128[[#Totals],[اجمالي]]/$G$84</calculatedColumnFormula>
      <totalsRowFormula>Table161128[[#Totals],[اجمالي]]/$G$84</totalsRowFormula>
    </tableColumn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id="28" name="Table161229" displayName="Table161229" ref="A67:L81" totalsRowCount="1">
  <autoFilter ref="A67:L80"/>
  <tableColumns count="12">
    <tableColumn id="1" name="م" totalsRowLabel="Total" dataDxfId="1248" totalsRowDxfId="1249"/>
    <tableColumn id="2" name="عدد" dataDxfId="1263" totalsRowDxfId="1249">
      <calculatedColumnFormula>B65</calculatedColumnFormula>
    </tableColumn>
    <tableColumn id="3" name="بيان" totalsRowLabel="Total" dataDxfId="1264" totalsRowDxfId="1249"/>
    <tableColumn id="5" name="اليومية / الاجرة" dataDxfId="1264" totalsRowDxfId="1249"/>
    <tableColumn id="6" name="بدل الوجبة" dataDxfId="1262" totalsRowDxfId="1249"/>
    <tableColumn id="11" name="موقع العمل" dataDxfId="1259" totalsRowDxfId="1249">
      <calculatedColumnFormula>تسعير!$T$24</calculatedColumnFormula>
    </tableColumn>
    <tableColumn id="10" name="شيفت العمل" dataDxfId="1248" totalsRowDxfId="1249"/>
    <tableColumn id="12" name="Column12" totalsRowFunction="sum" dataDxfId="1256" totalsRowDxfId="1257">
      <calculatedColumnFormula>SUMIF(Table1731[Column1],Table161229[[#This Row],[موقع العمل]],$T$2:$T$26)</calculatedColumnFormula>
    </tableColumn>
    <tableColumn id="4" name="عدد الايام" dataDxfId="1224" totalsRowDxfId="1249"/>
    <tableColumn id="7" name="اجمالي التكلفة للعامل" dataDxfId="1225" totalsRowDxfId="1253">
      <calculatedColumnFormula>Table161229[[#This Row],[Column12]]</calculatedColumnFormula>
    </tableColumn>
    <tableColumn id="8" name="اجمالي" totalsRowFunction="sum" dataDxfId="1252" totalsRowDxfId="1254">
      <calculatedColumnFormula>B68*J68</calculatedColumnFormula>
    </tableColumn>
    <tableColumn id="9" name="%" totalsRowFunction="custom" totalsRowDxfId="1255">
      <calculatedColumnFormula>Table161229[[#Totals],[اجمالي]]/$G$84</calculatedColumnFormula>
      <totalsRowFormula>Table161229[[#Totals],[اجمالي]]/$G$84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id="29" name="Table161330" displayName="Table161330" ref="A63:L65" totalsRowCount="1">
  <autoFilter ref="A63:L64"/>
  <tableColumns count="12">
    <tableColumn id="1" name="م" totalsRowLabel="Total" dataDxfId="1259" totalsRowDxfId="1249"/>
    <tableColumn id="2" name="عدد" dataDxfId="1263" totalsRowDxfId="1249">
      <calculatedColumnFormula>IF((تسعير!T25="جلفنة و جوتن"),(Table118[[#Totals],[اجمالي الميزان]]+Table1624[[#Totals],[الوزن]]+Table1421[[#Totals],[الوزن]]),0)</calculatedColumnFormula>
    </tableColumn>
    <tableColumn id="3" name="بيان" totalsRowLabel="Total" dataDxfId="1259" totalsRowDxfId="1249"/>
    <tableColumn id="11" name="Column2" dataDxfId="1259" totalsRowDxfId="1249"/>
    <tableColumn id="10" name="Column1" dataDxfId="1259" totalsRowDxfId="1249"/>
    <tableColumn id="12" name="Column12" totalsRowFunction="sum" dataDxfId="68" totalsRowDxfId="1257"/>
    <tableColumn id="4" name="الوحده" dataDxfId="1260" totalsRowDxfId="1249"/>
    <tableColumn id="5" name="الوزن" dataDxfId="1259" totalsRowDxfId="1249"/>
    <tableColumn id="6" name="سعر الكيلو" dataDxfId="1259" totalsRowDxfId="1249"/>
    <tableColumn id="7" name="سعر الشبك " dataDxfId="1265" totalsRowDxfId="1253"/>
    <tableColumn id="8" name="اجمالي" totalsRowFunction="sum" dataDxfId="1252" totalsRowDxfId="1254">
      <calculatedColumnFormula>B64*Table161330[[#This Row],[سعر الشبك ]]</calculatedColumnFormula>
    </tableColumn>
    <tableColumn id="9" name="%" totalsRowFunction="custom" totalsRowDxfId="901" dataCellStyle="Percent">
      <calculatedColumnFormula>Table161330[[#Totals],[اجمالي]]/$G$84</calculatedColumnFormula>
      <totalsRowFormula>Table161330[[#Totals],[اجمالي]]/$G$84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id="30" name="Table1731" displayName="Table1731" ref="N1:T20" totalsRowShown="0">
  <autoFilter ref="N1:T20"/>
  <tableColumns count="7">
    <tableColumn id="1" name="Column1" dataDxfId="1258"/>
    <tableColumn id="2" name="خارجي" dataDxfId="1258"/>
    <tableColumn id="3" name="داخلي" dataDxfId="1258"/>
    <tableColumn id="4" name="بدل الوجبة" dataDxfId="1258"/>
    <tableColumn id="5" name="دبابة" dataDxfId="1258"/>
    <tableColumn id="6" name="جامبو" dataDxfId="1258"/>
    <tableColumn id="7" name="الاقامة" dataDxfId="1258"/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id="31" name="Table1832" displayName="Table1832" ref="C83:G85" totalsRowShown="0">
  <autoFilter ref="C83:G85"/>
  <tableColumns count="5">
    <tableColumn id="1" name="Column1" dataDxfId="1259"/>
    <tableColumn id="4" name="Column22" dataDxfId="1259"/>
    <tableColumn id="5" name="Column23" dataDxfId="1259"/>
    <tableColumn id="3" name="Column3" dataDxfId="1226">
      <calculatedColumnFormula>IF((F79="المقطم"),0.3,IF((F79="التجمع"),0.3,IF((F79="الشيخ زايد"),0.3,IF((F79="الاسكندرية"),0.5,IF((F73="الساحل"),0.5,0.35)))))</calculatedColumnFormula>
    </tableColumn>
    <tableColumn id="2" name="Column2" dataDxfId="1263">
      <calculatedColumnFormula>G83*(1+Table1832[[#This Row],[Column3]])</calculatedColumn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id="8" name="Table8" displayName="Table8" ref="A2:J15" totalsRowCount="1">
  <autoFilter ref="A2:J14"/>
  <tableColumns count="10">
    <tableColumn id="7" name="Column7" totalsRowLabel="Total" dataDxfId="1261" totalsRowDxfId="742"/>
    <tableColumn id="6" name="الطول بالمتر" dataDxfId="1261" totalsRowDxfId="1227"/>
    <tableColumn id="5" name="وزن المتر " dataDxfId="1261" totalsRowDxfId="1266"/>
    <tableColumn id="4" name="سعر الكيلو" dataDxfId="1261" totalsRowDxfId="1266"/>
    <tableColumn id="3" name="اجمالي عدد " totalsRowFunction="custom" totalsRowDxfId="1266">
      <totalsRowFormula>Table8[[#Totals],[اجمالي التكلفة]]/B1</totalsRowFormula>
    </tableColumn>
    <tableColumn id="2" name="اجمالي التكلفة" totalsRowFunction="sum" dataDxfId="751" totalsRowDxfId="750">
      <calculatedColumnFormula>B3*D3</calculatedColumnFormula>
    </tableColumn>
    <tableColumn id="9" name="Column1" dataDxfId="1261" totalsRowDxfId="1266"/>
    <tableColumn id="10" name="Column2" dataDxfId="1261" totalsRowDxfId="1266"/>
    <tableColumn id="11" name="Column3" dataDxfId="1261" totalsRowDxfId="1266"/>
    <tableColumn id="12" name="Column4" dataDxfId="1261" totalsRowDxfId="1266"/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id="58" name="Table1359" displayName="Table1359" ref="L25:W45" totalsRowCount="1">
  <autoFilter ref="L25:W44"/>
  <tableColumns count="12">
    <tableColumn id="1" name="م" totalsRowLabel="Total" dataDxfId="1248" totalsRowDxfId="1249"/>
    <tableColumn id="2" name="عدد" dataDxfId="1250" totalsRowDxfId="1249"/>
    <tableColumn id="3" name="بيان" totalsRowLabel="Total" dataDxfId="1248" totalsRowDxfId="1249"/>
    <tableColumn id="11" name="Column2" dataDxfId="1248" totalsRowDxfId="1249"/>
    <tableColumn id="10" name="Column1" dataDxfId="1248" totalsRowDxfId="1249"/>
    <tableColumn id="12" name="Column12" dataDxfId="1248" totalsRowDxfId="1249"/>
    <tableColumn id="4" name="الوحده" totalsRowLabel="total" dataDxfId="1248" totalsRowDxfId="1249"/>
    <tableColumn id="5" name="الوزن" dataDxfId="1248" totalsRowDxfId="1249"/>
    <tableColumn id="6" name="سعر الكيلو" dataDxfId="1248" totalsRowDxfId="1249"/>
    <tableColumn id="7" name="سعر الشبك " dataDxfId="1251" totalsRowDxfId="1253">
      <calculatedColumnFormula>Sheet2!B2</calculatedColumnFormula>
    </tableColumn>
    <tableColumn id="8" name="اجمالي" totalsRowFunction="sum" dataDxfId="1252" totalsRowDxfId="1254">
      <calculatedColumnFormula>M26*U26</calculatedColumnFormula>
    </tableColumn>
    <tableColumn id="9" name="%" totalsRowFunction="custom" totalsRowDxfId="1255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id="19" name="Table2020" displayName="Table2020" ref="G5:I6" totalsRowShown="0">
  <autoFilter ref="G5:I6"/>
  <tableColumns count="3">
    <tableColumn id="1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name="Column3" dataDxfId="540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id="60" name="Table1561" displayName="Table1561" ref="L10:W18" totalsRowCount="1">
  <autoFilter ref="L10:W17"/>
  <sortState ref="L10:W17">
    <sortCondition ref="L10:L27"/>
  </sortState>
  <tableColumns count="12">
    <tableColumn id="1" name="م" totalsRowLabel="Total" dataDxfId="1248"/>
    <tableColumn id="2" name="عدد" dataDxfId="1250"/>
    <tableColumn id="3" name="بيان" totalsRowLabel="Total" dataDxfId="1248"/>
    <tableColumn id="11" name="Column2" dataDxfId="1248"/>
    <tableColumn id="10" name="Column1" dataDxfId="1248"/>
    <tableColumn id="12" name="Column12" dataDxfId="1256"/>
    <tableColumn id="4" name="الوحده" dataDxfId="1248"/>
    <tableColumn id="5" name="الوزن" dataDxfId="1248"/>
    <tableColumn id="6" name="سعر الكيلو" dataDxfId="1248"/>
    <tableColumn id="7" name="سعر الشبك " dataDxfId="1251">
      <calculatedColumnFormula>Sheet2!B24</calculatedColumnFormula>
    </tableColumn>
    <tableColumn id="8" name="اجمالي" totalsRowFunction="sum" dataDxfId="1252">
      <calculatedColumnFormula>M11*U11</calculatedColumnFormula>
    </tableColumn>
    <tableColumn id="9" name="%" totalsRowFunction="custom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id="61" name="Table1662" displayName="Table1662" ref="L20:W23" totalsRowCount="1">
  <autoFilter ref="L20:W22"/>
  <tableColumns count="12">
    <tableColumn id="1" name="م" totalsRowLabel="Total" dataDxfId="1248"/>
    <tableColumn id="2" name="عدد" totalsRowFunction="count" dataDxfId="1248">
      <calculatedColumnFormula>M20*4</calculatedColumnFormula>
    </tableColumn>
    <tableColumn id="3" name="بيان" totalsRowLabel="Total" dataDxfId="1248"/>
    <tableColumn id="11" name="Column2" dataDxfId="1248"/>
    <tableColumn id="10" name="Column1" dataDxfId="1248"/>
    <tableColumn id="12" name="Column12" totalsRowFunction="sum" dataDxfId="1256">
      <calculatedColumnFormula>(Table1662[[#This Row],[Column1]]*Table1662[[#This Row],[Column2]])*Table1662[[#This Row],[عدد]]</calculatedColumnFormula>
    </tableColumn>
    <tableColumn id="4" name="الوحده" dataDxfId="1248"/>
    <tableColumn id="5" name="الوزن" totalsRowFunction="custom">
      <totalsRowFormula>(S21*M21)+(M22*S22)</totalsRowFormula>
    </tableColumn>
    <tableColumn id="6" name="سعر الكيلو" dataDxfId="1250"/>
    <tableColumn id="7" name="سعر الشبك " dataDxfId="1251">
      <calculatedColumnFormula>S21*$S$2/1000</calculatedColumnFormula>
    </tableColumn>
    <tableColumn id="8" name="اجمالي" totalsRowFunction="sum" dataDxfId="1252">
      <calculatedColumnFormula>M21*U21</calculatedColumnFormula>
    </tableColumn>
    <tableColumn id="9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id="62" name="Table663" displayName="Table663" ref="AJ4:AM15" totalsRowShown="0">
  <autoFilter ref="AJ4:AM15"/>
  <tableColumns count="4">
    <tableColumn id="1" name="المادة" dataDxfId="1258"/>
    <tableColumn id="2" name="المعدل" dataDxfId="1258"/>
    <tableColumn id="3" name="الوحدة" dataDxfId="1258"/>
    <tableColumn id="4" name="Column4" dataDxfId="1267"/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id="63" name="Table764" displayName="Table764" ref="AO4:AS19" totalsRowShown="0">
  <autoFilter ref="AO4:AS19"/>
  <tableColumns count="5">
    <tableColumn id="1" name="Column1" dataDxfId="1258"/>
    <tableColumn id="2" name="Column2" dataDxfId="1267"/>
    <tableColumn id="3" name="Column3" dataDxfId="1258"/>
    <tableColumn id="4" name="Column4" dataDxfId="1258"/>
    <tableColumn id="5" name="Column5" dataDxfId="1258"/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id="66" name="Table161267" displayName="Table161267" ref="L54:W68" totalsRowCount="1">
  <autoFilter ref="L54:W67"/>
  <tableColumns count="12">
    <tableColumn id="1" name="م" totalsRowLabel="Total" dataDxfId="1248" totalsRowDxfId="1249"/>
    <tableColumn id="2" name="عدد" dataDxfId="1263" totalsRowDxfId="1249">
      <calculatedColumnFormula>IF((تسعير!$AU$14="بالتات"),0,M52-2)</calculatedColumnFormula>
    </tableColumn>
    <tableColumn id="3" name="بيان" totalsRowLabel="Total" dataDxfId="1264" totalsRowDxfId="1249"/>
    <tableColumn id="5" name="اليومية / الاجرة" dataDxfId="1264" totalsRowDxfId="1249"/>
    <tableColumn id="6" name="بدل الوجبة" dataDxfId="1262" totalsRowDxfId="1249"/>
    <tableColumn id="11" name="موقع العمل" dataDxfId="1259" totalsRowDxfId="1249">
      <calculatedColumnFormula>تسعير!$AT$4</calculatedColumnFormula>
    </tableColumn>
    <tableColumn id="10" name="شيفت العمل" dataDxfId="1248" totalsRowDxfId="1249"/>
    <tableColumn id="12" name="Column12" totalsRowFunction="sum" dataDxfId="1256" totalsRowDxfId="1257">
      <calculatedColumnFormula>SUMIF(Table1769[Column1],Table161267[[#This Row],[موقع العمل]],$AE$2:$AE$8)</calculatedColumnFormula>
    </tableColumn>
    <tableColumn id="4" name="عدد الايام" dataDxfId="1268" totalsRowDxfId="1249"/>
    <tableColumn id="7" name="اجمالي التكلفة للعامل" dataDxfId="1269" totalsRowDxfId="1253">
      <calculatedColumnFormula>Table161267[[#This Row],[Column12]]</calculatedColumnFormula>
    </tableColumn>
    <tableColumn id="8" name="اجمالي" totalsRowFunction="sum" dataDxfId="1252" totalsRowDxfId="1254">
      <calculatedColumnFormula>M55*U55</calculatedColumnFormula>
    </tableColumn>
    <tableColumn id="9" name="%" totalsRowFunction="custom" totalsRowDxfId="1255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id="67" name="Table161368" displayName="Table161368" ref="L48:W52" totalsRowCount="1">
  <autoFilter ref="L48:W51"/>
  <tableColumns count="12">
    <tableColumn id="1" name="م" totalsRowLabel="Total" dataDxfId="1259"/>
    <tableColumn id="2" name="عدد" dataDxfId="1263">
      <calculatedColumnFormula>IF((Q65="الاسكندرية"),0.25,0.1)</calculatedColumnFormula>
    </tableColumn>
    <tableColumn id="3" name="بيان" totalsRowLabel="Total" dataDxfId="1259"/>
    <tableColumn id="11" name="Column2" dataDxfId="1259"/>
    <tableColumn id="10" name="Column1" dataDxfId="1259"/>
    <tableColumn id="12" name="Column12" totalsRowFunction="sum" dataDxfId="1228"/>
    <tableColumn id="4" name="الوحده" dataDxfId="1260"/>
    <tableColumn id="5" name="الوزن" dataDxfId="1259"/>
    <tableColumn id="6" name="سعر الكيلو" dataDxfId="1259"/>
    <tableColumn id="7" name="سعر الشبك " dataDxfId="1265">
      <calculatedColumnFormula>V48</calculatedColumnFormula>
    </tableColumn>
    <tableColumn id="8" name="اجمالي" totalsRowFunction="sum" dataDxfId="1252">
      <calculatedColumnFormula>M49*Table161368[[#This Row],[سعر الشبك ]]</calculatedColumnFormula>
    </tableColumn>
    <tableColumn id="9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id="68" name="Table1769" displayName="Table1769" ref="Y1:AE28" totalsRowShown="0">
  <autoFilter ref="Y1:AE28"/>
  <tableColumns count="7">
    <tableColumn id="1" name="Column1" dataDxfId="1258"/>
    <tableColumn id="2" name="خارجي" dataDxfId="1258"/>
    <tableColumn id="3" name="داخلي" dataDxfId="1258"/>
    <tableColumn id="4" name="بدل الوجبة" dataDxfId="1258"/>
    <tableColumn id="5" name="دبابة" dataDxfId="1258"/>
    <tableColumn id="6" name="جامبو" dataDxfId="1258"/>
    <tableColumn id="7" name="الاقامة" dataDxfId="1258"/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id="69" name="Table1870" displayName="Table1870" ref="N70:R72" totalsRowShown="0">
  <autoFilter ref="N70:R72"/>
  <tableColumns count="5">
    <tableColumn id="1" name="Column1" dataDxfId="1259"/>
    <tableColumn id="4" name="Column22" dataDxfId="1259"/>
    <tableColumn id="5" name="Column23" dataDxfId="1259"/>
    <tableColumn id="3" name="Column3" dataDxfId="1270">
      <calculatedColumnFormula>IF((Q66="المقطم"),0.3,IF((Q66="التجمع"),0.3,IF((Q66="الشيخ زايد"),0.3,IF((Q66="الاسكندرية"),0.5,0.35))))</calculatedColumnFormula>
    </tableColumn>
    <tableColumn id="2" name="Column2" dataDxfId="1263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id="57" name="Table158" displayName="Table158" ref="L5:W8" totalsRowCount="1">
  <autoFilter ref="L5:W7"/>
  <sortState ref="L5:W7">
    <sortCondition ref="L5:L33"/>
  </sortState>
  <tableColumns count="12">
    <tableColumn id="1" name="م" dataDxfId="1248"/>
    <tableColumn id="2" name="عدد" dataDxfId="1248">
      <calculatedColumnFormula>IF((N2="A1"),2,IF((N2="A2"),3,IF((N2="B1"),2.5,IF((N2="B2"),3,0))))</calculatedColumnFormula>
    </tableColumn>
    <tableColumn id="3" name="بيان" totalsRowLabel="Total" dataDxfId="1248"/>
    <tableColumn id="11" name="Column2" dataDxfId="1248"/>
    <tableColumn id="10" name="Column1" dataDxfId="1248"/>
    <tableColumn id="12" name="المسطح" totalsRowFunction="sum" dataDxfId="1256">
      <calculatedColumnFormula>(Table158[[#This Row],[Column1]]+Table158[[#This Row],[Column2]])*12*Table158[[#This Row],[عدد]]</calculatedColumnFormula>
    </tableColumn>
    <tableColumn id="4" name="الوحده" dataDxfId="1248"/>
    <tableColumn id="5" name="الوزن" totalsRowFunction="custom">
      <totalsRowFormula>(S7*M7)</totalsRowFormula>
    </tableColumn>
    <tableColumn id="6" name="سعر الكيلو" totalsRowFunction="sum" dataDxfId="1250">
      <calculatedColumnFormula>Table158[[#This Row],[المسطح]]*Table158[[#This Row],[عدد]]</calculatedColumnFormula>
    </tableColumn>
    <tableColumn id="7" name="سعر الشبك " dataDxfId="42">
      <calculatedColumnFormula>S6*$S$2/1000</calculatedColumnFormula>
    </tableColumn>
    <tableColumn id="8" name="اجمالي" totalsRowFunction="sum" dataDxfId="1252">
      <calculatedColumnFormula>M6*U6</calculatedColumnFormula>
    </tableColumn>
    <tableColumn id="9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id="22" name="Table823" displayName="Table823" ref="A2:J17" totalsRowCount="1">
  <autoFilter ref="A2:J16"/>
  <tableColumns count="10">
    <tableColumn id="7" name="Column7" totalsRowLabel="Total" dataDxfId="1261" totalsRowDxfId="1266"/>
    <tableColumn id="6" name="الطول بالمتر" dataDxfId="1261" totalsRowDxfId="1266"/>
    <tableColumn id="5" name="وزن المتر " dataDxfId="1261" totalsRowDxfId="1266"/>
    <tableColumn id="4" name="سعر الكيلو" dataDxfId="1261" totalsRowDxfId="1266"/>
    <tableColumn id="3" name="اجمالي عدد " totalsRowFunction="custom" totalsRowDxfId="1266">
      <totalsRowFormula>Table823[[#Totals],[اجمالي التكلفة]]/B1</totalsRowFormula>
    </tableColumn>
    <tableColumn id="2" name="اجمالي التكلفة" totalsRowFunction="sum" dataDxfId="1229" totalsRowDxfId="1230"/>
    <tableColumn id="9" name="Column1" dataDxfId="1261" totalsRowDxfId="1266"/>
    <tableColumn id="10" name="Column2" dataDxfId="1261" totalsRowDxfId="1266"/>
    <tableColumn id="11" name="Column3" dataDxfId="1261" totalsRowDxfId="1266"/>
    <tableColumn id="12" name="Column4" dataDxfId="1261" totalsRowDxfId="1266"/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id="7" name="Table7" displayName="Table7" ref="A11:B58">
  <autoFilter ref="A11:B58"/>
  <tableColumns count="2">
    <tableColumn id="1" name="الخامة" totalsRowLabel="Total"/>
    <tableColumn id="2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id="25" name="Table135926" displayName="Table135926" ref="L25:W45" totalsRowCount="1">
  <autoFilter ref="L25:W44"/>
  <tableColumns count="12">
    <tableColumn id="1" name="م" totalsRowLabel="Total" dataDxfId="1248" totalsRowDxfId="1249"/>
    <tableColumn id="2" name="عدد" dataDxfId="1250" totalsRowDxfId="1249"/>
    <tableColumn id="3" name="بيان" totalsRowLabel="Total" dataDxfId="1248" totalsRowDxfId="1249"/>
    <tableColumn id="11" name="Column2" dataDxfId="1248" totalsRowDxfId="1249"/>
    <tableColumn id="10" name="Column1" dataDxfId="1248" totalsRowDxfId="1249"/>
    <tableColumn id="12" name="Column12" dataDxfId="1248" totalsRowDxfId="1249"/>
    <tableColumn id="4" name="الوحده" totalsRowLabel="total" dataDxfId="1248" totalsRowDxfId="1249"/>
    <tableColumn id="5" name="الوزن" dataDxfId="1248" totalsRowDxfId="1249"/>
    <tableColumn id="6" name="سعر الكيلو" dataDxfId="1248" totalsRowDxfId="1249"/>
    <tableColumn id="7" name="سعر الشبك " dataDxfId="1251" totalsRowDxfId="1253">
      <calculatedColumnFormula>Sheet2!B2</calculatedColumnFormula>
    </tableColumn>
    <tableColumn id="8" name="اجمالي" totalsRowFunction="sum" dataDxfId="1252" totalsRowDxfId="1254">
      <calculatedColumnFormula>M26*U26</calculatedColumnFormula>
    </tableColumn>
    <tableColumn id="9" name="%" totalsRowFunction="custom" totalsRowDxfId="1255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id="39" name="Table156140" displayName="Table156140" ref="L10:W18" totalsRowCount="1">
  <autoFilter ref="L10:W17"/>
  <sortState ref="L10:W17">
    <sortCondition ref="L10:L27"/>
  </sortState>
  <tableColumns count="12">
    <tableColumn id="1" name="م" totalsRowLabel="Total" dataDxfId="1248"/>
    <tableColumn id="2" name="عدد" dataDxfId="1250"/>
    <tableColumn id="3" name="بيان" totalsRowLabel="Total" dataDxfId="1248"/>
    <tableColumn id="11" name="Column2" dataDxfId="1248"/>
    <tableColumn id="10" name="Column1" dataDxfId="1248"/>
    <tableColumn id="12" name="Column12" dataDxfId="1256"/>
    <tableColumn id="4" name="الوحده" dataDxfId="1248"/>
    <tableColumn id="5" name="الوزن" dataDxfId="1248"/>
    <tableColumn id="6" name="سعر الكيلو" dataDxfId="1248"/>
    <tableColumn id="7" name="سعر الشبك " dataDxfId="1251">
      <calculatedColumnFormula>Sheet2!B24</calculatedColumnFormula>
    </tableColumn>
    <tableColumn id="8" name="اجمالي" totalsRowFunction="sum" dataDxfId="1252">
      <calculatedColumnFormula>M11*U11</calculatedColumnFormula>
    </tableColumn>
    <tableColumn id="9" name="%" totalsRowFunction="custom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id="40" name="Table166241" displayName="Table166241" ref="L20:W23" totalsRowCount="1">
  <autoFilter ref="L20:W22"/>
  <tableColumns count="12">
    <tableColumn id="1" name="م" totalsRowLabel="Total" dataDxfId="1248"/>
    <tableColumn id="2" name="عدد" totalsRowFunction="count" dataDxfId="1248">
      <calculatedColumnFormula>M20*4</calculatedColumnFormula>
    </tableColumn>
    <tableColumn id="3" name="بيان" totalsRowLabel="Total" dataDxfId="1248"/>
    <tableColumn id="11" name="Column2" dataDxfId="1248"/>
    <tableColumn id="10" name="Column1" dataDxfId="1248"/>
    <tableColumn id="12" name="Column12" totalsRowFunction="sum" dataDxfId="1256">
      <calculatedColumnFormula>(Table166241[[#This Row],[Column1]]*Table166241[[#This Row],[Column2]])*Table166241[[#This Row],[عدد]]</calculatedColumnFormula>
    </tableColumn>
    <tableColumn id="4" name="الوحده" dataDxfId="1248"/>
    <tableColumn id="5" name="الوزن" totalsRowFunction="custom">
      <totalsRowFormula>(S21*M21)+(M22*S22)</totalsRowFormula>
    </tableColumn>
    <tableColumn id="6" name="سعر الكيلو" dataDxfId="1250"/>
    <tableColumn id="7" name="سعر الشبك " dataDxfId="1251">
      <calculatedColumnFormula>S21*$S$2/1000</calculatedColumnFormula>
    </tableColumn>
    <tableColumn id="8" name="اجمالي" totalsRowFunction="sum" dataDxfId="1252">
      <calculatedColumnFormula>M21*U21</calculatedColumnFormula>
    </tableColumn>
    <tableColumn id="9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id="41" name="Table66342" displayName="Table66342" ref="AJ4:AM18" totalsRowShown="0">
  <autoFilter ref="AJ4:AM18"/>
  <tableColumns count="4">
    <tableColumn id="1" name="المادة" dataDxfId="1258"/>
    <tableColumn id="2" name="المعدل" dataDxfId="1258"/>
    <tableColumn id="3" name="الوحدة" dataDxfId="1258"/>
    <tableColumn id="4" name="Column4" dataDxfId="1267"/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id="43" name="Table16126744" displayName="Table16126744" ref="L54:W68" totalsRowCount="1">
  <autoFilter ref="L54:W67"/>
  <tableColumns count="12">
    <tableColumn id="1" name="م" totalsRowLabel="Total" dataDxfId="1248" totalsRowDxfId="1249"/>
    <tableColumn id="2" name="عدد" dataDxfId="1263" totalsRowDxfId="1249">
      <calculatedColumnFormula>IF((تسعير!$BF$14="بالتات"),0,M52-2)</calculatedColumnFormula>
    </tableColumn>
    <tableColumn id="3" name="بيان" totalsRowLabel="Total" dataDxfId="1264" totalsRowDxfId="1249"/>
    <tableColumn id="5" name="اليومية / الاجرة" dataDxfId="1264" totalsRowDxfId="1249"/>
    <tableColumn id="6" name="بدل الوجبة" dataDxfId="1262" totalsRowDxfId="1249"/>
    <tableColumn id="11" name="موقع العمل" dataDxfId="1259" totalsRowDxfId="1249">
      <calculatedColumnFormula>تسعير!$BE$4</calculatedColumnFormula>
    </tableColumn>
    <tableColumn id="10" name="شيفت العمل" dataDxfId="1248" totalsRowDxfId="1249"/>
    <tableColumn id="12" name="Column12" totalsRowFunction="sum" dataDxfId="1256" totalsRowDxfId="1257"/>
    <tableColumn id="4" name="عدد الايام" dataDxfId="1268" totalsRowDxfId="1249"/>
    <tableColumn id="7" name="اجمالي التكلفة للعامل" dataDxfId="1269" totalsRowDxfId="1253">
      <calculatedColumnFormula>Table16126744[[#This Row],[Column12]]</calculatedColumnFormula>
    </tableColumn>
    <tableColumn id="8" name="اجمالي" totalsRowFunction="sum" dataDxfId="1252" totalsRowDxfId="1254">
      <calculatedColumnFormula>M55*U55</calculatedColumnFormula>
    </tableColumn>
    <tableColumn id="9" name="%" totalsRowFunction="custom" totalsRowDxfId="1255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id="44" name="Table16136845" displayName="Table16136845" ref="L48:W52" totalsRowCount="1">
  <autoFilter ref="L48:W51"/>
  <tableColumns count="12">
    <tableColumn id="1" name="م" totalsRowLabel="Total" dataDxfId="1259"/>
    <tableColumn id="2" name="عدد" dataDxfId="1263">
      <calculatedColumnFormula>IF((Q65="الاسكندرية"),0.25,0.1)</calculatedColumnFormula>
    </tableColumn>
    <tableColumn id="3" name="بيان" totalsRowLabel="Total" dataDxfId="1259"/>
    <tableColumn id="11" name="Column2" dataDxfId="1259"/>
    <tableColumn id="10" name="Column1" dataDxfId="1259"/>
    <tableColumn id="12" name="Column12" totalsRowFunction="sum" dataDxfId="1271"/>
    <tableColumn id="4" name="الوحده" dataDxfId="1260"/>
    <tableColumn id="5" name="الوزن" dataDxfId="1259"/>
    <tableColumn id="6" name="سعر الكيلو" dataDxfId="1259"/>
    <tableColumn id="7" name="سعر الشبك " dataDxfId="1265">
      <calculatedColumnFormula>V48</calculatedColumnFormula>
    </tableColumn>
    <tableColumn id="8" name="اجمالي" totalsRowFunction="sum" dataDxfId="1252">
      <calculatedColumnFormula>M49*Table16136845[[#This Row],[سعر الشبك ]]</calculatedColumnFormula>
    </tableColumn>
    <tableColumn id="9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id="45" name="Table176946" displayName="Table176946" ref="Y1:AE20" totalsRowShown="0">
  <autoFilter ref="Y1:AE20"/>
  <tableColumns count="7">
    <tableColumn id="1" name="Column1" dataDxfId="1261"/>
    <tableColumn id="2" name="خارجي" dataDxfId="1261"/>
    <tableColumn id="3" name="داخلي" dataDxfId="1261"/>
    <tableColumn id="4" name="بدل الوجبة" dataDxfId="1261"/>
    <tableColumn id="5" name="دبابة" dataDxfId="1261"/>
    <tableColumn id="6" name="جامبو" dataDxfId="1261"/>
    <tableColumn id="7" name="الاقامة" dataDxfId="1261"/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id="53" name="Table187054" displayName="Table187054" ref="N70:R72" totalsRowShown="0">
  <autoFilter ref="N70:R72"/>
  <tableColumns count="5">
    <tableColumn id="1" name="Column1" dataDxfId="1259"/>
    <tableColumn id="4" name="Column22" dataDxfId="1259"/>
    <tableColumn id="5" name="Column23" dataDxfId="1259"/>
    <tableColumn id="3" name="Column3" dataDxfId="1270">
      <calculatedColumnFormula>IF((Q66="المقطم"),0.3,IF((Q66="التجمع"),0.3,IF((Q66="الشيخ زايد"),0.3,IF((Q66="الاسكندرية"),0.5,0.35))))</calculatedColumnFormula>
    </tableColumn>
    <tableColumn id="2" name="Column2" dataDxfId="1263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id="54" name="Table15855" displayName="Table15855" ref="L5:W8" totalsRowCount="1">
  <autoFilter ref="L5:W7"/>
  <sortState ref="L5:W7">
    <sortCondition ref="L5:L33"/>
  </sortState>
  <tableColumns count="12">
    <tableColumn id="1" name="م" dataDxfId="1248"/>
    <tableColumn id="2" name="عدد" dataDxfId="1248">
      <calculatedColumnFormula>IF((N2="c1"),3,IF((N2="c2"),4,IF((N2="d1"),4,IF((N2="d2"),5,0))))</calculatedColumnFormula>
    </tableColumn>
    <tableColumn id="3" name="بيان" totalsRowLabel="Total" dataDxfId="1248"/>
    <tableColumn id="11" name="Column2" dataDxfId="1248"/>
    <tableColumn id="10" name="Column1" dataDxfId="1248"/>
    <tableColumn id="12" name="المسطح" totalsRowFunction="sum" dataDxfId="1256">
      <calculatedColumnFormula>(Table15855[[#This Row],[Column1]]+Table15855[[#This Row],[Column2]])*12*Table15855[[#This Row],[عدد]]</calculatedColumnFormula>
    </tableColumn>
    <tableColumn id="4" name="الوحده" dataDxfId="1248"/>
    <tableColumn id="5" name="الوزن" totalsRowFunction="custom">
      <totalsRowFormula>(S7*M7)</totalsRowFormula>
    </tableColumn>
    <tableColumn id="6" name="سعر الكيلو" dataDxfId="1250"/>
    <tableColumn id="7" name="سعر الشبك " dataDxfId="1231">
      <calculatedColumnFormula>S6*$S$2/1000</calculatedColumnFormula>
    </tableColumn>
    <tableColumn id="8" name="اجمالي" totalsRowFunction="sum" dataDxfId="1252">
      <calculatedColumnFormula>M6*U6</calculatedColumnFormula>
    </tableColumn>
    <tableColumn id="9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id="32" name="Table133" displayName="Table133" ref="A2:C11" totalsRowShown="0">
  <autoFilter ref="A2:C11"/>
  <tableColumns count="3">
    <tableColumn id="1" name="شكل" dataDxfId="1261"/>
    <tableColumn id="2" name="المقاس" dataDxfId="1261"/>
    <tableColumn id="4" name="ميزان" dataDxfId="611"/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id="1" name="Table1" displayName="Table1" ref="A5:L9" totalsRowCount="1">
  <autoFilter ref="A5:L8"/>
  <sortState ref="A5:L8">
    <sortCondition ref="A5:A33"/>
  </sortState>
  <tableColumns count="12">
    <tableColumn id="1" name="م" dataDxfId="44" totalsRowDxfId="109"/>
    <tableColumn id="2" name="عدد" dataDxfId="1202" totalsRowDxfId="1203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name="بيان" totalsRowLabel="Total" dataDxfId="1248" totalsRowDxfId="1249"/>
    <tableColumn id="11" name="Column2" dataDxfId="1248" totalsRowDxfId="1249"/>
    <tableColumn id="10" name="Column1" dataDxfId="1248" totalsRowDxfId="1249"/>
    <tableColumn id="12" name="المسطح" totalsRowFunction="sum" dataDxfId="45" totalsRowDxfId="115">
      <calculatedColumnFormula>(Table1[[#This Row],[Column1]]+Table1[[#This Row],[Column2]])*12*Table1[[#This Row],[عدد]]</calculatedColumnFormula>
    </tableColumn>
    <tableColumn id="4" name="الوحده" dataDxfId="1248" totalsRowDxfId="1249"/>
    <tableColumn id="5" name="الوزن" totalsRowFunction="custom" totalsRowDxfId="1249">
      <totalsRowFormula>(H6*B6)+(H8*B8)+(H7*B7)</totalsRowFormula>
    </tableColumn>
    <tableColumn id="6" name="مسطح" dataDxfId="43" totalsRowDxfId="1249"/>
    <tableColumn id="7" name="سعر الشبك " dataDxfId="95" totalsRowDxfId="107">
      <calculatedColumnFormula>H6*$H$2/1000</calculatedColumnFormula>
    </tableColumn>
    <tableColumn id="8" name="اجمالي" totalsRowFunction="sum" dataDxfId="41" totalsRowDxfId="105">
      <calculatedColumnFormula>B6*J6</calculatedColumnFormula>
    </tableColumn>
    <tableColumn id="9" name="%" totalsRowFunction="custom" totalsRowDxfId="104">
      <calculatedColumnFormula>Table1[[#Totals],[اجمالي]]/$G$79</calculatedColumnFormula>
      <totalsRowFormula>Table1[[#Totals],[اجمالي]]/$G$79</totalsRowFormula>
    </tableColumn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id="33" name="Table334" displayName="Table334" ref="E2:F6" totalsRowShown="0">
  <autoFilter ref="E2:F6"/>
  <tableColumns count="2">
    <tableColumn id="1" name="Column1" dataDxfId="610"/>
    <tableColumn id="2" name="Column2" dataDxfId="1261"/>
  </tableColumns>
  <tableStyleInfo name="TableStyleLight17" showFirstColumn="0" showLastColumn="0" showRowStripes="1" showColumnStripes="0"/>
</table>
</file>

<file path=xl/tables/table51.xml><?xml version="1.0" encoding="utf-8"?>
<table xmlns="http://schemas.openxmlformats.org/spreadsheetml/2006/main" id="34" name="Table4" displayName="Table4" ref="H2:K13" totalsRowCount="1">
  <autoFilter ref="H2:K12"/>
  <tableColumns count="4">
    <tableColumn id="1" name="Column1" totalsRowLabel="Total" dataDxfId="1261" totalsRowDxfId="630"/>
    <tableColumn id="2" name="عدد/الشمسية" dataDxfId="629" totalsRowDxfId="626"/>
    <tableColumn id="3" name="سعر الوحدة" dataDxfId="1261" totalsRowDxfId="1232"/>
    <tableColumn id="4" name="قيمة" totalsRowFunction="sum" dataDxfId="1261" totalsRowDxfId="624"/>
  </tableColumns>
  <tableStyleInfo name="TableStyleLight18" showFirstColumn="0" showLastColumn="0" showRowStripes="1" showColumnStripes="0"/>
</table>
</file>

<file path=xl/tables/table52.xml><?xml version="1.0" encoding="utf-8"?>
<table xmlns="http://schemas.openxmlformats.org/spreadsheetml/2006/main" id="35" name="Table1636" displayName="Table1636" ref="H15:K24" totalsRowShown="0">
  <autoFilter ref="H15:K24"/>
  <tableColumns count="4">
    <tableColumn id="1" name="المقاس" dataDxfId="1261"/>
    <tableColumn id="2" name="امتار عادية" dataDxfId="1261"/>
    <tableColumn id="4" name="امتار single" dataDxfId="1261"/>
    <tableColumn id="6" name="امتار douple" dataDxfId="1261"/>
  </tableColumns>
  <tableStyleInfo name="TableStyleLight16" showFirstColumn="0" showLastColumn="0" showRowStripes="1" showColumnStripes="0"/>
</table>
</file>

<file path=xl/tables/table53.xml><?xml version="1.0" encoding="utf-8"?>
<table xmlns="http://schemas.openxmlformats.org/spreadsheetml/2006/main" id="36" name="Table637" displayName="Table637" ref="E7:F10" totalsRowShown="0">
  <autoFilter ref="E7:F10"/>
  <tableColumns count="2">
    <tableColumn id="1" name="Column1" dataDxfId="1261"/>
    <tableColumn id="2" name="Column2" dataDxfId="1261">
      <calculatedColumnFormula>W9</calculatedColumnFormula>
    </tableColumn>
  </tableColumns>
  <tableStyleInfo name="TableStyleLight17" showFirstColumn="0" showLastColumn="0" showRowStripes="1" showColumnStripes="0"/>
</table>
</file>

<file path=xl/tables/table54.xml><?xml version="1.0" encoding="utf-8"?>
<table xmlns="http://schemas.openxmlformats.org/spreadsheetml/2006/main" id="37" name="Table738" displayName="Table738" ref="E16:F20" totalsRowShown="0">
  <autoFilter ref="E16:F20"/>
  <tableColumns count="2">
    <tableColumn id="1" name="Column1"/>
    <tableColumn id="2" name="Column2"/>
  </tableColumns>
  <tableStyleInfo name="TableStyleLight17" showFirstColumn="0" showLastColumn="0" showRowStripes="1" showColumnStripes="0"/>
</table>
</file>

<file path=xl/tables/table55.xml><?xml version="1.0" encoding="utf-8"?>
<table xmlns="http://schemas.openxmlformats.org/spreadsheetml/2006/main" id="38" name="Table2" displayName="Table2" ref="M2:O16" totalsRowShown="0">
  <autoFilter ref="M2:O16"/>
  <tableColumns count="3">
    <tableColumn id="1" name="البيان" dataDxfId="613"/>
    <tableColumn id="2" name="الناتج" dataDxfId="614"/>
    <tableColumn id="3" name="Column1" dataDxfId="1233"/>
  </tableColumns>
  <tableStyleInfo name="TableStyleMedium2" showFirstColumn="0" showLastColumn="0" showRowStripes="1" showColumnStripes="0"/>
</table>
</file>

<file path=xl/tables/table56.xml><?xml version="1.0" encoding="utf-8"?>
<table xmlns="http://schemas.openxmlformats.org/spreadsheetml/2006/main" id="46" name="Table122" displayName="Table122" ref="S2:T4" totalsRowShown="0">
  <autoFilter ref="S2:T4"/>
  <tableColumns count="2">
    <tableColumn id="2" name="المقاس" dataDxfId="612"/>
    <tableColumn id="4" name="ميزان" dataDxfId="1217"/>
  </tableColumns>
  <tableStyleInfo name="TableStyleLight16" showFirstColumn="0" showLastColumn="0" showRowStripes="1" showColumnStripes="0"/>
</table>
</file>

<file path=xl/tables/table57.xml><?xml version="1.0" encoding="utf-8"?>
<table xmlns="http://schemas.openxmlformats.org/spreadsheetml/2006/main" id="47" name="Table323" displayName="Table323" ref="V2:W6" totalsRowShown="0">
  <autoFilter ref="V2:W6"/>
  <tableColumns count="2">
    <tableColumn id="1" name="Column1" dataDxfId="1235"/>
    <tableColumn id="2" name="Column2" dataDxfId="1261"/>
  </tableColumns>
  <tableStyleInfo name="TableStyleLight17" showFirstColumn="0" showLastColumn="0" showRowStripes="1" showColumnStripes="0"/>
</table>
</file>

<file path=xl/tables/table58.xml><?xml version="1.0" encoding="utf-8"?>
<table xmlns="http://schemas.openxmlformats.org/spreadsheetml/2006/main" id="48" name="Table424" displayName="Table424" ref="Y2:AB15" totalsRowCount="1">
  <autoFilter ref="Y2:AB14"/>
  <tableColumns count="4">
    <tableColumn id="1" name="Column1" totalsRowLabel="Total" dataDxfId="1261" totalsRowDxfId="1257"/>
    <tableColumn id="2" name="عدد/الشمسية" dataDxfId="606" totalsRowDxfId="1257"/>
    <tableColumn id="3" name="سعر الوحدة" dataDxfId="1261" totalsRowDxfId="1257"/>
    <tableColumn id="4" name="قيمة" totalsRowFunction="sum" dataDxfId="1261" totalsRowDxfId="1257"/>
  </tableColumns>
  <tableStyleInfo name="TableStyleLight18" showFirstColumn="0" showLastColumn="0" showRowStripes="1" showColumnStripes="0"/>
</table>
</file>

<file path=xl/tables/table59.xml><?xml version="1.0" encoding="utf-8"?>
<table xmlns="http://schemas.openxmlformats.org/spreadsheetml/2006/main" id="49" name="Table1625" displayName="Table1625" ref="Y17:AB19" totalsRowShown="0">
  <autoFilter ref="Y17:AB19"/>
  <tableColumns count="4">
    <tableColumn id="1" name="المقاس" dataDxfId="1261"/>
    <tableColumn id="2" name="امتار عادية" dataDxfId="1261"/>
    <tableColumn id="4" name="امتار single" dataDxfId="1261"/>
    <tableColumn id="6" name="امتار douple" dataDxfId="1261"/>
  </tableColumns>
  <tableStyleInfo name="TableStyleLight16" showFirstColumn="0" showLastColumn="0" showRowStripes="1" showColumnStripes="0"/>
</table>
</file>

<file path=xl/tables/table6.xml><?xml version="1.0" encoding="utf-8"?>
<table xmlns="http://schemas.openxmlformats.org/spreadsheetml/2006/main" id="2" name="Table13" displayName="Table13" ref="A34:L49" totalsRowCount="1">
  <autoFilter ref="A34:L48"/>
  <tableColumns count="12">
    <tableColumn id="1" name="م" totalsRowLabel="Total" dataDxfId="1248" totalsRowDxfId="1249"/>
    <tableColumn id="2" name="عدد" dataDxfId="1202" totalsRowDxfId="1249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name="بيان" totalsRowLabel="Total" dataDxfId="1248" totalsRowDxfId="1249"/>
    <tableColumn id="11" name="Column2" dataDxfId="1248" totalsRowDxfId="1249"/>
    <tableColumn id="10" name="Column1" dataDxfId="1248" totalsRowDxfId="1249"/>
    <tableColumn id="12" name="Column12" dataDxfId="1248" totalsRowDxfId="1249"/>
    <tableColumn id="4" name="الوحده" totalsRowLabel="total" dataDxfId="1248" totalsRowDxfId="1249"/>
    <tableColumn id="5" name="الوزن" dataDxfId="1248" totalsRowDxfId="1249"/>
    <tableColumn id="6" name="سعر الكيلو" dataDxfId="1248" totalsRowDxfId="1249"/>
    <tableColumn id="7" name="سعر الشبك " dataDxfId="1205" totalsRowDxfId="1206">
      <calculatedColumnFormula>Sheet2!B8</calculatedColumnFormula>
    </tableColumn>
    <tableColumn id="8" name="اجمالي" totalsRowFunction="sum" dataDxfId="1207" totalsRowDxfId="1208">
      <calculatedColumnFormula>B35*J35</calculatedColumnFormula>
    </tableColumn>
    <tableColumn id="9" name="%" totalsRowFunction="custom" totalsRowDxfId="1209">
      <calculatedColumnFormula>Table13[[#Totals],[اجمالي]]/$G$79</calculatedColumnFormula>
      <totalsRowFormula>Table13[[#Totals],[اجمالي]]/$G$79</totalsRowFormula>
    </tableColumn>
  </tableColumns>
  <tableStyleInfo name="TableStyleLight16" showFirstColumn="0" showLastColumn="0" showRowStripes="1" showColumnStripes="0"/>
</table>
</file>

<file path=xl/tables/table60.xml><?xml version="1.0" encoding="utf-8"?>
<table xmlns="http://schemas.openxmlformats.org/spreadsheetml/2006/main" id="50" name="Table626" displayName="Table626" ref="V7:W11" totalsRowShown="0">
  <autoFilter ref="V7:W11"/>
  <tableColumns count="2">
    <tableColumn id="1" name="Column1" dataDxfId="1261"/>
    <tableColumn id="2" name="Column2" dataDxfId="1261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1.xml><?xml version="1.0" encoding="utf-8"?>
<table xmlns="http://schemas.openxmlformats.org/spreadsheetml/2006/main" id="51" name="Table727" displayName="Table727" ref="V17:W20" totalsRowShown="0">
  <autoFilter ref="V17:W20"/>
  <tableColumns count="2">
    <tableColumn id="1" name="Column1" dataDxfId="590"/>
    <tableColumn id="2" name="Column2" dataDxfId="1236"/>
  </tableColumns>
  <tableStyleInfo name="TableStyleLight17" showFirstColumn="0" showLastColumn="0" showRowStripes="1" showColumnStripes="0"/>
</table>
</file>

<file path=xl/tables/table62.xml><?xml version="1.0" encoding="utf-8"?>
<table xmlns="http://schemas.openxmlformats.org/spreadsheetml/2006/main" id="52" name="Table221" displayName="Table221" ref="AD2:AF12" totalsRowShown="0">
  <autoFilter ref="AD2:AF12"/>
  <tableColumns count="3">
    <tableColumn id="1" name="البيان" dataDxfId="1272"/>
    <tableColumn id="2" name="الناتج" dataDxfId="591"/>
    <tableColumn id="3" name="Column1" dataDxfId="1272"/>
  </tableColumns>
  <tableStyleInfo name="TableStyleMedium2" showFirstColumn="0" showLastColumn="0" showRowStripes="1" showColumnStripes="0"/>
</table>
</file>

<file path=xl/tables/table63.xml><?xml version="1.0" encoding="utf-8"?>
<table xmlns="http://schemas.openxmlformats.org/spreadsheetml/2006/main" id="12" name="Table12" displayName="Table12" ref="A27:G54" totalsRowCount="1">
  <autoFilter ref="A27:G53"/>
  <tableColumns count="7">
    <tableColumn id="1" name="عدد" totalsRowLabel="Total" dataDxfId="550" totalsRowDxfId="549">
      <calculatedColumnFormula>ROUND((F4+F5)*0.4/3,0)</calculatedColumnFormula>
    </tableColumn>
    <tableColumn id="2" name="ميزان"/>
    <tableColumn id="3" name="بيان"/>
    <tableColumn id="4" name="سعر"/>
    <tableColumn id="5" name="Column5" totalsRowFunction="sum" totalsRowDxfId="540">
      <calculatedColumnFormula>Table12[[#This Row],[سعر]]*Table12[[#This Row],[ميزان]]*Table12[[#This Row],[عدد]]</calculatedColumnFormula>
    </tableColumn>
    <tableColumn id="6" name="Column6" totalsRowFunction="custom" totalsRowDxfId="1273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name="Column7" totalsRowFunction="count"/>
  </tableColumns>
  <tableStyleInfo name="TableStyleLight17" showFirstColumn="0" showLastColumn="0" showRowStripes="1" showColumnStripes="0"/>
</table>
</file>

<file path=xl/tables/table64.xml><?xml version="1.0" encoding="utf-8"?>
<table xmlns="http://schemas.openxmlformats.org/spreadsheetml/2006/main" id="42" name="Table161243" displayName="Table161243" ref="I30:S44" totalsRowCount="1">
  <autoFilter ref="I30:S43"/>
  <tableColumns count="11">
    <tableColumn id="2" name="الايام" dataDxfId="1263" totalsRowDxfId="1249">
      <calculatedColumnFormula>I28</calculatedColumnFormula>
    </tableColumn>
    <tableColumn id="3" name="بيان" totalsRowLabel="Total" dataDxfId="535" totalsRowDxfId="1249"/>
    <tableColumn id="5" name="اليومية / الاجرة" dataDxfId="1264" totalsRowDxfId="1249"/>
    <tableColumn id="6" name="بدل الوجبة" dataDxfId="1262" totalsRowDxfId="1249"/>
    <tableColumn id="11" name="موقع العمل" dataDxfId="1259" totalsRowDxfId="1249">
      <calculatedColumnFormula>تسعير!$T$45</calculatedColumnFormula>
    </tableColumn>
    <tableColumn id="10" name="شيفت العمل" dataDxfId="1248" totalsRowDxfId="1249"/>
    <tableColumn id="12" name="Column12" totalsRowFunction="sum" dataDxfId="1256" totalsRowDxfId="1257">
      <calculatedColumnFormula>SUMIF(Table17[Column1],Table161243[[#This Row],[موقع العمل]],Table17[الاقامة])</calculatedColumnFormula>
    </tableColumn>
    <tableColumn id="4" name="عدد الايام" dataDxfId="1268" totalsRowDxfId="1249"/>
    <tableColumn id="7" name="اجمالي التكلفة للعامل" dataDxfId="1269" totalsRowDxfId="1253">
      <calculatedColumnFormula>Table161243[[#This Row],[Column12]]</calculatedColumnFormula>
    </tableColumn>
    <tableColumn id="8" name="اجمالي" totalsRowFunction="sum" dataDxfId="1252" totalsRowDxfId="1254">
      <calculatedColumnFormula>I31*Q31</calculatedColumnFormula>
    </tableColumn>
    <tableColumn id="9" name="%" totalsRowFunction="custom" totalsRowDxfId="1255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65.xml><?xml version="1.0" encoding="utf-8"?>
<table xmlns="http://schemas.openxmlformats.org/spreadsheetml/2006/main" id="55" name="Table1856" displayName="Table1856" ref="J47:N51" totalsRowShown="0">
  <autoFilter ref="J47:N51"/>
  <tableColumns count="5">
    <tableColumn id="1" name="Column1" dataDxfId="1259"/>
    <tableColumn id="4" name="Column22" dataDxfId="1259"/>
    <tableColumn id="5" name="Column23" dataDxfId="1259"/>
    <tableColumn id="3" name="Column3" dataDxfId="1270">
      <calculatedColumnFormula>IF((M37="المقطم"),0.3,IF((M37="التجمع"),0.3,IF((M37="الشيخ زايد"),0.3,IF((M37="الاسكندرية"),0.5,IF((M37="الساحل"),0.5,0.35)))))</calculatedColumnFormula>
    </tableColumn>
    <tableColumn id="2" name="Column2" dataDxfId="1263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66.xml><?xml version="1.0" encoding="utf-8"?>
<table xmlns="http://schemas.openxmlformats.org/spreadsheetml/2006/main" id="56" name="Table1257" displayName="Table1257" ref="A60:G88" totalsRowCount="1">
  <autoFilter ref="A60:G87"/>
  <tableColumns count="7">
    <tableColumn id="1" name="عدد" totalsRowLabel="Total" dataDxfId="550" totalsRowDxfId="549">
      <calculatedColumnFormula>ROUND((F36+F37)*0.4/3,0)</calculatedColumnFormula>
    </tableColumn>
    <tableColumn id="2" name="ميزان"/>
    <tableColumn id="3" name="بيان"/>
    <tableColumn id="4" name="سعر"/>
    <tableColumn id="5" name="Column5" totalsRowFunction="sum" totalsRowDxfId="1273">
      <calculatedColumnFormula>Table1257[[#This Row],[سعر]]*Table1257[[#This Row],[ميزان]]*Table1257[[#This Row],[عدد]]</calculatedColumnFormula>
    </tableColumn>
    <tableColumn id="6" name="Column6" totalsRowFunction="custom" totalsRowDxfId="1273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name="Column7" totalsRowFunction="count"/>
  </tableColumns>
  <tableStyleInfo name="TableStyleLight17" showFirstColumn="0" showLastColumn="0" showRowStripes="1" showColumnStripes="0"/>
</table>
</file>

<file path=xl/tables/table67.xml><?xml version="1.0" encoding="utf-8"?>
<table xmlns="http://schemas.openxmlformats.org/spreadsheetml/2006/main" id="59" name="Table16124360" displayName="Table16124360" ref="I63:S77" totalsRowCount="1">
  <autoFilter ref="I63:S76"/>
  <tableColumns count="11">
    <tableColumn id="2" name="عدد" dataDxfId="1263" totalsRowDxfId="1249">
      <calculatedColumnFormula>I61</calculatedColumnFormula>
    </tableColumn>
    <tableColumn id="3" name="بيان" totalsRowLabel="Total" dataDxfId="1240" totalsRowDxfId="1249"/>
    <tableColumn id="5" name="اليومية / الاجرة" dataDxfId="1264" totalsRowDxfId="1249"/>
    <tableColumn id="6" name="بدل الوجبة" dataDxfId="1262" totalsRowDxfId="1249"/>
    <tableColumn id="11" name="موقع العمل" dataDxfId="1259" totalsRowDxfId="1249">
      <calculatedColumnFormula>تسعير!$T$63</calculatedColumnFormula>
    </tableColumn>
    <tableColumn id="10" name="شيفت العمل" dataDxfId="1248" totalsRowDxfId="1249"/>
    <tableColumn id="12" name="Column12" totalsRowFunction="sum" dataDxfId="1256" totalsRowDxfId="1257">
      <calculatedColumnFormula>SUMIF(Table17[Column1],Table16124360[[#This Row],[موقع العمل]],Table17[الاقامة])</calculatedColumnFormula>
    </tableColumn>
    <tableColumn id="4" name="عدد الايام" dataDxfId="1268" totalsRowDxfId="1249"/>
    <tableColumn id="7" name="اجمالي التكلفة للعامل" dataDxfId="1269" totalsRowDxfId="1253">
      <calculatedColumnFormula>Table16124360[[#This Row],[Column12]]</calculatedColumnFormula>
    </tableColumn>
    <tableColumn id="8" name="اجمالي" totalsRowFunction="sum" dataDxfId="1252" totalsRowDxfId="1254">
      <calculatedColumnFormula>I64*Q64</calculatedColumnFormula>
    </tableColumn>
    <tableColumn id="9" name="%" totalsRowFunction="custom" totalsRowDxfId="1255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68.xml><?xml version="1.0" encoding="utf-8"?>
<table xmlns="http://schemas.openxmlformats.org/spreadsheetml/2006/main" id="64" name="Table185665" displayName="Table185665" ref="J80:N84" totalsRowShown="0">
  <autoFilter ref="J80:N84"/>
  <tableColumns count="5">
    <tableColumn id="1" name="Column1" dataDxfId="1259"/>
    <tableColumn id="4" name="Column22" dataDxfId="1259"/>
    <tableColumn id="5" name="Column23" dataDxfId="1259"/>
    <tableColumn id="3" name="Column3" dataDxfId="1270">
      <calculatedColumnFormula>IF((M70="المقطم"),0.3,IF((M70="التجمع"),0.3,IF((M70="الشيخ زايد"),0.3,IF((M70="الاسكندرية"),0.5,IF((M70="الساحل"),0.5,0.35)))))</calculatedColumnFormula>
    </tableColumn>
    <tableColumn id="2" name="Column2" dataDxfId="1263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69.xml><?xml version="1.0" encoding="utf-8"?>
<table xmlns="http://schemas.openxmlformats.org/spreadsheetml/2006/main" id="70" name="Table135971" displayName="Table135971" ref="L27:W43" totalsRowCount="1">
  <autoFilter ref="L27:W42"/>
  <tableColumns count="12">
    <tableColumn id="1" name="م" totalsRowLabel="Total" dataDxfId="1248" totalsRowDxfId="1249"/>
    <tableColumn id="2" name="عدد" dataDxfId="1250" totalsRowDxfId="1249"/>
    <tableColumn id="3" name="بيان" totalsRowLabel="Total" dataDxfId="1248" totalsRowDxfId="1249"/>
    <tableColumn id="11" name="Column2" dataDxfId="1248" totalsRowDxfId="1249"/>
    <tableColumn id="10" name="Column1" dataDxfId="1248" totalsRowDxfId="1249"/>
    <tableColumn id="12" name="Column12" dataDxfId="1248" totalsRowDxfId="1249"/>
    <tableColumn id="4" name="الوحده" totalsRowLabel="total" dataDxfId="1248" totalsRowDxfId="1249"/>
    <tableColumn id="5" name="الوزن" dataDxfId="1248" totalsRowDxfId="1249"/>
    <tableColumn id="6" name="سعر الكيلو" dataDxfId="1248" totalsRowDxfId="1249"/>
    <tableColumn id="7" name="سعر الشبك " dataDxfId="1251" totalsRowDxfId="1253">
      <calculatedColumnFormula>Sheet2!B6</calculatedColumnFormula>
    </tableColumn>
    <tableColumn id="8" name="اجمالي" totalsRowFunction="sum" dataDxfId="1252" totalsRowDxfId="1254">
      <calculatedColumnFormula>M28*U28</calculatedColumnFormula>
    </tableColumn>
    <tableColumn id="9" name="%" totalsRowFunction="custom" totalsRowDxfId="1255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id="3" name="Table14" displayName="Table14" ref="A11:L14" totalsRowCount="1">
  <autoFilter ref="A11:L13"/>
  <tableColumns count="12">
    <tableColumn id="1" name="م" totalsRowLabel="Total" dataDxfId="1248"/>
    <tableColumn id="2" name="عدد" dataDxfId="1248">
      <calculatedColumnFormula>IF((تسعير!X7&lt;800),0,IF(AND((تسعير!X7&gt;800),(600&gt;=تسعير!AA9)),1,0))</calculatedColumnFormula>
    </tableColumn>
    <tableColumn id="3" name="بيان" totalsRowLabel="Total" dataDxfId="1248"/>
    <tableColumn id="11" name="Column2" dataDxfId="1248"/>
    <tableColumn id="10" name="Column1" dataDxfId="1248"/>
    <tableColumn id="12" name="Column12" totalsRowFunction="sum" dataDxfId="1250">
      <calculatedColumnFormula>(Table14[[#This Row],[Column1]]+Table14[[#This Row],[Column2]])*12*Table14[[#This Row],[عدد]]</calculatedColumnFormula>
    </tableColumn>
    <tableColumn id="4" name="الوحده" dataDxfId="1248"/>
    <tableColumn id="5" name="الوزن" totalsRowFunction="custom">
      <totalsRowFormula>H12*B12+H13*B13</totalsRowFormula>
    </tableColumn>
    <tableColumn id="6" name="مسطح" dataDxfId="1250">
      <calculatedColumnFormula>Table14[[#This Row],[Column12]]*Table14[[#This Row],[عدد]]</calculatedColumnFormula>
    </tableColumn>
    <tableColumn id="7" name="سعر الشبك " dataDxfId="1251">
      <calculatedColumnFormula>H12*$I$2/1000</calculatedColumnFormula>
    </tableColumn>
    <tableColumn id="8" name="اجمالي" totalsRowFunction="sum" dataDxfId="1252">
      <calculatedColumnFormula>B12*J12</calculatedColumnFormula>
    </tableColumn>
    <tableColumn id="9" name="%" totalsRowFunction="custom">
      <calculatedColumnFormula>(K12)/$G$79</calculatedColumnFormula>
      <totalsRowFormula>Table14[[#Totals],[اجمالي]]/$G$79</totalsRow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id="71" name="Table156172" displayName="Table156172" ref="L13:W19" totalsRowCount="1">
  <autoFilter ref="L13:W18"/>
  <tableColumns count="12">
    <tableColumn id="1" name="م" totalsRowLabel="Total" dataDxfId="1248"/>
    <tableColumn id="2" name="عدد" dataDxfId="1250"/>
    <tableColumn id="3" name="بيان" totalsRowLabel="Total" dataDxfId="1248"/>
    <tableColumn id="11" name="Column2" dataDxfId="1248"/>
    <tableColumn id="10" name="Column1" dataDxfId="1248"/>
    <tableColumn id="12" name="Column12" dataDxfId="1256"/>
    <tableColumn id="4" name="الوحده" dataDxfId="1248"/>
    <tableColumn id="5" name="الوزن" dataDxfId="1248"/>
    <tableColumn id="6" name="سعر الكيلو" dataDxfId="1248"/>
    <tableColumn id="7" name="سعر الشبك " dataDxfId="1251">
      <calculatedColumnFormula>Sheet2!B26</calculatedColumnFormula>
    </tableColumn>
    <tableColumn id="8" name="اجمالي" totalsRowFunction="sum" dataDxfId="1252">
      <calculatedColumnFormula>M14*U14</calculatedColumnFormula>
    </tableColumn>
    <tableColumn id="9" name="%" totalsRowFunction="custom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id="72" name="Table166273" displayName="Table166273" ref="L21:W25" totalsRowCount="1">
  <autoFilter ref="L21:W24"/>
  <tableColumns count="12">
    <tableColumn id="1" name="م" totalsRowLabel="Total" dataDxfId="1248"/>
    <tableColumn id="2" name="عدد" totalsRowFunction="count" dataDxfId="1248">
      <calculatedColumnFormula>M20*4</calculatedColumnFormula>
    </tableColumn>
    <tableColumn id="3" name="بيان" totalsRowLabel="Total" dataDxfId="1248"/>
    <tableColumn id="11" name="Column2" dataDxfId="1248"/>
    <tableColumn id="10" name="Column1" dataDxfId="1248"/>
    <tableColumn id="12" name="Column12" totalsRowFunction="sum" dataDxfId="1256">
      <calculatedColumnFormula>(Table166273[[#This Row],[Column1]]*Table166273[[#This Row],[Column2]])*Table166273[[#This Row],[عدد]]</calculatedColumnFormula>
    </tableColumn>
    <tableColumn id="4" name="الوحده" dataDxfId="1248"/>
    <tableColumn id="5" name="الوزن" totalsRowFunction="custom">
      <totalsRowFormula>(S23*M23)+(M24*S24)</totalsRowFormula>
    </tableColumn>
    <tableColumn id="6" name="سعر الكيلو" dataDxfId="1250"/>
    <tableColumn id="7" name="سعر الشبك " dataDxfId="1251">
      <calculatedColumnFormula>S22*$S$2/1000</calculatedColumnFormula>
    </tableColumn>
    <tableColumn id="8" name="اجمالي" totalsRowFunction="sum" dataDxfId="1252">
      <calculatedColumnFormula>M22*U22</calculatedColumnFormula>
    </tableColumn>
    <tableColumn id="9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2.xml><?xml version="1.0" encoding="utf-8"?>
<table xmlns="http://schemas.openxmlformats.org/spreadsheetml/2006/main" id="73" name="Table66374" displayName="Table66374" ref="AJ4:AM15" totalsRowShown="0">
  <autoFilter ref="AJ4:AM15"/>
  <tableColumns count="4">
    <tableColumn id="1" name="المادة" dataDxfId="1258"/>
    <tableColumn id="2" name="المعدل" dataDxfId="1258"/>
    <tableColumn id="3" name="الوحدة" dataDxfId="1258"/>
    <tableColumn id="4" name="Column4" dataDxfId="1267"/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id="74" name="Table76475" displayName="Table76475" ref="AO4:AS19" totalsRowShown="0">
  <autoFilter ref="AO4:AS19"/>
  <tableColumns count="5">
    <tableColumn id="1" name="Column1" dataDxfId="1258"/>
    <tableColumn id="2" name="Column2" dataDxfId="1267"/>
    <tableColumn id="3" name="Column3" dataDxfId="1258"/>
    <tableColumn id="4" name="Column4" dataDxfId="1258"/>
    <tableColumn id="5" name="Column5" dataDxfId="1258"/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id="75" name="Table16126776" displayName="Table16126776" ref="L51:W65" totalsRowCount="1">
  <autoFilter ref="L51:W64"/>
  <tableColumns count="12">
    <tableColumn id="1" name="م" totalsRowLabel="Total" dataDxfId="1248" totalsRowDxfId="1249"/>
    <tableColumn id="2" name="عدد" dataDxfId="1263" totalsRowDxfId="1249">
      <calculatedColumnFormula>IF((تسعير!$AU$14="بالتات"),0,M49-2)</calculatedColumnFormula>
    </tableColumn>
    <tableColumn id="3" name="بيان" totalsRowLabel="Total" dataDxfId="1264" totalsRowDxfId="1249"/>
    <tableColumn id="5" name="اليومية / الاجرة" dataDxfId="1264" totalsRowDxfId="1249"/>
    <tableColumn id="6" name="بدل الوجبة" dataDxfId="1262" totalsRowDxfId="1249"/>
    <tableColumn id="11" name="موقع العمل" dataDxfId="1259" totalsRowDxfId="1249">
      <calculatedColumnFormula>تسعير!$AT$24</calculatedColumnFormula>
    </tableColumn>
    <tableColumn id="10" name="شيفت العمل" dataDxfId="1248" totalsRowDxfId="1249"/>
    <tableColumn id="12" name="Column12" totalsRowFunction="sum" dataDxfId="1256" totalsRowDxfId="1257">
      <calculatedColumnFormula>SUMIF(Table176978[Column1],Table16126776[[#This Row],[موقع العمل]],$AE$2:$AE$8)</calculatedColumnFormula>
    </tableColumn>
    <tableColumn id="4" name="عدد الايام" dataDxfId="1268" totalsRowDxfId="1249"/>
    <tableColumn id="7" name="اجمالي التكلفة للعامل" dataDxfId="1269" totalsRowDxfId="1253">
      <calculatedColumnFormula>Table16126776[[#This Row],[Column12]]</calculatedColumnFormula>
    </tableColumn>
    <tableColumn id="8" name="اجمالي" totalsRowFunction="sum" dataDxfId="1252" totalsRowDxfId="1254">
      <calculatedColumnFormula>M52*U52</calculatedColumnFormula>
    </tableColumn>
    <tableColumn id="9" name="%" totalsRowFunction="custom" totalsRowDxfId="1255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id="76" name="Table16136877" displayName="Table16136877" ref="L46:W49" totalsRowCount="1">
  <autoFilter ref="L46:W48"/>
  <tableColumns count="12">
    <tableColumn id="1" name="م" totalsRowLabel="Total" dataDxfId="1259" totalsRowDxfId="1249"/>
    <tableColumn id="2" name="عدد" dataDxfId="1263" totalsRowDxfId="1249">
      <calculatedColumnFormula>IF((Q63="الاسكندرية"),0.25,0.1)</calculatedColumnFormula>
    </tableColumn>
    <tableColumn id="3" name="بيان" totalsRowLabel="Total" dataDxfId="1259" totalsRowDxfId="1249"/>
    <tableColumn id="11" name="Column2" dataDxfId="1259" totalsRowDxfId="1249"/>
    <tableColumn id="10" name="Column1" dataDxfId="1259" totalsRowDxfId="1249"/>
    <tableColumn id="12" name="Column12" totalsRowFunction="sum" dataDxfId="1271" totalsRowDxfId="1257"/>
    <tableColumn id="4" name="الوحده" dataDxfId="1260" totalsRowDxfId="1249"/>
    <tableColumn id="5" name="الوزن" dataDxfId="1259" totalsRowDxfId="1249"/>
    <tableColumn id="6" name="سعر الكيلو" dataDxfId="1259" totalsRowDxfId="1249"/>
    <tableColumn id="7" name="سعر الشبك " dataDxfId="1265" totalsRowDxfId="1253">
      <calculatedColumnFormula>Table80102114[[#Totals],[price]]</calculatedColumnFormula>
    </tableColumn>
    <tableColumn id="8" name="اجمالي" totalsRowFunction="sum" dataDxfId="1252" totalsRowDxfId="1254">
      <calculatedColumnFormula>M47*Table16136877[[#This Row],[سعر الشبك ]]</calculatedColumnFormula>
    </tableColumn>
    <tableColumn id="9" name="%" totalsRowFunction="custom" totalsRowDxfId="1255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id="77" name="Table176978" displayName="Table176978" ref="Y1:AE28" totalsRowShown="0">
  <autoFilter ref="Y1:AE28"/>
  <tableColumns count="7">
    <tableColumn id="1" name="Column1" dataDxfId="1258"/>
    <tableColumn id="2" name="خارجي" dataDxfId="1258"/>
    <tableColumn id="3" name="داخلي" dataDxfId="1258"/>
    <tableColumn id="4" name="بدل الوجبة" dataDxfId="1258"/>
    <tableColumn id="5" name="دبابة" dataDxfId="1258"/>
    <tableColumn id="6" name="جامبو" dataDxfId="1258"/>
    <tableColumn id="7" name="الاقامة" dataDxfId="1258"/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id="78" name="Table187079" displayName="Table187079" ref="N67:R69" totalsRowShown="0">
  <autoFilter ref="N67:R69"/>
  <tableColumns count="5">
    <tableColumn id="1" name="Column1" dataDxfId="1259"/>
    <tableColumn id="4" name="Column22" dataDxfId="1259"/>
    <tableColumn id="5" name="Column23" dataDxfId="1259"/>
    <tableColumn id="3" name="Column3" dataDxfId="1270">
      <calculatedColumnFormula>IF((Q63="المقطم"),0.3,IF((Q63="التجمع"),0.3,IF((Q63="الشيخ زايد"),0.3,IF((Q63="الاسكندرية"),0.5,0.35))))</calculatedColumnFormula>
    </tableColumn>
    <tableColumn id="2" name="Column2" dataDxfId="1263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id="79" name="Table15880" displayName="Table15880" ref="L5:W11" totalsRowCount="1">
  <autoFilter ref="L5:W10"/>
  <tableColumns count="12">
    <tableColumn id="1" name="م" dataDxfId="1248"/>
    <tableColumn id="2" name="عدد" dataDxfId="1248"/>
    <tableColumn id="3" name="بيان" totalsRowLabel="Total" dataDxfId="1248"/>
    <tableColumn id="11" name="Column2" dataDxfId="1248"/>
    <tableColumn id="10" name="Column1" dataDxfId="1248"/>
    <tableColumn id="12" name="المسطح" totalsRowFunction="sum" dataDxfId="1256">
      <calculatedColumnFormula>(Table15880[[#This Row],[Column1]]+Table15880[[#This Row],[Column2]])*12*Table15880[[#This Row],[عدد]]</calculatedColumnFormula>
    </tableColumn>
    <tableColumn id="4" name="الوحده" dataDxfId="1248"/>
    <tableColumn id="5" name="الوزن" totalsRowFunction="custom">
      <totalsRowFormula>(S6*M6)+(S7*M7)+(M8*S8)+(S9*M9)</totalsRowFormula>
    </tableColumn>
    <tableColumn id="6" name="اجمالي المسطح" totalsRowFunction="sum" dataDxfId="1250">
      <calculatedColumnFormula>Table15880[[#This Row],[المسطح]]*Table15880[[#This Row],[عدد]]</calculatedColumnFormula>
    </tableColumn>
    <tableColumn id="7" name="سعر الشبك " dataDxfId="1274">
      <calculatedColumnFormula>S6*$S$2/1000</calculatedColumnFormula>
    </tableColumn>
    <tableColumn id="8" name="اجمالي" totalsRowFunction="sum" dataDxfId="1252">
      <calculatedColumnFormula>M6*U6</calculatedColumnFormula>
    </tableColumn>
    <tableColumn id="9" name="%" totalsRowFunction="custom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id="91" name="Table13597192" displayName="Table13597192" ref="L98:W114" totalsRowCount="1">
  <autoFilter ref="L98:W113"/>
  <tableColumns count="12">
    <tableColumn id="1" name="م" totalsRowLabel="Total" dataDxfId="1248" totalsRowDxfId="1249"/>
    <tableColumn id="2" name="عدد" dataDxfId="1250" totalsRowDxfId="1249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name="بيان" totalsRowLabel="Total" dataDxfId="1248" totalsRowDxfId="1249"/>
    <tableColumn id="11" name="Column2" dataDxfId="1248" totalsRowDxfId="1249"/>
    <tableColumn id="10" name="Column1" dataDxfId="1248" totalsRowDxfId="1249"/>
    <tableColumn id="12" name="Column12" dataDxfId="1248" totalsRowDxfId="1249"/>
    <tableColumn id="4" name="الوحده" totalsRowLabel="total" dataDxfId="1248" totalsRowDxfId="1249"/>
    <tableColumn id="5" name="الوزن" dataDxfId="1248" totalsRowDxfId="1249"/>
    <tableColumn id="6" name="سعر الكيلو" dataDxfId="1248" totalsRowDxfId="1249"/>
    <tableColumn id="7" name="سعر الشبك " dataDxfId="1251" totalsRowDxfId="1253">
      <calculatedColumnFormula>Sheet2!B6</calculatedColumnFormula>
    </tableColumn>
    <tableColumn id="8" name="اجمالي" totalsRowFunction="sum" dataDxfId="1252" totalsRowDxfId="1254">
      <calculatedColumnFormula>M99*U100</calculatedColumnFormula>
    </tableColumn>
    <tableColumn id="9" name="%" totalsRowFunction="custom" totalsRowDxfId="1255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id="4" name="Table15" displayName="Table15" ref="A16:L27" totalsRowCount="1">
  <autoFilter ref="A16:L26"/>
  <tableColumns count="12">
    <tableColumn id="1" name="م" totalsRowLabel="Total" dataDxfId="1248" totalsRowDxfId="1249"/>
    <tableColumn id="2" name="عدد" dataDxfId="1250" totalsRowDxfId="1249"/>
    <tableColumn id="3" name="بيان" totalsRowLabel="Total" dataDxfId="1248" totalsRowDxfId="1249"/>
    <tableColumn id="11" name="Column2" dataDxfId="1248" totalsRowDxfId="1249"/>
    <tableColumn id="10" name="Column1" dataDxfId="1248" totalsRowDxfId="1249"/>
    <tableColumn id="12" name="Column12" dataDxfId="1210" totalsRowDxfId="1211"/>
    <tableColumn id="4" name="الوحده" dataDxfId="1248" totalsRowDxfId="1249"/>
    <tableColumn id="5" name="الوزن" dataDxfId="1248" totalsRowDxfId="1249"/>
    <tableColumn id="6" name="سعر الكيلو" dataDxfId="1248" totalsRowDxfId="1249"/>
    <tableColumn id="7" name="سعر الشبك " dataDxfId="1251" totalsRowDxfId="1253">
      <calculatedColumnFormula>Sheet2!B22</calculatedColumnFormula>
    </tableColumn>
    <tableColumn id="8" name="اجمالي" totalsRowFunction="sum" dataDxfId="1252" totalsRowDxfId="1254">
      <calculatedColumnFormula>B17*J17</calculatedColumnFormula>
    </tableColumn>
    <tableColumn id="9" name="%" totalsRowFunction="custom" totalsRowDxfId="1255">
      <calculatedColumnFormula>Table15[[#Totals],[اجمالي]]/$G$79</calculatedColumnFormula>
      <totalsRowFormula>Table15[[#Totals],[اجمالي]]/$G$79</totalsRow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id="92" name="Table15617293" displayName="Table15617293" ref="L84:W90" totalsRowCount="1">
  <autoFilter ref="L84:W89"/>
  <tableColumns count="12">
    <tableColumn id="1" name="م" totalsRowLabel="Total" dataDxfId="1248"/>
    <tableColumn id="2" name="عدد" dataDxfId="1250">
      <calculatedColumnFormula>IF((I70="بالتات"),0,4)</calculatedColumnFormula>
    </tableColumn>
    <tableColumn id="3" name="بيان" totalsRowLabel="Total" dataDxfId="1248"/>
    <tableColumn id="11" name="Column2" dataDxfId="1248"/>
    <tableColumn id="10" name="Column1" dataDxfId="1248"/>
    <tableColumn id="12" name="Column12" dataDxfId="1256"/>
    <tableColumn id="4" name="الوحده" dataDxfId="1248"/>
    <tableColumn id="5" name="الوزن" dataDxfId="1248"/>
    <tableColumn id="6" name="سعر الكيلو" dataDxfId="1248"/>
    <tableColumn id="7" name="سعر الشبك " dataDxfId="1251">
      <calculatedColumnFormula>Sheet2!B26</calculatedColumnFormula>
    </tableColumn>
    <tableColumn id="8" name="اجمالي" totalsRowFunction="sum" dataDxfId="1252">
      <calculatedColumnFormula>M85*U85</calculatedColumnFormula>
    </tableColumn>
    <tableColumn id="9" name="%" totalsRowFunction="custom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id="93" name="Table16627394" displayName="Table16627394" ref="L92:W96" totalsRowCount="1">
  <autoFilter ref="L92:W95"/>
  <tableColumns count="12">
    <tableColumn id="1" name="م" totalsRowLabel="Total" dataDxfId="1248"/>
    <tableColumn id="2" name="عدد" totalsRowFunction="sum" dataDxfId="1248">
      <calculatedColumnFormula>M91*4</calculatedColumnFormula>
    </tableColumn>
    <tableColumn id="3" name="بيان" totalsRowLabel="Total" dataDxfId="1248"/>
    <tableColumn id="11" name="Column2" dataDxfId="1248"/>
    <tableColumn id="10" name="Column1" dataDxfId="1248"/>
    <tableColumn id="12" name="Column12" totalsRowFunction="sum" dataDxfId="1256">
      <calculatedColumnFormula>(Table16627394[[#This Row],[Column1]]*Table16627394[[#This Row],[Column2]])*Table16627394[[#This Row],[عدد]]</calculatedColumnFormula>
    </tableColumn>
    <tableColumn id="4" name="الوحده" dataDxfId="1248"/>
    <tableColumn id="5" name="الوزن" totalsRowFunction="custom">
      <totalsRowFormula>(S94*M94)+(M95*S95)</totalsRowFormula>
    </tableColumn>
    <tableColumn id="6" name="سعر الكيلو" dataDxfId="1250"/>
    <tableColumn id="7" name="سعر الشبك " dataDxfId="1251">
      <calculatedColumnFormula>S93*$S$2/1000</calculatedColumnFormula>
    </tableColumn>
    <tableColumn id="8" name="اجمالي" totalsRowFunction="sum" dataDxfId="1252">
      <calculatedColumnFormula>M93*U93</calculatedColumnFormula>
    </tableColumn>
    <tableColumn id="9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id="94" name="Table6637495" displayName="Table6637495" ref="AJ77:AM88" totalsRowShown="0">
  <autoFilter ref="AJ77:AM88"/>
  <tableColumns count="4">
    <tableColumn id="1" name="المادة" dataDxfId="1258"/>
    <tableColumn id="2" name="المعدل" dataDxfId="1258"/>
    <tableColumn id="3" name="الوحدة" dataDxfId="1258"/>
    <tableColumn id="4" name="Column4" dataDxfId="1267"/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id="95" name="Table7647596" displayName="Table7647596" ref="AO76:AS91" totalsRowShown="0">
  <autoFilter ref="AO76:AS91"/>
  <tableColumns count="5">
    <tableColumn id="1" name="Column1" dataDxfId="1258"/>
    <tableColumn id="2" name="Column2" dataDxfId="1267"/>
    <tableColumn id="3" name="Column3" dataDxfId="1258"/>
    <tableColumn id="4" name="Column4" dataDxfId="1258"/>
    <tableColumn id="5" name="Column5" dataDxfId="1258"/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id="96" name="Table1612677697" displayName="Table1612677697" ref="L122:W136" totalsRowCount="1">
  <autoFilter ref="L122:W135"/>
  <tableColumns count="12">
    <tableColumn id="1" name="م" totalsRowLabel="Total" dataDxfId="1248" totalsRowDxfId="1249"/>
    <tableColumn id="2" name="عدد" dataDxfId="1263" totalsRowDxfId="1249">
      <calculatedColumnFormula>IF((تسعير!$AU$14="بالتات"),0,M120-2)</calculatedColumnFormula>
    </tableColumn>
    <tableColumn id="3" name="بيان" totalsRowLabel="Total" dataDxfId="1264" totalsRowDxfId="1249"/>
    <tableColumn id="5" name="اليومية / الاجرة" dataDxfId="1264" totalsRowDxfId="1249"/>
    <tableColumn id="6" name="بدل الوجبة" dataDxfId="1262" totalsRowDxfId="1249"/>
    <tableColumn id="11" name="موقع العمل" dataDxfId="1259" totalsRowDxfId="1249">
      <calculatedColumnFormula>تسعير!$AT$44</calculatedColumnFormula>
    </tableColumn>
    <tableColumn id="10" name="شيفت العمل" dataDxfId="1248" totalsRowDxfId="1249"/>
    <tableColumn id="12" name="Column12" totalsRowFunction="sum" dataDxfId="1256" totalsRowDxfId="1257">
      <calculatedColumnFormula>SUMIF(Table17697899[Column1],Table1612677697[[#This Row],[موقع العمل]],$AE$2:$AE$8)</calculatedColumnFormula>
    </tableColumn>
    <tableColumn id="4" name="عدد الايام" dataDxfId="1268" totalsRowDxfId="1249"/>
    <tableColumn id="7" name="اجمالي التكلفة للعامل" dataDxfId="1269" totalsRowDxfId="1253">
      <calculatedColumnFormula>Table1612677697[[#This Row],[Column12]]</calculatedColumnFormula>
    </tableColumn>
    <tableColumn id="8" name="اجمالي" totalsRowFunction="sum" dataDxfId="1252" totalsRowDxfId="1254">
      <calculatedColumnFormula>M123*U123</calculatedColumnFormula>
    </tableColumn>
    <tableColumn id="9" name="%" totalsRowFunction="custom" totalsRowDxfId="1255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id="97" name="Table1613687798" displayName="Table1613687798" ref="L117:W120" totalsRowCount="1">
  <autoFilter ref="L117:W119"/>
  <tableColumns count="12">
    <tableColumn id="1" name="م" totalsRowLabel="Total" dataDxfId="1259" totalsRowDxfId="1249"/>
    <tableColumn id="2" name="عدد" dataDxfId="1263" totalsRowDxfId="1249">
      <calculatedColumnFormula>IF((Q134="الاسكندرية"),0.25,0.1)</calculatedColumnFormula>
    </tableColumn>
    <tableColumn id="3" name="بيان" totalsRowLabel="Total" dataDxfId="1259" totalsRowDxfId="1249"/>
    <tableColumn id="11" name="Column2" dataDxfId="1259" totalsRowDxfId="1249"/>
    <tableColumn id="10" name="Column1" dataDxfId="1259" totalsRowDxfId="1249"/>
    <tableColumn id="12" name="Column12" totalsRowFunction="sum" dataDxfId="1271" totalsRowDxfId="1257"/>
    <tableColumn id="4" name="الوحده" dataDxfId="1260" totalsRowDxfId="1249"/>
    <tableColumn id="5" name="الوزن" dataDxfId="1259" totalsRowDxfId="1249"/>
    <tableColumn id="6" name="سعر الكيلو" dataDxfId="1259" totalsRowDxfId="1249"/>
    <tableColumn id="7" name="سعر الشبك " dataDxfId="1265" totalsRowDxfId="1253">
      <calculatedColumnFormula>F96</calculatedColumnFormula>
    </tableColumn>
    <tableColumn id="8" name="اجمالي" totalsRowFunction="sum" dataDxfId="1252" totalsRowDxfId="1254">
      <calculatedColumnFormula>M118*Table1613687798[[#This Row],[سعر الشبك ]]</calculatedColumnFormula>
    </tableColumn>
    <tableColumn id="9" name="%" totalsRowFunction="custom" totalsRowDxfId="1255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id="98" name="Table17697899" displayName="Table17697899" ref="Y74:AE101" totalsRowShown="0">
  <autoFilter ref="Y74:AE101"/>
  <tableColumns count="7">
    <tableColumn id="1" name="Column1" dataDxfId="1258"/>
    <tableColumn id="2" name="خارجي" dataDxfId="1258"/>
    <tableColumn id="3" name="داخلي" dataDxfId="1258"/>
    <tableColumn id="4" name="بدل الوجبة" dataDxfId="1258"/>
    <tableColumn id="5" name="دبابة" dataDxfId="1258"/>
    <tableColumn id="6" name="جامبو" dataDxfId="1258"/>
    <tableColumn id="7" name="الاقامة" dataDxfId="1258"/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id="99" name="Table187079100" displayName="Table187079100" ref="N138:R140" totalsRowShown="0">
  <autoFilter ref="N138:R140"/>
  <tableColumns count="5">
    <tableColumn id="1" name="Column1" dataDxfId="1259"/>
    <tableColumn id="4" name="Column22" dataDxfId="1259"/>
    <tableColumn id="5" name="Column23" dataDxfId="1259"/>
    <tableColumn id="3" name="Column3" dataDxfId="1270">
      <calculatedColumnFormula>IF((Q134="المقطم"),0.3,IF((Q134="التجمع"),0.3,IF((Q134="الشيخ زايد"),0.3,IF((Q134="الاسكندرية"),0.5,0.35))))</calculatedColumnFormula>
    </tableColumn>
    <tableColumn id="2" name="Column2" dataDxfId="1263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id="100" name="Table15880101" displayName="Table15880101" ref="L76:W82" totalsRowCount="1">
  <autoFilter ref="L76:W81"/>
  <tableColumns count="12">
    <tableColumn id="1" name="م" dataDxfId="1248"/>
    <tableColumn id="2" name="عدد" dataDxfId="1248">
      <calculatedColumnFormula>IF(OR((N70="B11"),(N70="B12"),(N70="B21"),(N70="B22"),(N70="B31"),(N70="B32")),3,0)</calculatedColumnFormula>
    </tableColumn>
    <tableColumn id="3" name="بيان" totalsRowLabel="Total" dataDxfId="1248"/>
    <tableColumn id="11" name="Column2" dataDxfId="1248"/>
    <tableColumn id="10" name="Column1" dataDxfId="1248"/>
    <tableColumn id="12" name="المسطح" totalsRowFunction="sum" dataDxfId="1256">
      <calculatedColumnFormula>(Table15880101[[#This Row],[Column1]]+Table15880101[[#This Row],[Column2]])*12*Table15880101[[#This Row],[عدد]]</calculatedColumnFormula>
    </tableColumn>
    <tableColumn id="4" name="الوحده" dataDxfId="1248"/>
    <tableColumn id="5" name="الوزن" totalsRowFunction="custom">
      <totalsRowFormula>(S77*M77)+(S78*M78)+(M79*S79)+(S80*M80)</totalsRowFormula>
    </tableColumn>
    <tableColumn id="6" name="اجمالي المسطح" totalsRowFunction="sum" dataDxfId="1250">
      <calculatedColumnFormula>Table15880101[[#This Row],[المسطح]]*Table15880101[[#This Row],[عدد]]</calculatedColumnFormula>
    </tableColumn>
    <tableColumn id="7" name="سعر الشبك " dataDxfId="1274">
      <calculatedColumnFormula>S77*$S$2/1000</calculatedColumnFormula>
    </tableColumn>
    <tableColumn id="8" name="اجمالي" totalsRowFunction="sum" dataDxfId="1252">
      <calculatedColumnFormula>M77*U77</calculatedColumnFormula>
    </tableColumn>
    <tableColumn id="9" name="%" totalsRowFunction="custom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id="65" name="Table13597166" displayName="Table13597166" ref="BG27:BR42" totalsRowCount="1">
  <autoFilter ref="BG27:BR41"/>
  <tableColumns count="12">
    <tableColumn id="1" name="م" totalsRowLabel="Total" dataDxfId="1248" totalsRowDxfId="1249"/>
    <tableColumn id="2" name="عدد" dataDxfId="1250" totalsRowDxfId="1249"/>
    <tableColumn id="3" name="بيان" totalsRowLabel="Total" dataDxfId="1248" totalsRowDxfId="1249"/>
    <tableColumn id="11" name="Column2" dataDxfId="1248" totalsRowDxfId="1249"/>
    <tableColumn id="10" name="Column1" dataDxfId="1248" totalsRowDxfId="1249"/>
    <tableColumn id="12" name="Column12" dataDxfId="1248" totalsRowDxfId="1249"/>
    <tableColumn id="4" name="الوحده" totalsRowLabel="total" dataDxfId="1248" totalsRowDxfId="1249"/>
    <tableColumn id="5" name="الوزن" dataDxfId="1248" totalsRowDxfId="1249"/>
    <tableColumn id="6" name="سعر الكيلو" dataDxfId="1248" totalsRowDxfId="1249"/>
    <tableColumn id="7" name="سعر الشبك " dataDxfId="1251" totalsRowDxfId="1253">
      <calculatedColumnFormula>Sheet2!AW6</calculatedColumnFormula>
    </tableColumn>
    <tableColumn id="8" name="اجمالي" totalsRowFunction="sum" dataDxfId="1252" totalsRowDxfId="1254">
      <calculatedColumnFormula>BH28*BP28</calculatedColumnFormula>
    </tableColumn>
    <tableColumn id="9" name="%" totalsRowFunction="custom" totalsRowDxfId="1255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id="5" name="Table16" displayName="Table16" ref="A29:L32" totalsRowCount="1">
  <autoFilter ref="A29:L31"/>
  <tableColumns count="12">
    <tableColumn id="1" name="م" totalsRowLabel="Total" dataDxfId="1248" totalsRowDxfId="1249"/>
    <tableColumn id="2" name="عدد" totalsRowFunction="count" dataDxfId="1248" totalsRowDxfId="1249">
      <calculatedColumnFormula>B29*4</calculatedColumnFormula>
    </tableColumn>
    <tableColumn id="3" name="بيان" totalsRowLabel="Total" dataDxfId="1248" totalsRowDxfId="1249"/>
    <tableColumn id="11" name="Column2" dataDxfId="1248" totalsRowDxfId="1249"/>
    <tableColumn id="10" name="Column1" dataDxfId="1248" totalsRowDxfId="1249"/>
    <tableColumn id="12" name="Column12" totalsRowFunction="sum" dataDxfId="1256" totalsRowDxfId="1257">
      <calculatedColumnFormula>(Table16[[#This Row],[Column1]]*Table16[[#This Row],[Column2]])*Table16[[#This Row],[عدد]]</calculatedColumnFormula>
    </tableColumn>
    <tableColumn id="4" name="الوحده" dataDxfId="1248" totalsRowDxfId="1249"/>
    <tableColumn id="5" name="الوزن" totalsRowFunction="custom" totalsRowDxfId="1249">
      <totalsRowFormula>H30*B30+H31*B31</totalsRowFormula>
    </tableColumn>
    <tableColumn id="6" name="Column3" dataDxfId="1250" totalsRowDxfId="1249"/>
    <tableColumn id="7" name="سعر الشبك " dataDxfId="1251" totalsRowDxfId="1253">
      <calculatedColumnFormula>H30*$H$2/1000</calculatedColumnFormula>
    </tableColumn>
    <tableColumn id="8" name="اجمالي" totalsRowFunction="sum" dataDxfId="1252" totalsRowDxfId="1254">
      <calculatedColumnFormula>B30*J30</calculatedColumnFormula>
    </tableColumn>
    <tableColumn id="9" name="%" totalsRowFunction="custom" totalsRowDxfId="1255">
      <calculatedColumnFormula>Table16[[#Totals],[اجمالي]]/$G$79</calculatedColumnFormula>
      <totalsRowFormula>Table16[[#Totals],[اجمالي]]/$G$79</totalsRowFormula>
    </tableColumn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id="81" name="Table15617282" displayName="Table15617282" ref="BG13:BR19" totalsRowCount="1">
  <autoFilter ref="BG13:BR18"/>
  <tableColumns count="12">
    <tableColumn id="1" name="م" totalsRowLabel="Total" dataDxfId="1248" totalsRowDxfId="1249"/>
    <tableColumn id="2" name="عدد" dataDxfId="1250" totalsRowDxfId="1249"/>
    <tableColumn id="3" name="بيان" totalsRowLabel="Total" dataDxfId="1248" totalsRowDxfId="1249"/>
    <tableColumn id="11" name="Column2" dataDxfId="1248" totalsRowDxfId="1249"/>
    <tableColumn id="10" name="Column1" dataDxfId="1248" totalsRowDxfId="1249"/>
    <tableColumn id="12" name="Column12" dataDxfId="1256" totalsRowDxfId="1257"/>
    <tableColumn id="4" name="الوحده" dataDxfId="1248" totalsRowDxfId="1249"/>
    <tableColumn id="5" name="الوزن" dataDxfId="1248" totalsRowDxfId="1249"/>
    <tableColumn id="6" name="سعر الكيلو" dataDxfId="1248" totalsRowDxfId="1249"/>
    <tableColumn id="7" name="سعر الشبك " dataDxfId="1251" totalsRowDxfId="1253">
      <calculatedColumnFormula>Sheet2!AW26</calculatedColumnFormula>
    </tableColumn>
    <tableColumn id="8" name="اجمالي" totalsRowFunction="sum" dataDxfId="1252" totalsRowDxfId="1254">
      <calculatedColumnFormula>BH14*BP14</calculatedColumnFormula>
    </tableColumn>
    <tableColumn id="9" name="%" totalsRowFunction="custom" totalsRowDxfId="1255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id="82" name="Table16627383" displayName="Table16627383" ref="BG21:BR25" totalsRowCount="1">
  <autoFilter ref="BG21:BR24"/>
  <tableColumns count="12">
    <tableColumn id="1" name="م" totalsRowLabel="Total" dataDxfId="1248"/>
    <tableColumn id="2" name="عدد" totalsRowFunction="count" dataDxfId="1248">
      <calculatedColumnFormula>BH20*4</calculatedColumnFormula>
    </tableColumn>
    <tableColumn id="3" name="بيان" totalsRowLabel="Total" dataDxfId="1248"/>
    <tableColumn id="11" name="Column2" dataDxfId="1248"/>
    <tableColumn id="10" name="Column1" dataDxfId="1248"/>
    <tableColumn id="12" name="Column12" totalsRowFunction="sum" dataDxfId="1256">
      <calculatedColumnFormula>(Table16627383[[#This Row],[Column1]]*Table16627383[[#This Row],[Column2]])*Table16627383[[#This Row],[عدد]]</calculatedColumnFormula>
    </tableColumn>
    <tableColumn id="4" name="الوحده" dataDxfId="1248"/>
    <tableColumn id="5" name="الوزن" totalsRowFunction="custom">
      <totalsRowFormula>(BN23*BH23)+(BH24*BN24)</totalsRowFormula>
    </tableColumn>
    <tableColumn id="6" name="سعر الكيلو" dataDxfId="1250"/>
    <tableColumn id="7" name="سعر الشبك " dataDxfId="1251">
      <calculatedColumnFormula>BN22*$S$2/1000</calculatedColumnFormula>
    </tableColumn>
    <tableColumn id="8" name="اجمالي" totalsRowFunction="sum" dataDxfId="1252">
      <calculatedColumnFormula>BH22*BP22</calculatedColumnFormula>
    </tableColumn>
    <tableColumn id="9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id="83" name="Table6637484" displayName="Table6637484" ref="CE4:CH15" totalsRowShown="0">
  <autoFilter ref="CE4:CH15"/>
  <tableColumns count="4">
    <tableColumn id="1" name="المادة" dataDxfId="1258"/>
    <tableColumn id="2" name="المعدل" dataDxfId="1258"/>
    <tableColumn id="3" name="الوحدة" dataDxfId="1258"/>
    <tableColumn id="4" name="Column4" dataDxfId="1267"/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id="84" name="Table7647585" displayName="Table7647585" ref="CJ4:CN19" totalsRowShown="0">
  <autoFilter ref="CJ4:CN19"/>
  <tableColumns count="5">
    <tableColumn id="1" name="Column1" dataDxfId="1258"/>
    <tableColumn id="2" name="Column2" dataDxfId="1267"/>
    <tableColumn id="3" name="Column3" dataDxfId="1258"/>
    <tableColumn id="4" name="Column4" dataDxfId="1258"/>
    <tableColumn id="5" name="Column5" dataDxfId="1258"/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id="85" name="Table1612677686" displayName="Table1612677686" ref="BG50:BR64" totalsRowCount="1">
  <autoFilter ref="BG50:BR63"/>
  <tableColumns count="12">
    <tableColumn id="1" name="م" totalsRowLabel="Total" dataDxfId="1248"/>
    <tableColumn id="2" name="عدد" dataDxfId="1263">
      <calculatedColumnFormula>IF((تسعير!$AU$14="بالتات"),0,BH48-2)</calculatedColumnFormula>
    </tableColumn>
    <tableColumn id="3" name="بيان" totalsRowLabel="Total" dataDxfId="1264"/>
    <tableColumn id="5" name="اليومية / الاجرة" dataDxfId="1264"/>
    <tableColumn id="6" name="بدل الوجبة" dataDxfId="1262"/>
    <tableColumn id="11" name="موقع العمل" dataDxfId="1259">
      <calculatedColumnFormula>تسعير!$AT$44</calculatedColumnFormula>
    </tableColumn>
    <tableColumn id="10" name="شيفت العمل" dataDxfId="1248"/>
    <tableColumn id="12" name="Column12" totalsRowFunction="sum" dataDxfId="1256">
      <calculatedColumnFormula>SUMIF(Table17697888[Column1],Table1612677686[[#This Row],[موقع العمل]],$AE$2:$AE$8)</calculatedColumnFormula>
    </tableColumn>
    <tableColumn id="4" name="عدد الايام" dataDxfId="1268"/>
    <tableColumn id="7" name="اجمالي التكلفة للعامل" dataDxfId="1269">
      <calculatedColumnFormula>Table1612677686[[#This Row],[Column12]]</calculatedColumnFormula>
    </tableColumn>
    <tableColumn id="8" name="اجمالي" totalsRowFunction="sum" dataDxfId="1252">
      <calculatedColumnFormula>BH51*BP51</calculatedColumnFormula>
    </tableColumn>
    <tableColumn id="9" name="%" totalsRowFunction="custom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id="86" name="Table1613687787" displayName="Table1613687787" ref="BG45:BR48" totalsRowCount="1">
  <autoFilter ref="BG45:BR47"/>
  <tableColumns count="12">
    <tableColumn id="1" name="م" totalsRowLabel="Total" dataDxfId="1259"/>
    <tableColumn id="2" name="عدد" dataDxfId="1263">
      <calculatedColumnFormula>IF((BL62="الاسكندرية"),0.25,0.1)</calculatedColumnFormula>
    </tableColumn>
    <tableColumn id="3" name="بيان" totalsRowLabel="Total" dataDxfId="1259"/>
    <tableColumn id="11" name="Column2" dataDxfId="1259"/>
    <tableColumn id="10" name="Column1" dataDxfId="1259"/>
    <tableColumn id="12" name="Column12" totalsRowFunction="sum" dataDxfId="1271"/>
    <tableColumn id="4" name="الوحده" dataDxfId="1260"/>
    <tableColumn id="5" name="الوزن" dataDxfId="1259"/>
    <tableColumn id="6" name="سعر الكيلو" dataDxfId="1259"/>
    <tableColumn id="7" name="سعر الشبك " dataDxfId="1265">
      <calculatedColumnFormula>BQ45</calculatedColumnFormula>
    </tableColumn>
    <tableColumn id="8" name="اجمالي" totalsRowFunction="sum" dataDxfId="1252">
      <calculatedColumnFormula>BH46*Table1613687787[[#This Row],[سعر الشبك ]]</calculatedColumnFormula>
    </tableColumn>
    <tableColumn id="9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id="87" name="Table17697888" displayName="Table17697888" ref="BT1:BZ28" totalsRowShown="0">
  <autoFilter ref="BT1:BZ28"/>
  <tableColumns count="7">
    <tableColumn id="1" name="Column1" dataDxfId="1258"/>
    <tableColumn id="2" name="خارجي" dataDxfId="1258"/>
    <tableColumn id="3" name="داخلي" dataDxfId="1258"/>
    <tableColumn id="4" name="بدل الوجبة" dataDxfId="1258"/>
    <tableColumn id="5" name="دبابة" dataDxfId="1258"/>
    <tableColumn id="6" name="جامبو" dataDxfId="1258"/>
    <tableColumn id="7" name="الاقامة" dataDxfId="1258"/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id="88" name="Table18707989" displayName="Table18707989" ref="BI66:BM68" totalsRowShown="0">
  <autoFilter ref="BI66:BM68"/>
  <tableColumns count="5">
    <tableColumn id="1" name="Column1" dataDxfId="1259"/>
    <tableColumn id="4" name="Column22" dataDxfId="1259"/>
    <tableColumn id="5" name="Column23" dataDxfId="1259"/>
    <tableColumn id="3" name="Column3" dataDxfId="1270">
      <calculatedColumnFormula>IF((BL62="المقطم"),0.3,IF((BL62="التجمع"),0.3,IF((BL62="الشيخ زايد"),0.3,IF((BL62="الاسكندرية"),0.5,0.35))))</calculatedColumnFormula>
    </tableColumn>
    <tableColumn id="2" name="Column2" dataDxfId="1263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id="89" name="Table1588090" displayName="Table1588090" ref="BG5:BR11" totalsRowCount="1">
  <autoFilter ref="BG5:BR10"/>
  <tableColumns count="12">
    <tableColumn id="1" name="م" dataDxfId="1248"/>
    <tableColumn id="2" name="عدد" dataDxfId="1248"/>
    <tableColumn id="3" name="بيان" totalsRowLabel="Total" dataDxfId="1248"/>
    <tableColumn id="11" name="Column2" dataDxfId="1248"/>
    <tableColumn id="10" name="Column1" dataDxfId="1248"/>
    <tableColumn id="12" name="المسطح" totalsRowFunction="sum" dataDxfId="1256">
      <calculatedColumnFormula>(Table1588090[[#This Row],[Column1]]+Table1588090[[#This Row],[Column2]])*12*Table1588090[[#This Row],[عدد]]</calculatedColumnFormula>
    </tableColumn>
    <tableColumn id="4" name="الوحده" dataDxfId="1248"/>
    <tableColumn id="5" name="الوزن" totalsRowFunction="custom">
      <totalsRowFormula>(BN6*BH6)+(BN7*BG7)+(BN8*BG8)+(BN9*BG9)</totalsRowFormula>
    </tableColumn>
    <tableColumn id="6" name="اجمالي المسطح" totalsRowFunction="sum" dataDxfId="1250">
      <calculatedColumnFormula>Table1588090[[#This Row],[المسطح]]*Table1588090[[#This Row],[عدد]]</calculatedColumnFormula>
    </tableColumn>
    <tableColumn id="7" name="سعر الشبك " dataDxfId="1274">
      <calculatedColumnFormula>BN6*$S$2/1000</calculatedColumnFormula>
    </tableColumn>
    <tableColumn id="8" name="اجمالي" totalsRowFunction="sum" dataDxfId="1252">
      <calculatedColumnFormula>BH6*BP6</calculatedColumnFormula>
    </tableColumn>
    <tableColumn id="9" name="%" totalsRowFunction="custom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id="90" name="Table8091" displayName="Table8091" ref="AV2:BA14" totalsRowCount="1">
  <autoFilter ref="AV2:BA13"/>
  <tableColumns count="6">
    <tableColumn id="1" name="Column1" totalsRowLabel="Total" dataDxfId="31" totalsRowDxfId="10"/>
    <tableColumn id="2" name="عدد" totalsRowFunction="custom" totalsRowDxfId="8">
      <totalsRowFormula>(Table8091[[#Totals],[price]]*1.1)/(BA1*AY1/10000)</totalsRowFormula>
    </tableColumn>
    <tableColumn id="3" name="طول" dataDxfId="1241" totalsRowDxfId="0"/>
    <tableColumn id="4" name="Column2" dataDxfId="1275" totalsRowDxfId="1242"/>
    <tableColumn id="5" name="wt/m" dataDxfId="1275" totalsRowDxfId="1276"/>
    <tableColumn id="6" name="price" totalsRowFunction="sum" dataDxfId="1275" totalsRowDxfId="1276">
      <calculatedColumnFormula>AZ3*AX3</calculatedColumnFormula>
    </tableColumn>
  </tableColumns>
  <tableStyleInfo name="TableStyleLight1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1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22.xml"/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3" Type="http://schemas.openxmlformats.org/officeDocument/2006/relationships/ctrlProp" Target="../ctrlProps/ctrlProp17.x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10" Type="http://schemas.openxmlformats.org/officeDocument/2006/relationships/ctrlProp" Target="../ctrlProps/ctrlProp24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8" Type="http://schemas.openxmlformats.org/officeDocument/2006/relationships/table" Target="../tables/table10.xml"/><Relationship Id="rId13" Type="http://schemas.openxmlformats.org/officeDocument/2006/relationships/table" Target="../tables/table15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12" Type="http://schemas.openxmlformats.org/officeDocument/2006/relationships/table" Target="../tables/table14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8.xml"/><Relationship Id="rId11" Type="http://schemas.openxmlformats.org/officeDocument/2006/relationships/table" Target="../tables/table13.xml"/><Relationship Id="rId5" Type="http://schemas.openxmlformats.org/officeDocument/2006/relationships/table" Target="../tables/table7.xml"/><Relationship Id="rId10" Type="http://schemas.openxmlformats.org/officeDocument/2006/relationships/table" Target="../tables/table12.xml"/><Relationship Id="rId4" Type="http://schemas.openxmlformats.org/officeDocument/2006/relationships/table" Target="../tables/table6.xml"/><Relationship Id="rId9" Type="http://schemas.openxmlformats.org/officeDocument/2006/relationships/table" Target="../tables/table11.xml"/><Relationship Id="rId14" Type="http://schemas.openxmlformats.org/officeDocument/2006/relationships/comments" Target="../comments1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21.xml"/><Relationship Id="rId13" Type="http://schemas.openxmlformats.org/officeDocument/2006/relationships/table" Target="../tables/table26.xml"/><Relationship Id="rId3" Type="http://schemas.openxmlformats.org/officeDocument/2006/relationships/table" Target="../tables/table16.xml"/><Relationship Id="rId7" Type="http://schemas.openxmlformats.org/officeDocument/2006/relationships/table" Target="../tables/table20.xml"/><Relationship Id="rId12" Type="http://schemas.openxmlformats.org/officeDocument/2006/relationships/table" Target="../tables/table25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19.xml"/><Relationship Id="rId11" Type="http://schemas.openxmlformats.org/officeDocument/2006/relationships/table" Target="../tables/table24.xml"/><Relationship Id="rId5" Type="http://schemas.openxmlformats.org/officeDocument/2006/relationships/table" Target="../tables/table18.xml"/><Relationship Id="rId15" Type="http://schemas.openxmlformats.org/officeDocument/2006/relationships/comments" Target="../comments2.xml"/><Relationship Id="rId10" Type="http://schemas.openxmlformats.org/officeDocument/2006/relationships/table" Target="../tables/table23.xml"/><Relationship Id="rId4" Type="http://schemas.openxmlformats.org/officeDocument/2006/relationships/table" Target="../tables/table17.xml"/><Relationship Id="rId9" Type="http://schemas.openxmlformats.org/officeDocument/2006/relationships/table" Target="../tables/table22.xml"/><Relationship Id="rId14" Type="http://schemas.openxmlformats.org/officeDocument/2006/relationships/table" Target="../tables/table27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35.xml"/><Relationship Id="rId3" Type="http://schemas.openxmlformats.org/officeDocument/2006/relationships/table" Target="../tables/table30.xml"/><Relationship Id="rId7" Type="http://schemas.openxmlformats.org/officeDocument/2006/relationships/table" Target="../tables/table34.xml"/><Relationship Id="rId2" Type="http://schemas.openxmlformats.org/officeDocument/2006/relationships/table" Target="../tables/table29.xml"/><Relationship Id="rId1" Type="http://schemas.openxmlformats.org/officeDocument/2006/relationships/table" Target="../tables/table28.xml"/><Relationship Id="rId6" Type="http://schemas.openxmlformats.org/officeDocument/2006/relationships/table" Target="../tables/table33.xml"/><Relationship Id="rId11" Type="http://schemas.openxmlformats.org/officeDocument/2006/relationships/table" Target="../tables/table38.xml"/><Relationship Id="rId5" Type="http://schemas.openxmlformats.org/officeDocument/2006/relationships/table" Target="../tables/table32.xml"/><Relationship Id="rId10" Type="http://schemas.openxmlformats.org/officeDocument/2006/relationships/table" Target="../tables/table37.xml"/><Relationship Id="rId4" Type="http://schemas.openxmlformats.org/officeDocument/2006/relationships/table" Target="../tables/table31.xml"/><Relationship Id="rId9" Type="http://schemas.openxmlformats.org/officeDocument/2006/relationships/table" Target="../tables/table36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46.xml"/><Relationship Id="rId3" Type="http://schemas.openxmlformats.org/officeDocument/2006/relationships/table" Target="../tables/table41.xml"/><Relationship Id="rId7" Type="http://schemas.openxmlformats.org/officeDocument/2006/relationships/table" Target="../tables/table45.xml"/><Relationship Id="rId2" Type="http://schemas.openxmlformats.org/officeDocument/2006/relationships/table" Target="../tables/table40.xml"/><Relationship Id="rId1" Type="http://schemas.openxmlformats.org/officeDocument/2006/relationships/table" Target="../tables/table39.xml"/><Relationship Id="rId6" Type="http://schemas.openxmlformats.org/officeDocument/2006/relationships/table" Target="../tables/table44.xml"/><Relationship Id="rId5" Type="http://schemas.openxmlformats.org/officeDocument/2006/relationships/table" Target="../tables/table43.xml"/><Relationship Id="rId10" Type="http://schemas.openxmlformats.org/officeDocument/2006/relationships/table" Target="../tables/table48.xml"/><Relationship Id="rId4" Type="http://schemas.openxmlformats.org/officeDocument/2006/relationships/table" Target="../tables/table42.xml"/><Relationship Id="rId9" Type="http://schemas.openxmlformats.org/officeDocument/2006/relationships/table" Target="../tables/table47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56.xml"/><Relationship Id="rId13" Type="http://schemas.openxmlformats.org/officeDocument/2006/relationships/table" Target="../tables/table61.xml"/><Relationship Id="rId18" Type="http://schemas.openxmlformats.org/officeDocument/2006/relationships/table" Target="../tables/table66.xml"/><Relationship Id="rId3" Type="http://schemas.openxmlformats.org/officeDocument/2006/relationships/table" Target="../tables/table51.xml"/><Relationship Id="rId7" Type="http://schemas.openxmlformats.org/officeDocument/2006/relationships/table" Target="../tables/table55.xml"/><Relationship Id="rId12" Type="http://schemas.openxmlformats.org/officeDocument/2006/relationships/table" Target="../tables/table60.xml"/><Relationship Id="rId17" Type="http://schemas.openxmlformats.org/officeDocument/2006/relationships/table" Target="../tables/table65.xml"/><Relationship Id="rId2" Type="http://schemas.openxmlformats.org/officeDocument/2006/relationships/table" Target="../tables/table50.xml"/><Relationship Id="rId16" Type="http://schemas.openxmlformats.org/officeDocument/2006/relationships/table" Target="../tables/table64.xml"/><Relationship Id="rId20" Type="http://schemas.openxmlformats.org/officeDocument/2006/relationships/table" Target="../tables/table68.xml"/><Relationship Id="rId1" Type="http://schemas.openxmlformats.org/officeDocument/2006/relationships/table" Target="../tables/table49.xml"/><Relationship Id="rId6" Type="http://schemas.openxmlformats.org/officeDocument/2006/relationships/table" Target="../tables/table54.xml"/><Relationship Id="rId11" Type="http://schemas.openxmlformats.org/officeDocument/2006/relationships/table" Target="../tables/table59.xml"/><Relationship Id="rId5" Type="http://schemas.openxmlformats.org/officeDocument/2006/relationships/table" Target="../tables/table53.xml"/><Relationship Id="rId15" Type="http://schemas.openxmlformats.org/officeDocument/2006/relationships/table" Target="../tables/table63.xml"/><Relationship Id="rId10" Type="http://schemas.openxmlformats.org/officeDocument/2006/relationships/table" Target="../tables/table58.xml"/><Relationship Id="rId19" Type="http://schemas.openxmlformats.org/officeDocument/2006/relationships/table" Target="../tables/table67.xml"/><Relationship Id="rId4" Type="http://schemas.openxmlformats.org/officeDocument/2006/relationships/table" Target="../tables/table52.xml"/><Relationship Id="rId9" Type="http://schemas.openxmlformats.org/officeDocument/2006/relationships/table" Target="../tables/table57.xml"/><Relationship Id="rId14" Type="http://schemas.openxmlformats.org/officeDocument/2006/relationships/table" Target="../tables/table62.xml"/></Relationships>
</file>

<file path=xl/worksheets/_rels/sheet8.xml.rels><?xml version="1.0" encoding="UTF-8" standalone="yes"?><Relationships xmlns="http://schemas.openxmlformats.org/package/2006/relationships"><Relationship Id="rId8" Type="http://schemas.openxmlformats.org/officeDocument/2006/relationships/table" Target="../tables/table76.xml"/><Relationship Id="rId13" Type="http://schemas.openxmlformats.org/officeDocument/2006/relationships/table" Target="../tables/table81.xml"/><Relationship Id="rId18" Type="http://schemas.openxmlformats.org/officeDocument/2006/relationships/table" Target="../tables/table86.xml"/><Relationship Id="rId26" Type="http://schemas.openxmlformats.org/officeDocument/2006/relationships/table" Target="../tables/table94.xml"/><Relationship Id="rId39" Type="http://schemas.openxmlformats.org/officeDocument/2006/relationships/table" Target="../tables/table107.xml"/><Relationship Id="rId3" Type="http://schemas.openxmlformats.org/officeDocument/2006/relationships/table" Target="../tables/table71.xml"/><Relationship Id="rId21" Type="http://schemas.openxmlformats.org/officeDocument/2006/relationships/table" Target="../tables/table89.xml"/><Relationship Id="rId34" Type="http://schemas.openxmlformats.org/officeDocument/2006/relationships/table" Target="../tables/table102.xml"/><Relationship Id="rId42" Type="http://schemas.openxmlformats.org/officeDocument/2006/relationships/table" Target="../tables/table110.xml"/><Relationship Id="rId7" Type="http://schemas.openxmlformats.org/officeDocument/2006/relationships/table" Target="../tables/table75.xml"/><Relationship Id="rId12" Type="http://schemas.openxmlformats.org/officeDocument/2006/relationships/table" Target="../tables/table80.xml"/><Relationship Id="rId17" Type="http://schemas.openxmlformats.org/officeDocument/2006/relationships/table" Target="../tables/table85.xml"/><Relationship Id="rId25" Type="http://schemas.openxmlformats.org/officeDocument/2006/relationships/table" Target="../tables/table93.xml"/><Relationship Id="rId33" Type="http://schemas.openxmlformats.org/officeDocument/2006/relationships/table" Target="../tables/table101.xml"/><Relationship Id="rId38" Type="http://schemas.openxmlformats.org/officeDocument/2006/relationships/table" Target="../tables/table106.xml"/><Relationship Id="rId2" Type="http://schemas.openxmlformats.org/officeDocument/2006/relationships/table" Target="../tables/table70.xml"/><Relationship Id="rId16" Type="http://schemas.openxmlformats.org/officeDocument/2006/relationships/table" Target="../tables/table84.xml"/><Relationship Id="rId20" Type="http://schemas.openxmlformats.org/officeDocument/2006/relationships/table" Target="../tables/table88.xml"/><Relationship Id="rId29" Type="http://schemas.openxmlformats.org/officeDocument/2006/relationships/table" Target="../tables/table97.xml"/><Relationship Id="rId41" Type="http://schemas.openxmlformats.org/officeDocument/2006/relationships/table" Target="../tables/table109.xml"/><Relationship Id="rId1" Type="http://schemas.openxmlformats.org/officeDocument/2006/relationships/table" Target="../tables/table69.xml"/><Relationship Id="rId6" Type="http://schemas.openxmlformats.org/officeDocument/2006/relationships/table" Target="../tables/table74.xml"/><Relationship Id="rId11" Type="http://schemas.openxmlformats.org/officeDocument/2006/relationships/table" Target="../tables/table79.xml"/><Relationship Id="rId24" Type="http://schemas.openxmlformats.org/officeDocument/2006/relationships/table" Target="../tables/table92.xml"/><Relationship Id="rId32" Type="http://schemas.openxmlformats.org/officeDocument/2006/relationships/table" Target="../tables/table100.xml"/><Relationship Id="rId37" Type="http://schemas.openxmlformats.org/officeDocument/2006/relationships/table" Target="../tables/table105.xml"/><Relationship Id="rId40" Type="http://schemas.openxmlformats.org/officeDocument/2006/relationships/table" Target="../tables/table108.xml"/><Relationship Id="rId5" Type="http://schemas.openxmlformats.org/officeDocument/2006/relationships/table" Target="../tables/table73.xml"/><Relationship Id="rId15" Type="http://schemas.openxmlformats.org/officeDocument/2006/relationships/table" Target="../tables/table83.xml"/><Relationship Id="rId23" Type="http://schemas.openxmlformats.org/officeDocument/2006/relationships/table" Target="../tables/table91.xml"/><Relationship Id="rId28" Type="http://schemas.openxmlformats.org/officeDocument/2006/relationships/table" Target="../tables/table96.xml"/><Relationship Id="rId36" Type="http://schemas.openxmlformats.org/officeDocument/2006/relationships/table" Target="../tables/table104.xml"/><Relationship Id="rId10" Type="http://schemas.openxmlformats.org/officeDocument/2006/relationships/table" Target="../tables/table78.xml"/><Relationship Id="rId19" Type="http://schemas.openxmlformats.org/officeDocument/2006/relationships/table" Target="../tables/table87.xml"/><Relationship Id="rId31" Type="http://schemas.openxmlformats.org/officeDocument/2006/relationships/table" Target="../tables/table99.xml"/><Relationship Id="rId44" Type="http://schemas.openxmlformats.org/officeDocument/2006/relationships/table" Target="../tables/table112.xml"/><Relationship Id="rId4" Type="http://schemas.openxmlformats.org/officeDocument/2006/relationships/table" Target="../tables/table72.xml"/><Relationship Id="rId9" Type="http://schemas.openxmlformats.org/officeDocument/2006/relationships/table" Target="../tables/table77.xml"/><Relationship Id="rId14" Type="http://schemas.openxmlformats.org/officeDocument/2006/relationships/table" Target="../tables/table82.xml"/><Relationship Id="rId22" Type="http://schemas.openxmlformats.org/officeDocument/2006/relationships/table" Target="../tables/table90.xml"/><Relationship Id="rId27" Type="http://schemas.openxmlformats.org/officeDocument/2006/relationships/table" Target="../tables/table95.xml"/><Relationship Id="rId30" Type="http://schemas.openxmlformats.org/officeDocument/2006/relationships/table" Target="../tables/table98.xml"/><Relationship Id="rId35" Type="http://schemas.openxmlformats.org/officeDocument/2006/relationships/table" Target="../tables/table103.xml"/><Relationship Id="rId43" Type="http://schemas.openxmlformats.org/officeDocument/2006/relationships/table" Target="../tables/table111.xml"/></Relationships>
</file>

<file path=xl/worksheets/_rels/sheet9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"/>
  <dimension ref="A1:J57"/>
  <sheetViews>
    <sheetView rightToLeft="1" tabSelected="1" zoomScale="85" zoomScaleNormal="85" zoomScaleSheetLayoutView="70" workbookViewId="0">
      <selection activeCell="A24" sqref="A24"/>
    </sheetView>
  </sheetViews>
  <sheetFormatPr defaultColWidth="9.140625" defaultRowHeight="15"/>
  <cols>
    <col min="1" max="1" width="36.28515625" customWidth="1" style="233"/>
    <col min="2" max="2" width="19" customWidth="1" style="233"/>
    <col min="3" max="3" width="11" customWidth="1" style="233"/>
    <col min="4" max="4" width="18.140625" customWidth="1" style="233"/>
    <col min="5" max="6" width="9.140625" customWidth="1" style="233"/>
    <col min="7" max="9" width="11" customWidth="1" style="233"/>
    <col min="10" max="16384" width="9.140625" customWidth="1" style="233"/>
  </cols>
  <sheetData>
    <row r="1" ht="24.75" customHeight="1" s="369" customFormat="1">
      <c r="A1" s="369" t="s">
        <v>185</v>
      </c>
      <c r="B1" s="369" t="s">
        <v>165</v>
      </c>
      <c r="C1" s="369" t="s">
        <v>168</v>
      </c>
      <c r="D1" s="369" t="s">
        <v>154</v>
      </c>
      <c r="E1" s="500"/>
      <c r="F1" s="501"/>
      <c r="G1" s="568" t="s">
        <v>219</v>
      </c>
      <c r="H1" s="568"/>
      <c r="I1" s="568"/>
      <c r="J1" s="514"/>
    </row>
    <row r="2" ht="21">
      <c r="A2" s="502" t="s">
        <v>186</v>
      </c>
      <c r="B2" s="559" t="s">
        <v>166</v>
      </c>
      <c r="C2" s="503" t="s">
        <v>169</v>
      </c>
      <c r="D2" s="504" t="s">
        <v>193</v>
      </c>
      <c r="E2" s="500"/>
      <c r="F2" s="505"/>
      <c r="G2" s="233" t="s">
        <v>9</v>
      </c>
      <c r="H2" s="233" t="s">
        <v>30</v>
      </c>
      <c r="I2" s="233" t="s">
        <v>154</v>
      </c>
      <c r="J2" s="515"/>
    </row>
    <row r="3" ht="21">
      <c r="A3" s="506"/>
      <c r="B3" s="560" t="s">
        <v>167</v>
      </c>
      <c r="C3" s="507" t="s">
        <v>177</v>
      </c>
      <c r="D3" s="508" t="s">
        <v>192</v>
      </c>
      <c r="E3" s="500"/>
      <c r="F3" s="505"/>
      <c r="G3" s="233" t="str">
        <f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B2</v>
      </c>
      <c r="I3" s="233">
        <f>Table1[[#Totals],[اجمالي]]+Table14[[#Totals],[اجمالي]]+Table15[[#Totals],[اجمالي]]+Table16[[#Totals],[اجمالي]]+Table1610[[#Totals],[اجمالي]]</f>
        <v>32786.25</v>
      </c>
      <c r="J3" s="515"/>
    </row>
    <row r="4" ht="21">
      <c r="A4" s="509"/>
      <c r="B4" s="510"/>
      <c r="C4" s="510"/>
      <c r="D4" s="511"/>
      <c r="E4" s="500"/>
      <c r="F4" s="505"/>
      <c r="G4" s="569" t="s">
        <v>220</v>
      </c>
      <c r="H4" s="569"/>
      <c r="I4" s="569"/>
      <c r="J4" s="515"/>
    </row>
    <row r="5" ht="21">
      <c r="A5" s="502" t="s">
        <v>186</v>
      </c>
      <c r="B5" s="559" t="s">
        <v>166</v>
      </c>
      <c r="C5" s="503" t="s">
        <v>169</v>
      </c>
      <c r="D5" s="504" t="s">
        <v>193</v>
      </c>
      <c r="E5" s="500"/>
      <c r="F5" s="505"/>
      <c r="G5" s="233" t="s">
        <v>9</v>
      </c>
      <c r="H5" s="233" t="s">
        <v>30</v>
      </c>
      <c r="I5" s="233" t="s">
        <v>154</v>
      </c>
      <c r="J5" s="515"/>
    </row>
    <row r="6" ht="21" customHeight="1">
      <c r="A6" s="506" t="s">
        <v>206</v>
      </c>
      <c r="B6" s="560" t="s">
        <v>167</v>
      </c>
      <c r="C6" s="507" t="s">
        <v>177</v>
      </c>
      <c r="D6" s="508" t="s">
        <v>192</v>
      </c>
      <c r="E6" s="500"/>
      <c r="F6" s="505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F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F3</v>
      </c>
      <c r="I6" s="516">
        <f>Table118[[#Totals],[اجمالي]]+Table1421[[#Totals],[اجمالي]]+Table1522[[#Totals],[اجمالي]]+Table1624[[#Totals],[اجمالي]]+Table1319[[#Totals],[اجمالي]]+Table161027[[#Totals],[اجمالي]]</f>
        <v>118555</v>
      </c>
      <c r="J6" s="515"/>
    </row>
    <row r="7" ht="21" customHeight="1">
      <c r="A7" s="512"/>
      <c r="B7" s="510"/>
      <c r="C7" s="510"/>
      <c r="D7" s="511"/>
      <c r="E7" s="500"/>
      <c r="F7" s="512"/>
      <c r="G7" s="513"/>
      <c r="H7" s="513"/>
      <c r="I7" s="513"/>
      <c r="J7" s="517"/>
    </row>
    <row r="10" ht="21">
      <c r="A10" s="570" t="s">
        <v>221</v>
      </c>
      <c r="B10" s="570"/>
    </row>
    <row r="11">
      <c r="A11" s="233" t="s">
        <v>222</v>
      </c>
      <c r="B11" s="233" t="s">
        <v>223</v>
      </c>
    </row>
    <row r="12">
      <c r="A12" s="233" t="s">
        <v>224</v>
      </c>
      <c r="B12" s="790">
        <v>50000</v>
      </c>
    </row>
    <row r="13">
      <c r="A13" s="233" t="s">
        <v>225</v>
      </c>
      <c r="B13" s="790">
        <v>55000</v>
      </c>
    </row>
    <row r="14">
      <c r="A14" s="558" t="s">
        <v>226</v>
      </c>
      <c r="B14" s="790">
        <v>230000</v>
      </c>
    </row>
    <row r="15">
      <c r="A15" s="233" t="s">
        <v>227</v>
      </c>
      <c r="B15" s="790">
        <v>60000</v>
      </c>
    </row>
    <row r="16">
      <c r="A16" s="233" t="s">
        <v>228</v>
      </c>
      <c r="B16" s="790">
        <v>275</v>
      </c>
    </row>
    <row r="17">
      <c r="A17" s="233" t="s">
        <v>229</v>
      </c>
      <c r="B17" s="790">
        <v>200</v>
      </c>
    </row>
    <row r="18">
      <c r="A18" s="233" t="s">
        <v>62</v>
      </c>
      <c r="B18" s="790">
        <v>450</v>
      </c>
    </row>
    <row r="19">
      <c r="A19" s="233" t="s">
        <v>66</v>
      </c>
      <c r="B19" s="790">
        <v>250</v>
      </c>
    </row>
    <row r="20">
      <c r="A20" s="233" t="s">
        <v>70</v>
      </c>
      <c r="B20" s="790">
        <v>550</v>
      </c>
    </row>
    <row r="21">
      <c r="A21" s="233" t="s">
        <v>73</v>
      </c>
      <c r="B21" s="790">
        <v>600</v>
      </c>
    </row>
    <row r="22">
      <c r="A22" s="233" t="s">
        <v>78</v>
      </c>
      <c r="B22" s="790">
        <v>160</v>
      </c>
    </row>
    <row r="23">
      <c r="A23" s="233" t="s">
        <v>80</v>
      </c>
      <c r="B23" s="790">
        <v>160</v>
      </c>
    </row>
    <row r="24">
      <c r="A24" s="233" t="s">
        <v>103</v>
      </c>
      <c r="B24" s="790">
        <v>400</v>
      </c>
    </row>
    <row r="25">
      <c r="A25" s="233" t="s">
        <v>45</v>
      </c>
      <c r="B25" s="790">
        <v>105</v>
      </c>
    </row>
    <row r="26">
      <c r="A26" s="233" t="s">
        <v>106</v>
      </c>
      <c r="B26" s="790">
        <v>250</v>
      </c>
    </row>
    <row r="27">
      <c r="A27" s="233" t="s">
        <v>107</v>
      </c>
      <c r="B27" s="790">
        <v>510</v>
      </c>
    </row>
    <row r="28">
      <c r="A28" s="233" t="s">
        <v>81</v>
      </c>
      <c r="B28" s="790">
        <v>400</v>
      </c>
    </row>
    <row r="29">
      <c r="A29" s="233" t="s">
        <v>94</v>
      </c>
      <c r="B29" s="790">
        <v>1000</v>
      </c>
    </row>
    <row r="30">
      <c r="A30" s="233" t="s">
        <v>97</v>
      </c>
      <c r="B30" s="790">
        <v>1200</v>
      </c>
    </row>
    <row r="31">
      <c r="A31" s="233" t="s">
        <v>98</v>
      </c>
      <c r="B31" s="790">
        <v>450</v>
      </c>
    </row>
    <row r="32">
      <c r="A32" s="233" t="s">
        <v>121</v>
      </c>
      <c r="B32" s="790">
        <v>7000</v>
      </c>
    </row>
    <row r="33">
      <c r="A33" s="537" t="s">
        <v>230</v>
      </c>
      <c r="B33" s="790">
        <v>11000</v>
      </c>
    </row>
    <row r="34">
      <c r="A34" s="233" t="s">
        <v>231</v>
      </c>
      <c r="B34" s="790">
        <v>2000</v>
      </c>
    </row>
    <row r="35">
      <c r="A35" s="233" t="s">
        <v>232</v>
      </c>
      <c r="B35" s="790">
        <v>1500</v>
      </c>
    </row>
    <row r="36">
      <c r="A36" s="233" t="s">
        <v>233</v>
      </c>
      <c r="B36" s="790">
        <v>1500</v>
      </c>
    </row>
    <row r="37">
      <c r="A37" s="233" t="s">
        <v>234</v>
      </c>
      <c r="B37" s="790">
        <v>5000</v>
      </c>
    </row>
    <row r="38">
      <c r="A38" s="233" t="s">
        <v>235</v>
      </c>
      <c r="B38" s="790">
        <v>800</v>
      </c>
    </row>
    <row r="39">
      <c r="A39" s="233" t="s">
        <v>236</v>
      </c>
      <c r="B39" s="790">
        <v>150</v>
      </c>
    </row>
    <row r="40">
      <c r="A40" s="233" t="s">
        <v>237</v>
      </c>
      <c r="B40" s="790">
        <v>90</v>
      </c>
    </row>
    <row r="41">
      <c r="A41" s="233" t="s">
        <v>238</v>
      </c>
      <c r="B41" s="790">
        <v>25</v>
      </c>
    </row>
    <row r="42" ht="18.75">
      <c r="A42" s="331" t="s">
        <v>239</v>
      </c>
      <c r="B42" s="790">
        <v>450</v>
      </c>
    </row>
    <row r="43" ht="18.75">
      <c r="A43" s="331" t="s">
        <v>240</v>
      </c>
      <c r="B43" s="790">
        <v>160</v>
      </c>
    </row>
    <row r="44" ht="18.75">
      <c r="A44" s="331" t="s">
        <v>241</v>
      </c>
      <c r="B44" s="790">
        <v>175</v>
      </c>
    </row>
    <row r="45">
      <c r="A45" s="558" t="s">
        <v>242</v>
      </c>
      <c r="B45" s="790">
        <v>4000</v>
      </c>
    </row>
    <row r="46">
      <c r="A46" s="558" t="s">
        <v>243</v>
      </c>
      <c r="B46" s="790">
        <v>3000</v>
      </c>
    </row>
    <row r="47">
      <c r="A47" s="233" t="s">
        <v>244</v>
      </c>
      <c r="B47" s="790">
        <v>160</v>
      </c>
    </row>
    <row r="48">
      <c r="A48" s="233" t="s">
        <v>245</v>
      </c>
      <c r="B48" s="790">
        <v>20</v>
      </c>
    </row>
    <row r="49">
      <c r="A49" s="233" t="s">
        <v>246</v>
      </c>
      <c r="B49" s="790">
        <v>1200</v>
      </c>
    </row>
    <row r="50">
      <c r="A50" s="233" t="s">
        <v>247</v>
      </c>
      <c r="B50" s="790">
        <v>150</v>
      </c>
    </row>
    <row r="51">
      <c r="A51" s="233" t="s">
        <v>248</v>
      </c>
      <c r="B51" s="790">
        <v>150</v>
      </c>
    </row>
    <row r="52">
      <c r="A52" s="233" t="s">
        <v>249</v>
      </c>
      <c r="B52" s="790">
        <v>250</v>
      </c>
    </row>
    <row r="53">
      <c r="A53" s="233" t="s">
        <v>250</v>
      </c>
      <c r="B53" s="790">
        <v>100</v>
      </c>
    </row>
    <row r="54">
      <c r="A54" s="558" t="s">
        <v>251</v>
      </c>
      <c r="B54" s="790">
        <v>1200</v>
      </c>
    </row>
    <row r="55">
      <c r="A55" s="537" t="s">
        <v>252</v>
      </c>
      <c r="B55" s="790">
        <v>23000</v>
      </c>
    </row>
    <row r="56">
      <c r="A56" s="537" t="s">
        <v>253</v>
      </c>
      <c r="B56" s="790">
        <v>8000</v>
      </c>
    </row>
    <row r="57">
      <c r="A57" s="567" t="s">
        <v>254</v>
      </c>
      <c r="B57" s="790">
        <v>12000</v>
      </c>
    </row>
    <row r="58"/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J1:L1" location="Royal!A1" display="مثبتة علي الحائط"/>
    <hyperlink ref="K1:M1" location="Royal!A1" display="مثبتة علي الحائط"/>
    <hyperlink ref="L1:N1" location="Royal!A1" display="مثبتة علي الحائط"/>
    <hyperlink ref="M1:O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J4:L4" location="Royal2!A1" display="مثبتة غير علي الحائط"/>
    <hyperlink ref="K4:M4" location="Royal2!A1" display="مثبتة غير علي الحائط"/>
    <hyperlink ref="L4:N4" location="Royal2!A1" display="مثبتة غير علي الحائط"/>
    <hyperlink ref="M4:O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5">
    <pageSetUpPr fitToPage="1"/>
  </sheetPr>
  <dimension ref="A1:AB98"/>
  <sheetViews>
    <sheetView rightToLeft="1" topLeftCell="P1" zoomScale="55" zoomScaleNormal="55" workbookViewId="0">
      <selection activeCell="Y30" sqref="Y30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3.5703125" customWidth="1" style="60"/>
    <col min="23" max="23" width="43" customWidth="1" style="60"/>
    <col min="24" max="24" width="20.85546875" customWidth="1" style="60"/>
    <col min="25" max="25" width="13.570312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659" t="s">
        <v>595</v>
      </c>
      <c r="B1" s="660"/>
      <c r="C1" s="660"/>
      <c r="D1" s="660"/>
      <c r="E1" s="660"/>
      <c r="F1" s="660"/>
      <c r="G1" s="660"/>
      <c r="H1" s="660"/>
      <c r="I1" s="660"/>
      <c r="J1" s="660"/>
      <c r="K1" s="660"/>
      <c r="L1" s="660"/>
      <c r="M1" s="660"/>
      <c r="N1" s="661"/>
      <c r="O1" s="87"/>
      <c r="P1" s="88"/>
      <c r="Q1" s="88"/>
      <c r="R1" s="88"/>
      <c r="W1" s="136">
        <f>IF(تسعير!T6="سادة",Royal!J2+20000,IF(تسعير!T6="خشبي",Royal!J2+40000,0))</f>
        <v>250000</v>
      </c>
      <c r="X1" s="60" t="s">
        <v>358</v>
      </c>
      <c r="Y1" s="136" t="e">
        <f>Royal!#REF!</f>
        <v>#REF!</v>
      </c>
      <c r="Z1" s="151" t="s">
        <v>359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675" t="s">
        <v>360</v>
      </c>
      <c r="B3" s="675"/>
      <c r="C3" s="675"/>
      <c r="D3" s="677">
        <f>تسجيل1!B2</f>
        <v>0</v>
      </c>
      <c r="E3" s="677"/>
      <c r="F3" s="677"/>
      <c r="G3" s="677"/>
      <c r="H3" s="677"/>
      <c r="I3" s="677"/>
      <c r="J3" s="677"/>
      <c r="K3" s="677"/>
      <c r="L3" s="677"/>
      <c r="M3" s="662" t="s">
        <v>361</v>
      </c>
      <c r="N3" s="662"/>
      <c r="O3" s="89"/>
      <c r="P3" s="90"/>
      <c r="Q3" s="90"/>
      <c r="R3" s="90"/>
      <c r="Z3" s="151"/>
      <c r="AA3" s="60"/>
      <c r="AB3" s="60"/>
    </row>
    <row r="4" ht="13.5" customHeight="1">
      <c r="A4" s="676"/>
      <c r="B4" s="676"/>
      <c r="C4" s="676"/>
      <c r="D4" s="678"/>
      <c r="E4" s="678"/>
      <c r="F4" s="678"/>
      <c r="G4" s="677"/>
      <c r="H4" s="677"/>
      <c r="I4" s="678"/>
      <c r="J4" s="678"/>
      <c r="K4" s="678"/>
      <c r="L4" s="678"/>
      <c r="M4" s="663"/>
      <c r="N4" s="663"/>
      <c r="O4" s="91"/>
      <c r="P4" s="92"/>
      <c r="Q4" s="92"/>
      <c r="R4" s="92"/>
      <c r="Z4" s="151"/>
      <c r="AA4" s="60"/>
      <c r="AB4" s="60"/>
    </row>
    <row r="5" ht="13.5" customHeight="1">
      <c r="A5" s="664" t="e">
        <f>Y1</f>
        <v>#REF!</v>
      </c>
      <c r="B5" s="665"/>
      <c r="C5" s="666"/>
      <c r="D5" s="667" t="s">
        <v>359</v>
      </c>
      <c r="E5" s="668"/>
      <c r="F5" s="669"/>
      <c r="G5" s="63"/>
      <c r="H5" s="63"/>
      <c r="I5" s="664">
        <f>W1</f>
        <v>250000</v>
      </c>
      <c r="J5" s="665"/>
      <c r="K5" s="666"/>
      <c r="L5" s="667" t="s">
        <v>362</v>
      </c>
      <c r="M5" s="668"/>
      <c r="N5" s="669"/>
      <c r="O5" s="93"/>
      <c r="P5" s="92"/>
      <c r="Q5" s="92"/>
      <c r="R5" s="92"/>
      <c r="Z5" s="151"/>
      <c r="AA5" s="60"/>
      <c r="AB5" s="60"/>
    </row>
    <row r="6" ht="16.5" customHeight="1">
      <c r="A6" s="743" t="s">
        <v>255</v>
      </c>
      <c r="B6" s="744"/>
      <c r="C6" s="745"/>
      <c r="D6" s="737" t="s">
        <v>363</v>
      </c>
      <c r="E6" s="670" t="s">
        <v>364</v>
      </c>
      <c r="F6" s="671"/>
      <c r="G6" s="672"/>
      <c r="H6" s="672"/>
      <c r="I6" s="671"/>
      <c r="J6" s="673"/>
      <c r="K6" s="674">
        <f>تسجيل1!C7</f>
        <v>500</v>
      </c>
      <c r="L6" s="674"/>
      <c r="M6" s="94" t="s">
        <v>365</v>
      </c>
      <c r="N6" s="186">
        <f>تسجيل1!E7</f>
        <v>800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743"/>
      <c r="B7" s="744"/>
      <c r="C7" s="745"/>
      <c r="D7" s="737"/>
      <c r="E7" s="679" t="s">
        <v>366</v>
      </c>
      <c r="F7" s="672"/>
      <c r="G7" s="672"/>
      <c r="H7" s="672"/>
      <c r="I7" s="672"/>
      <c r="J7" s="680"/>
      <c r="K7" s="681">
        <f>K6*N6/10000</f>
        <v>40</v>
      </c>
      <c r="L7" s="681"/>
      <c r="M7" s="681"/>
      <c r="N7" s="98" t="s">
        <v>367</v>
      </c>
      <c r="O7" s="99">
        <f>AA41/K7</f>
        <v>2995.7472659743612</v>
      </c>
      <c r="S7" s="60" t="s">
        <v>127</v>
      </c>
      <c r="T7" s="61" t="s">
        <v>368</v>
      </c>
      <c r="Z7" s="151"/>
      <c r="AA7" s="60"/>
      <c r="AB7" s="60"/>
    </row>
    <row r="8">
      <c r="A8" s="746"/>
      <c r="B8" s="747"/>
      <c r="C8" s="748"/>
      <c r="D8" s="738"/>
      <c r="E8" s="682" t="s">
        <v>369</v>
      </c>
      <c r="F8" s="683"/>
      <c r="G8" s="683"/>
      <c r="H8" s="683"/>
      <c r="I8" s="683"/>
      <c r="J8" s="684"/>
      <c r="K8" s="685">
        <f>K6-1</f>
        <v>499</v>
      </c>
      <c r="L8" s="685"/>
      <c r="M8" s="100" t="s">
        <v>370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772</v>
      </c>
      <c r="O8" s="102">
        <f>O7*K7</f>
        <v>119829.89063897445</v>
      </c>
      <c r="P8" s="103"/>
      <c r="Q8" s="103"/>
      <c r="R8" s="103"/>
      <c r="S8" s="103">
        <f>Sheet2!B16</f>
        <v>275</v>
      </c>
      <c r="T8" s="137">
        <f>((K8*N8)/10000)*1.2</f>
        <v>46.22736</v>
      </c>
      <c r="U8" s="138">
        <f>T8*S8</f>
        <v>12712.524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686" t="s">
        <v>371</v>
      </c>
      <c r="B10" s="686"/>
      <c r="C10" s="686"/>
      <c r="D10" s="686"/>
      <c r="E10" s="686"/>
      <c r="F10" s="686"/>
      <c r="G10" s="687" t="s">
        <v>372</v>
      </c>
      <c r="H10" s="687"/>
      <c r="I10" s="687" t="s">
        <v>373</v>
      </c>
      <c r="J10" s="687"/>
      <c r="K10" s="104"/>
      <c r="L10" s="688" t="s">
        <v>308</v>
      </c>
      <c r="M10" s="688"/>
      <c r="N10" s="688"/>
      <c r="O10" s="105"/>
      <c r="P10" s="97"/>
      <c r="Q10" s="97"/>
      <c r="R10" s="97"/>
      <c r="S10" s="90" t="s">
        <v>374</v>
      </c>
      <c r="T10" s="90" t="s">
        <v>375</v>
      </c>
      <c r="U10" s="90" t="s">
        <v>376</v>
      </c>
      <c r="V10" s="90" t="s">
        <v>377</v>
      </c>
      <c r="W10" s="60" t="s">
        <v>378</v>
      </c>
      <c r="X10" s="60" t="s">
        <v>223</v>
      </c>
      <c r="Z10" s="151"/>
      <c r="AA10" s="60"/>
      <c r="AB10" s="60"/>
    </row>
    <row r="11" ht="20.1" customHeight="1">
      <c r="A11" s="689" t="s">
        <v>379</v>
      </c>
      <c r="B11" s="690"/>
      <c r="C11" s="690"/>
      <c r="D11" s="690"/>
      <c r="E11" s="690"/>
      <c r="F11" s="691"/>
      <c r="G11" s="692">
        <f>L11</f>
        <v>3</v>
      </c>
      <c r="H11" s="692"/>
      <c r="I11" s="693">
        <f>'Format διαστασης οδηγου'!F8</f>
        <v>765</v>
      </c>
      <c r="J11" s="693"/>
      <c r="K11" s="106"/>
      <c r="L11" s="688">
        <f>IF(Format!A7=1,تسجيل1!H27,IF(Format!A7=2,تسجيل1!H27,IF(Format!A7=3,تسجيل1!H27,IF(Format!A7=4,تسجيل1!H27,IF(Format!A7=5,تسجيل1!H27,"-------")))))</f>
        <v>3</v>
      </c>
      <c r="M11" s="688"/>
      <c r="N11" s="688"/>
      <c r="O11" s="105"/>
      <c r="P11" s="107">
        <f>IF(I11&lt;=500,5,0)</f>
        <v>0</v>
      </c>
      <c r="Q11" s="107">
        <f>IF(I11&gt;500,7,0)</f>
        <v>7</v>
      </c>
      <c r="R11" s="107">
        <f>IF(I11&gt;700,8,0)</f>
        <v>8</v>
      </c>
      <c r="S11" s="103">
        <f>MAX(P11:R11)</f>
        <v>8</v>
      </c>
      <c r="T11" s="139">
        <f>(G11*I11)/S11/100</f>
        <v>2.86875</v>
      </c>
      <c r="U11" s="103">
        <f>CEILING(T11,0.5)</f>
        <v>3</v>
      </c>
      <c r="V11" s="103">
        <f>U11*S11</f>
        <v>24</v>
      </c>
      <c r="W11" s="140">
        <v>4.45627705627706</v>
      </c>
      <c r="X11" s="141">
        <f>($W$1/1000)*W11*V11</f>
        <v>26737.662337662361</v>
      </c>
      <c r="Z11" s="151"/>
      <c r="AA11" s="60"/>
      <c r="AB11" s="60"/>
    </row>
    <row r="12" ht="20.1" customHeight="1">
      <c r="A12" s="694" t="s">
        <v>380</v>
      </c>
      <c r="B12" s="694"/>
      <c r="C12" s="694"/>
      <c r="D12" s="694"/>
      <c r="E12" s="694"/>
      <c r="F12" s="694"/>
      <c r="G12" s="695">
        <f>IF(L11&gt;2,4,IF(L11=2,2))</f>
        <v>4</v>
      </c>
      <c r="H12" s="695"/>
      <c r="I12" s="696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247</v>
      </c>
      <c r="J12" s="696"/>
      <c r="K12" s="106"/>
      <c r="P12" s="103">
        <f>IF(I12&lt;=300,3,0)</f>
        <v>3</v>
      </c>
      <c r="Q12" s="103">
        <f>IF(I12&gt;300,3.5,0)</f>
        <v>0</v>
      </c>
      <c r="R12" s="103">
        <f>IF(I12&gt;350,4,0)</f>
        <v>0</v>
      </c>
      <c r="S12" s="103">
        <f>MAX(P12:R12)</f>
        <v>3</v>
      </c>
      <c r="T12" s="139">
        <f>(G12*I12)/S12/100</f>
        <v>3.293333333333333</v>
      </c>
      <c r="U12" s="103">
        <f ref="U12:U21" t="shared" si="0">CEILING(T12,0.25)</f>
        <v>3.5</v>
      </c>
      <c r="V12" s="103">
        <f ref="V12:V20" t="shared" si="1">G12*S12</f>
        <v>12</v>
      </c>
      <c r="W12" s="140">
        <v>1.86378737541528</v>
      </c>
      <c r="X12" s="141">
        <f>($W$1/1000)*W12*V12</f>
        <v>5591.36212624584</v>
      </c>
      <c r="Z12" s="151"/>
      <c r="AA12" s="60"/>
      <c r="AB12" s="60"/>
    </row>
    <row r="13" ht="20.1" customHeight="1">
      <c r="A13" s="694" t="s">
        <v>381</v>
      </c>
      <c r="B13" s="694"/>
      <c r="C13" s="694"/>
      <c r="D13" s="694"/>
      <c r="E13" s="694"/>
      <c r="F13" s="694"/>
      <c r="G13" s="695" t="str">
        <f>IF(L11&lt;=3,"0",(L11-3)*2)</f>
        <v>0</v>
      </c>
      <c r="H13" s="695"/>
      <c r="I13" s="696">
        <f>IF(G13="-------","-------",L17-5)</f>
        <v>240.5</v>
      </c>
      <c r="J13" s="696"/>
      <c r="K13" s="106"/>
      <c r="L13" s="697" t="s">
        <v>282</v>
      </c>
      <c r="M13" s="697"/>
      <c r="N13" s="697"/>
      <c r="O13" s="108"/>
      <c r="P13" s="103">
        <f ref="P13:P20" t="shared" si="2">IF(I13&lt;=300,3,0)</f>
        <v>3</v>
      </c>
      <c r="Q13" s="103">
        <f ref="Q13:Q20" t="shared" si="3">IF(I13&gt;300,3.5,0)</f>
        <v>0</v>
      </c>
      <c r="R13" s="103">
        <f ref="R13:R20" t="shared" si="4">IF(I13&gt;350,4,0)</f>
        <v>0</v>
      </c>
      <c r="S13" s="103">
        <f ref="S13:S20" t="shared" si="5">MAX(P13:R13)</f>
        <v>3</v>
      </c>
      <c r="T13" s="139">
        <f ref="T13:T20" t="shared" si="6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7">($W$1/1000)*W13*V13</f>
        <v>0</v>
      </c>
      <c r="Z13" s="151"/>
      <c r="AA13" s="60"/>
      <c r="AB13" s="60"/>
    </row>
    <row r="14" ht="20.1" customHeight="1">
      <c r="A14" s="694" t="s">
        <v>382</v>
      </c>
      <c r="B14" s="694"/>
      <c r="C14" s="694"/>
      <c r="D14" s="694"/>
      <c r="E14" s="694"/>
      <c r="F14" s="694"/>
      <c r="G14" s="695">
        <f>IF(L11&gt;2,2*L14,IF(L11=2,L14))</f>
        <v>24</v>
      </c>
      <c r="H14" s="695"/>
      <c r="I14" s="696">
        <f>I12</f>
        <v>247</v>
      </c>
      <c r="J14" s="696"/>
      <c r="K14" s="106"/>
      <c r="L14" s="109">
        <f>تسجيل1!H28</f>
        <v>12</v>
      </c>
      <c r="M14" s="110" t="s">
        <v>286</v>
      </c>
      <c r="N14" s="109">
        <v>2</v>
      </c>
      <c r="O14" s="111"/>
      <c r="P14" s="103">
        <f t="shared" si="2"/>
        <v>3</v>
      </c>
      <c r="Q14" s="103">
        <f t="shared" si="3"/>
        <v>0</v>
      </c>
      <c r="R14" s="103">
        <f t="shared" si="4"/>
        <v>0</v>
      </c>
      <c r="S14" s="103">
        <f t="shared" si="5"/>
        <v>3</v>
      </c>
      <c r="T14" s="139">
        <f t="shared" si="6"/>
        <v>19.76</v>
      </c>
      <c r="U14" s="103">
        <f>CEILING(T14,0.5)</f>
        <v>20</v>
      </c>
      <c r="V14" s="103">
        <f t="shared" si="1"/>
        <v>72</v>
      </c>
      <c r="W14" s="140">
        <v>1.05172413793103</v>
      </c>
      <c r="X14" s="141">
        <f t="shared" si="7"/>
        <v>18931.034482758543</v>
      </c>
      <c r="Z14" s="151"/>
      <c r="AA14" s="60"/>
      <c r="AB14" s="60"/>
    </row>
    <row r="15" ht="20.1" customHeight="1">
      <c r="A15" s="694" t="s">
        <v>383</v>
      </c>
      <c r="B15" s="694"/>
      <c r="C15" s="694"/>
      <c r="D15" s="694"/>
      <c r="E15" s="694"/>
      <c r="F15" s="694"/>
      <c r="G15" s="695" t="str">
        <f>IF(L11&lt;=3,"0",(L11-3)*L14)</f>
        <v>0</v>
      </c>
      <c r="H15" s="695"/>
      <c r="I15" s="696">
        <f>IF(G15="-------","---------",I13)</f>
        <v>240.5</v>
      </c>
      <c r="J15" s="696"/>
      <c r="K15" s="106"/>
      <c r="L15" s="106"/>
      <c r="M15" s="106"/>
      <c r="N15" s="106"/>
      <c r="O15" s="106"/>
      <c r="P15" s="103">
        <f t="shared" si="2"/>
        <v>3</v>
      </c>
      <c r="Q15" s="103">
        <f t="shared" si="3"/>
        <v>0</v>
      </c>
      <c r="R15" s="103">
        <f t="shared" si="4"/>
        <v>0</v>
      </c>
      <c r="S15" s="103">
        <f t="shared" si="5"/>
        <v>3</v>
      </c>
      <c r="T15" s="139">
        <f t="shared" si="6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7"/>
        <v>0</v>
      </c>
      <c r="Z15" s="151"/>
      <c r="AA15" s="60"/>
      <c r="AB15" s="60"/>
    </row>
    <row r="16" ht="20.1" customHeight="1">
      <c r="A16" s="694" t="s">
        <v>384</v>
      </c>
      <c r="B16" s="694"/>
      <c r="C16" s="694"/>
      <c r="D16" s="694"/>
      <c r="E16" s="694"/>
      <c r="F16" s="694"/>
      <c r="G16" s="695">
        <v>1</v>
      </c>
      <c r="H16" s="695"/>
      <c r="I16" s="696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248.5</v>
      </c>
      <c r="J16" s="696"/>
      <c r="K16" s="106"/>
      <c r="L16" s="698" t="s">
        <v>385</v>
      </c>
      <c r="M16" s="698"/>
      <c r="N16" s="698"/>
      <c r="O16" s="111"/>
      <c r="P16" s="103">
        <f t="shared" si="2"/>
        <v>3</v>
      </c>
      <c r="Q16" s="103">
        <f t="shared" si="3"/>
        <v>0</v>
      </c>
      <c r="R16" s="103">
        <f t="shared" si="4"/>
        <v>0</v>
      </c>
      <c r="S16" s="103">
        <f t="shared" si="5"/>
        <v>3</v>
      </c>
      <c r="T16" s="139">
        <f t="shared" si="6"/>
        <v>0.82833333333333325</v>
      </c>
      <c r="U16" s="103">
        <f>CEILING(T16,0.5)</f>
        <v>1</v>
      </c>
      <c r="V16" s="103">
        <f t="shared" si="1"/>
        <v>3</v>
      </c>
      <c r="W16" s="140">
        <v>1.3948717948718</v>
      </c>
      <c r="X16" s="141">
        <f t="shared" si="7"/>
        <v>1046.1538461538498</v>
      </c>
      <c r="Z16" s="151"/>
      <c r="AA16" s="60"/>
      <c r="AB16" s="60"/>
    </row>
    <row r="17" ht="20.1" customHeight="1">
      <c r="A17" s="694" t="s">
        <v>386</v>
      </c>
      <c r="B17" s="694"/>
      <c r="C17" s="694"/>
      <c r="D17" s="694"/>
      <c r="E17" s="694"/>
      <c r="F17" s="694"/>
      <c r="G17" s="695">
        <f>IF(L11=2,"0",1)</f>
        <v>1</v>
      </c>
      <c r="H17" s="695"/>
      <c r="I17" s="696">
        <f>IF(G17="-------","-------",IF(Format!A7=1,(L17+3),IF(Format!A7=2,(L17+3.5),IF(Format!A7=3,(L17+3),IF(Format!A7=4,(L17+4.25),IF(Format!A7=5,(L17+5),"--------"))))))</f>
        <v>249</v>
      </c>
      <c r="J17" s="696"/>
      <c r="K17" s="106"/>
      <c r="L17" s="699">
        <f>IF(Format!A7=1,(K6-2-6)/(L11-1),IF(Format!A7=2,(K6-2-7)/(L11-1),IF(Format!A7=3,(K6-2-6)/(L11-1),IF(Format!A7=4,(K6-2-8.5)/(L11-1),IF(Format!A7=5,(K6-2-10)/(L11-1),"--------")))))</f>
        <v>245.5</v>
      </c>
      <c r="M17" s="699"/>
      <c r="N17" s="699"/>
      <c r="O17" s="113"/>
      <c r="P17" s="103">
        <f t="shared" si="2"/>
        <v>3</v>
      </c>
      <c r="Q17" s="103">
        <f t="shared" si="3"/>
        <v>0</v>
      </c>
      <c r="R17" s="103">
        <f t="shared" si="4"/>
        <v>0</v>
      </c>
      <c r="S17" s="103">
        <f t="shared" si="5"/>
        <v>3</v>
      </c>
      <c r="T17" s="139">
        <f t="shared" si="6"/>
        <v>0.83</v>
      </c>
      <c r="U17" s="103">
        <f>CEILING(T17,0.5)</f>
        <v>1</v>
      </c>
      <c r="V17" s="103">
        <f t="shared" si="1"/>
        <v>3</v>
      </c>
      <c r="W17" s="140">
        <v>1.3948717948718</v>
      </c>
      <c r="X17" s="141">
        <f t="shared" si="7"/>
        <v>1046.1538461538498</v>
      </c>
      <c r="Z17" s="151"/>
      <c r="AA17" s="60"/>
      <c r="AB17" s="60"/>
    </row>
    <row r="18" ht="20.1" customHeight="1">
      <c r="A18" s="694" t="s">
        <v>387</v>
      </c>
      <c r="B18" s="694"/>
      <c r="C18" s="694"/>
      <c r="D18" s="694"/>
      <c r="E18" s="694"/>
      <c r="F18" s="694"/>
      <c r="G18" s="695" t="str">
        <f>IF(L11&lt;=3,"0",(L11-3))</f>
        <v>0</v>
      </c>
      <c r="H18" s="695"/>
      <c r="I18" s="696">
        <f>IF(G18="-------","-------",L17)</f>
        <v>245.5</v>
      </c>
      <c r="J18" s="696"/>
      <c r="K18" s="106"/>
      <c r="L18" s="106"/>
      <c r="M18" s="106"/>
      <c r="N18" s="106"/>
      <c r="O18" s="106"/>
      <c r="P18" s="103">
        <f t="shared" si="2"/>
        <v>3</v>
      </c>
      <c r="Q18" s="103">
        <f t="shared" si="3"/>
        <v>0</v>
      </c>
      <c r="R18" s="103">
        <f t="shared" si="4"/>
        <v>0</v>
      </c>
      <c r="S18" s="103">
        <f t="shared" si="5"/>
        <v>3</v>
      </c>
      <c r="T18" s="139">
        <f t="shared" si="6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7"/>
        <v>0</v>
      </c>
      <c r="Z18" s="151"/>
      <c r="AA18" s="60"/>
      <c r="AB18" s="60"/>
    </row>
    <row r="19" ht="20.1" customHeight="1">
      <c r="A19" s="694" t="str">
        <f>IF(Format!H4=1,"Balloon","-------")</f>
        <v>-------</v>
      </c>
      <c r="B19" s="694"/>
      <c r="C19" s="694"/>
      <c r="D19" s="694"/>
      <c r="E19" s="694"/>
      <c r="F19" s="694"/>
      <c r="G19" s="695" t="str">
        <f>IF([1]Format!H4=1,'[1]تقطيع البرجولة'!L14,"0")</f>
        <v>0</v>
      </c>
      <c r="H19" s="695"/>
      <c r="I19" s="696">
        <f>IF(G19="-------","-------",K6-2.5)</f>
        <v>497.5</v>
      </c>
      <c r="J19" s="696"/>
      <c r="K19" s="106"/>
      <c r="L19" s="700" t="s">
        <v>311</v>
      </c>
      <c r="M19" s="701"/>
      <c r="N19" s="702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 t="shared" si="5"/>
        <v>4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03" t="s">
        <v>388</v>
      </c>
      <c r="B20" s="704"/>
      <c r="C20" s="704"/>
      <c r="D20" s="704"/>
      <c r="E20" s="704"/>
      <c r="F20" s="705"/>
      <c r="G20" s="703">
        <f>(G12+G13)/2</f>
        <v>2</v>
      </c>
      <c r="H20" s="704"/>
      <c r="I20" s="696">
        <f>L17-7</f>
        <v>238.5</v>
      </c>
      <c r="J20" s="696"/>
      <c r="K20" s="106"/>
      <c r="L20" s="114" t="s">
        <v>372</v>
      </c>
      <c r="M20" s="706" t="s">
        <v>389</v>
      </c>
      <c r="N20" s="706"/>
      <c r="O20" s="115"/>
      <c r="P20" s="103">
        <f t="shared" si="2"/>
        <v>3</v>
      </c>
      <c r="Q20" s="103">
        <f t="shared" si="3"/>
        <v>0</v>
      </c>
      <c r="R20" s="103">
        <f t="shared" si="4"/>
        <v>0</v>
      </c>
      <c r="S20" s="103">
        <f t="shared" si="5"/>
        <v>3</v>
      </c>
      <c r="T20" s="139">
        <f t="shared" si="6"/>
        <v>1.59</v>
      </c>
      <c r="U20" s="103">
        <f t="shared" si="0"/>
        <v>1.75</v>
      </c>
      <c r="V20" s="103">
        <f t="shared" si="1"/>
        <v>6</v>
      </c>
      <c r="W20" s="103">
        <v>1.65</v>
      </c>
      <c r="X20" s="141">
        <f t="shared" si="7"/>
        <v>2475</v>
      </c>
      <c r="Z20" s="151"/>
      <c r="AA20" s="60"/>
      <c r="AB20" s="60"/>
    </row>
    <row r="21" ht="20.1" customHeight="1">
      <c r="A21" s="707" t="s">
        <v>390</v>
      </c>
      <c r="B21" s="707"/>
      <c r="C21" s="707"/>
      <c r="D21" s="707"/>
      <c r="E21" s="707"/>
      <c r="F21" s="707"/>
      <c r="G21" s="708">
        <f>L11</f>
        <v>3</v>
      </c>
      <c r="H21" s="708"/>
      <c r="I21" s="709">
        <f>(I11*2)+45</f>
        <v>1575</v>
      </c>
      <c r="J21" s="709"/>
      <c r="K21" s="106"/>
      <c r="L21" s="112">
        <f>IF(Format!E7=1,"-------",IF(Format!E7=5,"-------",تسجيل1!H30))</f>
        <v>3</v>
      </c>
      <c r="M21" s="698" t="str">
        <f>IF(L21="-------","-------",تسجيل1!D11)</f>
        <v>4Χ220- 1Χ250</v>
      </c>
      <c r="N21" s="698"/>
      <c r="O21" s="111"/>
      <c r="P21" s="64"/>
      <c r="Q21" s="64"/>
      <c r="R21" s="64"/>
      <c r="S21" s="142">
        <v>1</v>
      </c>
      <c r="T21" s="143">
        <f>(G21*I21)/100</f>
        <v>47.25</v>
      </c>
      <c r="U21" s="142">
        <f t="shared" si="0"/>
        <v>47.25</v>
      </c>
      <c r="V21" s="142">
        <f>U21*S21</f>
        <v>47.25</v>
      </c>
      <c r="W21" s="142">
        <f>Sheet2!B17</f>
        <v>200</v>
      </c>
      <c r="X21" s="144">
        <f>W21*V21</f>
        <v>9450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62802.366638974447</v>
      </c>
      <c r="Z22" s="151"/>
      <c r="AA22" s="60"/>
      <c r="AB22" s="60"/>
    </row>
    <row r="23" ht="20.1" customHeight="1">
      <c r="A23" s="710" t="s">
        <v>391</v>
      </c>
      <c r="B23" s="711"/>
      <c r="C23" s="711"/>
      <c r="D23" s="711"/>
      <c r="E23" s="712"/>
      <c r="F23" s="67" t="s">
        <v>392</v>
      </c>
      <c r="G23" s="68"/>
      <c r="H23" s="710" t="s">
        <v>393</v>
      </c>
      <c r="I23" s="711"/>
      <c r="J23" s="711"/>
      <c r="K23" s="711"/>
      <c r="L23" s="712"/>
      <c r="M23" s="67" t="s">
        <v>372</v>
      </c>
      <c r="N23" s="119"/>
      <c r="O23" s="119"/>
      <c r="P23" s="120"/>
      <c r="Q23" s="120"/>
      <c r="R23" s="120"/>
      <c r="S23" s="146"/>
      <c r="T23" s="147" t="s">
        <v>394</v>
      </c>
      <c r="U23" s="146" t="s">
        <v>395</v>
      </c>
      <c r="V23" s="146" t="s">
        <v>396</v>
      </c>
      <c r="W23" s="146" t="s">
        <v>397</v>
      </c>
      <c r="X23" s="146" t="s">
        <v>395</v>
      </c>
      <c r="Y23" s="146" t="s">
        <v>396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13" t="s">
        <v>398</v>
      </c>
      <c r="C24" s="713"/>
      <c r="D24" s="713"/>
      <c r="E24" s="713"/>
      <c r="F24" s="70">
        <f>L11</f>
        <v>3</v>
      </c>
      <c r="G24" s="71"/>
      <c r="H24" s="69">
        <v>16</v>
      </c>
      <c r="I24" s="713" t="s">
        <v>299</v>
      </c>
      <c r="J24" s="713"/>
      <c r="K24" s="713"/>
      <c r="L24" s="713"/>
      <c r="M24" s="70">
        <f>IF(K7&lt;=65,1,2)</f>
        <v>1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IF((K7&lt;40),Sheet2!B33,IF(K7&gt;=40,Sheet2!B55,0))</f>
        <v>23000</v>
      </c>
      <c r="Z24" s="151"/>
      <c r="AA24" s="60">
        <f>V24*F24</f>
        <v>390</v>
      </c>
      <c r="AB24" s="60">
        <f>Y24*M24</f>
        <v>23000</v>
      </c>
    </row>
    <row r="25" ht="20.1" customHeight="1">
      <c r="A25" s="72">
        <v>2</v>
      </c>
      <c r="B25" s="714" t="s">
        <v>399</v>
      </c>
      <c r="C25" s="714"/>
      <c r="D25" s="714"/>
      <c r="E25" s="714"/>
      <c r="F25" s="73">
        <f>L11</f>
        <v>3</v>
      </c>
      <c r="G25" s="71"/>
      <c r="H25" s="72">
        <v>17</v>
      </c>
      <c r="I25" s="714" t="s">
        <v>231</v>
      </c>
      <c r="J25" s="714"/>
      <c r="K25" s="714"/>
      <c r="L25" s="714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66</v>
      </c>
      <c r="AB25" s="60">
        <f ref="AB25:AB38" t="shared" si="11">Y25*M25</f>
        <v>2000</v>
      </c>
    </row>
    <row r="26" ht="20.1" customHeight="1">
      <c r="A26" s="72">
        <v>3</v>
      </c>
      <c r="B26" s="714" t="s">
        <v>400</v>
      </c>
      <c r="C26" s="714"/>
      <c r="D26" s="714"/>
      <c r="E26" s="714"/>
      <c r="F26" s="73">
        <f>M24</f>
        <v>1</v>
      </c>
      <c r="G26" s="71"/>
      <c r="H26" s="72">
        <v>18</v>
      </c>
      <c r="I26" s="714" t="s">
        <v>401</v>
      </c>
      <c r="J26" s="714"/>
      <c r="K26" s="714"/>
      <c r="L26" s="714"/>
      <c r="M26" s="73">
        <f>(F24*2)-M27</f>
        <v>5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11"/>
        <v>265</v>
      </c>
    </row>
    <row r="27" ht="20.1" customHeight="1">
      <c r="A27" s="72">
        <v>4</v>
      </c>
      <c r="B27" s="715" t="s">
        <v>402</v>
      </c>
      <c r="C27" s="716"/>
      <c r="D27" s="716"/>
      <c r="E27" s="717"/>
      <c r="F27" s="73">
        <v>4</v>
      </c>
      <c r="G27" s="71"/>
      <c r="H27" s="72">
        <v>19</v>
      </c>
      <c r="I27" s="714" t="s">
        <v>403</v>
      </c>
      <c r="J27" s="714"/>
      <c r="K27" s="714"/>
      <c r="L27" s="714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11"/>
        <v>82</v>
      </c>
    </row>
    <row r="28" ht="20.1" customHeight="1">
      <c r="A28" s="72">
        <v>5</v>
      </c>
      <c r="B28" s="715" t="s">
        <v>404</v>
      </c>
      <c r="C28" s="716"/>
      <c r="D28" s="716"/>
      <c r="E28" s="717"/>
      <c r="F28" s="73">
        <f>L14</f>
        <v>12</v>
      </c>
      <c r="G28" s="71"/>
      <c r="H28" s="72">
        <v>20</v>
      </c>
      <c r="I28" s="714" t="s">
        <v>405</v>
      </c>
      <c r="J28" s="714"/>
      <c r="K28" s="714"/>
      <c r="L28" s="714"/>
      <c r="M28" s="73">
        <f>IF(I11&gt;700,G11,0)</f>
        <v>3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0"/>
        <v>36</v>
      </c>
      <c r="AB28" s="60">
        <f t="shared" si="11"/>
        <v>1320</v>
      </c>
    </row>
    <row r="29" ht="20.1" customHeight="1">
      <c r="A29" s="72">
        <v>6</v>
      </c>
      <c r="B29" s="715" t="s">
        <v>406</v>
      </c>
      <c r="C29" s="716"/>
      <c r="D29" s="716"/>
      <c r="E29" s="717"/>
      <c r="F29" s="73">
        <f>L11*2</f>
        <v>6</v>
      </c>
      <c r="G29" s="71"/>
      <c r="H29" s="72">
        <v>21</v>
      </c>
      <c r="I29" s="714" t="s">
        <v>232</v>
      </c>
      <c r="J29" s="714"/>
      <c r="K29" s="714"/>
      <c r="L29" s="714"/>
      <c r="M29" s="122">
        <f>F24</f>
        <v>3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1500</v>
      </c>
      <c r="Z29" s="151"/>
      <c r="AA29" s="60">
        <f t="shared" si="10"/>
        <v>12</v>
      </c>
      <c r="AB29" s="60">
        <f t="shared" si="11"/>
        <v>4500</v>
      </c>
    </row>
    <row r="30" ht="20.1" customHeight="1">
      <c r="A30" s="72">
        <v>7</v>
      </c>
      <c r="B30" s="715" t="s">
        <v>407</v>
      </c>
      <c r="C30" s="716"/>
      <c r="D30" s="716"/>
      <c r="E30" s="717"/>
      <c r="F30" s="73">
        <f>L14*L11</f>
        <v>36</v>
      </c>
      <c r="G30" s="71"/>
      <c r="H30" s="72">
        <v>22</v>
      </c>
      <c r="I30" s="714" t="s">
        <v>233</v>
      </c>
      <c r="J30" s="714"/>
      <c r="K30" s="714"/>
      <c r="L30" s="714"/>
      <c r="M30" s="122">
        <f>F24</f>
        <v>3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1500</v>
      </c>
      <c r="Z30" s="151"/>
      <c r="AA30" s="60">
        <f t="shared" si="10"/>
        <v>72</v>
      </c>
      <c r="AB30" s="60">
        <f t="shared" si="11"/>
        <v>4500</v>
      </c>
    </row>
    <row r="31" ht="20.1" customHeight="1">
      <c r="A31" s="72">
        <v>8</v>
      </c>
      <c r="B31" s="715" t="s">
        <v>408</v>
      </c>
      <c r="C31" s="716"/>
      <c r="D31" s="716"/>
      <c r="E31" s="717"/>
      <c r="F31" s="73">
        <f>(L14+N14)*2</f>
        <v>28</v>
      </c>
      <c r="G31" s="71"/>
      <c r="H31" s="72">
        <v>23</v>
      </c>
      <c r="I31" s="714" t="s">
        <v>409</v>
      </c>
      <c r="J31" s="714"/>
      <c r="K31" s="714"/>
      <c r="L31" s="714"/>
      <c r="M31" s="73">
        <f>F30</f>
        <v>36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0"/>
        <v>56</v>
      </c>
      <c r="AB31" s="60">
        <f t="shared" si="11"/>
        <v>2880</v>
      </c>
    </row>
    <row r="32" ht="20.1" customHeight="1">
      <c r="A32" s="72">
        <v>9</v>
      </c>
      <c r="B32" s="715" t="s">
        <v>410</v>
      </c>
      <c r="C32" s="716"/>
      <c r="D32" s="716"/>
      <c r="E32" s="717"/>
      <c r="F32" s="73">
        <f>(L14+N14)*2</f>
        <v>28</v>
      </c>
      <c r="G32" s="71"/>
      <c r="H32" s="72">
        <v>24</v>
      </c>
      <c r="I32" s="714" t="s">
        <v>411</v>
      </c>
      <c r="J32" s="714"/>
      <c r="K32" s="714"/>
      <c r="L32" s="714"/>
      <c r="M32" s="122">
        <f>F24</f>
        <v>3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140</v>
      </c>
      <c r="AB32" s="60">
        <f t="shared" si="11"/>
        <v>270</v>
      </c>
    </row>
    <row r="33" ht="20.1" customHeight="1" s="58" customFormat="1">
      <c r="A33" s="72">
        <v>10</v>
      </c>
      <c r="B33" s="715" t="s">
        <v>412</v>
      </c>
      <c r="C33" s="716"/>
      <c r="D33" s="716"/>
      <c r="E33" s="717"/>
      <c r="F33" s="73">
        <f>L11*3</f>
        <v>9</v>
      </c>
      <c r="G33" s="71"/>
      <c r="H33" s="72">
        <v>25</v>
      </c>
      <c r="I33" s="714" t="s">
        <v>413</v>
      </c>
      <c r="J33" s="714"/>
      <c r="K33" s="714"/>
      <c r="L33" s="714"/>
      <c r="M33" s="73">
        <f>F24</f>
        <v>3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0"/>
        <v>31.5</v>
      </c>
      <c r="AB33" s="60">
        <f t="shared" si="11"/>
        <v>495</v>
      </c>
    </row>
    <row r="34" ht="20.1" customHeight="1" s="58" customFormat="1">
      <c r="A34" s="72">
        <v>11</v>
      </c>
      <c r="B34" s="715" t="s">
        <v>414</v>
      </c>
      <c r="C34" s="716"/>
      <c r="D34" s="716"/>
      <c r="E34" s="717"/>
      <c r="F34" s="73">
        <f>L11*3</f>
        <v>9</v>
      </c>
      <c r="G34" s="71"/>
      <c r="H34" s="72">
        <v>26</v>
      </c>
      <c r="I34" s="714" t="s">
        <v>234</v>
      </c>
      <c r="J34" s="714"/>
      <c r="K34" s="714"/>
      <c r="L34" s="714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0"/>
        <v>31.5</v>
      </c>
      <c r="AB34" s="60">
        <f t="shared" si="11"/>
        <v>0</v>
      </c>
    </row>
    <row r="35" ht="20.1" customHeight="1" s="58" customFormat="1">
      <c r="A35" s="72">
        <v>12</v>
      </c>
      <c r="B35" s="715" t="s">
        <v>415</v>
      </c>
      <c r="C35" s="716"/>
      <c r="D35" s="716"/>
      <c r="E35" s="717"/>
      <c r="F35" s="73">
        <f>IF(L11&gt;2,(L11-2)*2,"0")</f>
        <v>2</v>
      </c>
      <c r="G35" s="74"/>
      <c r="H35" s="72">
        <v>27</v>
      </c>
      <c r="I35" s="714" t="s">
        <v>235</v>
      </c>
      <c r="J35" s="714"/>
      <c r="K35" s="714"/>
      <c r="L35" s="714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0"/>
        <v>90</v>
      </c>
      <c r="AB35" s="60">
        <f t="shared" si="11"/>
        <v>0</v>
      </c>
    </row>
    <row r="36" ht="20.1" customHeight="1" s="58" customFormat="1">
      <c r="A36" s="72">
        <v>13</v>
      </c>
      <c r="B36" s="715" t="s">
        <v>416</v>
      </c>
      <c r="C36" s="716"/>
      <c r="D36" s="716"/>
      <c r="E36" s="717"/>
      <c r="F36" s="73">
        <f>IF(L11&gt;2,(L11-2)*L14,"0")</f>
        <v>12</v>
      </c>
      <c r="G36" s="74"/>
      <c r="H36" s="72">
        <v>28</v>
      </c>
      <c r="I36" s="714" t="s">
        <v>417</v>
      </c>
      <c r="J36" s="714"/>
      <c r="K36" s="714"/>
      <c r="L36" s="714"/>
      <c r="M36" s="73">
        <f>G20</f>
        <v>2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0"/>
        <v>360</v>
      </c>
      <c r="AB36" s="60">
        <f t="shared" si="11"/>
        <v>200</v>
      </c>
    </row>
    <row r="37" ht="20.1" customHeight="1" s="58" customFormat="1">
      <c r="A37" s="72">
        <v>14</v>
      </c>
      <c r="B37" s="715" t="s">
        <v>418</v>
      </c>
      <c r="C37" s="716"/>
      <c r="D37" s="716"/>
      <c r="E37" s="717"/>
      <c r="F37" s="73">
        <f>M24</f>
        <v>1</v>
      </c>
      <c r="G37" s="74"/>
      <c r="H37" s="72">
        <v>29</v>
      </c>
      <c r="I37" s="714" t="s">
        <v>419</v>
      </c>
      <c r="J37" s="714"/>
      <c r="K37" s="714"/>
      <c r="L37" s="714"/>
      <c r="M37" s="73">
        <f>F24</f>
        <v>3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11"/>
        <v>135</v>
      </c>
    </row>
    <row r="38" ht="18.6" customHeight="1" s="58" customFormat="1">
      <c r="A38" s="72">
        <v>15</v>
      </c>
      <c r="B38" s="714" t="s">
        <v>236</v>
      </c>
      <c r="C38" s="714"/>
      <c r="D38" s="714"/>
      <c r="E38" s="714"/>
      <c r="F38" s="73">
        <f>تسجيل1!C21</f>
        <v>20</v>
      </c>
      <c r="G38" s="74"/>
      <c r="H38" s="72">
        <v>30</v>
      </c>
      <c r="I38" s="714" t="s">
        <v>420</v>
      </c>
      <c r="J38" s="714"/>
      <c r="K38" s="714"/>
      <c r="L38" s="714"/>
      <c r="M38" s="73">
        <f>(I11*4)/100</f>
        <v>30.6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150</v>
      </c>
      <c r="W38" s="60" t="str">
        <f t="shared" si="9"/>
        <v>مانع المياه للبروفيل</v>
      </c>
      <c r="X38" s="148"/>
      <c r="Y38" s="148">
        <v>10</v>
      </c>
      <c r="Z38" s="151"/>
      <c r="AA38" s="60">
        <f t="shared" si="10"/>
        <v>3000</v>
      </c>
      <c r="AB38" s="60">
        <f t="shared" si="11"/>
        <v>306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739">
        <f>SUM(AA24:AB38)</f>
        <v>44315</v>
      </c>
      <c r="AB39" s="739"/>
    </row>
    <row r="40" ht="20.45" customHeight="1" s="58" customFormat="1">
      <c r="A40" s="749" t="s">
        <v>421</v>
      </c>
      <c r="B40" s="750"/>
      <c r="C40" s="750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739"/>
      <c r="AB40" s="739"/>
    </row>
    <row r="41" ht="18.75" customHeight="1" s="58" customFormat="1">
      <c r="A41" s="740" t="str">
        <f>IF(Format!I5=1,"-------",IF(Format!I5=2,Format!I3,Format!I4))</f>
        <v>صونفي </v>
      </c>
      <c r="B41" s="741"/>
      <c r="C41" s="742"/>
      <c r="D41" s="81"/>
      <c r="E41" s="81"/>
      <c r="F41" s="76"/>
      <c r="G41" s="68"/>
      <c r="H41" s="75"/>
      <c r="I41" s="81"/>
      <c r="J41" s="81"/>
      <c r="K41" s="81"/>
      <c r="L41" s="751" t="s">
        <v>292</v>
      </c>
      <c r="M41" s="752"/>
      <c r="N41" s="753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54">
        <f>AA39+X22+U8</f>
        <v>119829.89063897445</v>
      </c>
      <c r="AB41" s="754"/>
    </row>
    <row r="42" ht="13.9" customHeight="1" s="58" customFormat="1">
      <c r="A42" s="740"/>
      <c r="B42" s="741"/>
      <c r="C42" s="742"/>
      <c r="D42" s="10"/>
      <c r="E42" s="10"/>
      <c r="F42" s="10"/>
      <c r="G42" s="10"/>
      <c r="H42" s="10"/>
      <c r="I42" s="10"/>
      <c r="J42" s="10"/>
      <c r="K42" s="10"/>
      <c r="L42" s="718" t="str">
        <f>IF(Format!B5=1,Format!B2,IF(Format!B5=2,Format!B3,تسجيل1!F4))</f>
        <v>بيج  Ral 1013</v>
      </c>
      <c r="M42" s="719"/>
      <c r="N42" s="720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21" t="str">
        <f>IF(Format!P5=1,"Τηλεχειρισμος",IF(Format!P5=2,"-------","Διακοπτης"))</f>
        <v>Τηλεχειρισμος</v>
      </c>
      <c r="B43" s="722"/>
      <c r="C43" s="723"/>
      <c r="D43" s="10"/>
      <c r="E43" s="10"/>
      <c r="F43" s="10"/>
      <c r="G43" s="10"/>
      <c r="H43" s="10"/>
      <c r="I43" s="10"/>
      <c r="J43" s="10"/>
      <c r="K43" s="10"/>
      <c r="L43" s="724" t="s">
        <v>293</v>
      </c>
      <c r="M43" s="725"/>
      <c r="N43" s="726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27" t="str">
        <f>IF(Format!C8=1,Format!C2,IF(Format!C8=2,Format!C3,IF(Format!C8=3,Format!C4,IF(Format!C8=4,Format!C5,IF(Format!C8=5,Format!C6,تسجيل1!F5)))))</f>
        <v>بيج  Ral 1013</v>
      </c>
      <c r="M44" s="728"/>
      <c r="N44" s="729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30" t="str">
        <f>A3</f>
        <v>اسم العميل </v>
      </c>
      <c r="B96" s="731"/>
      <c r="C96" s="731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499</v>
      </c>
      <c r="L97" s="177" t="str">
        <f>M8</f>
        <v>Χ</v>
      </c>
      <c r="M97" s="732">
        <f>N8</f>
        <v>772</v>
      </c>
      <c r="N97" s="733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34" t="str">
        <f>L44</f>
        <v>بيج  Ral 1013</v>
      </c>
      <c r="K98" s="735"/>
      <c r="L98" s="735"/>
      <c r="M98" s="735"/>
      <c r="N98" s="736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6"/>
  <dimension ref="A1:S30"/>
  <sheetViews>
    <sheetView zoomScale="85" zoomScaleNormal="85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48" t="s">
        <v>422</v>
      </c>
      <c r="K1" s="648"/>
      <c r="L1" s="648"/>
      <c r="M1" s="648"/>
      <c r="N1" s="648"/>
      <c r="O1" s="648"/>
      <c r="P1" s="648"/>
      <c r="Q1" s="648"/>
      <c r="R1" s="648"/>
      <c r="S1" s="648"/>
    </row>
    <row r="2" ht="18" customHeight="1">
      <c r="A2" s="11" t="s">
        <v>360</v>
      </c>
      <c r="B2" s="637">
        <f>Royal!C3</f>
        <v>0</v>
      </c>
      <c r="C2" s="638"/>
      <c r="D2" s="638"/>
      <c r="E2" s="638"/>
      <c r="F2" s="639"/>
      <c r="G2" s="1">
        <v>2</v>
      </c>
      <c r="J2" s="648"/>
      <c r="K2" s="648"/>
      <c r="L2" s="648"/>
      <c r="M2" s="648"/>
      <c r="N2" s="648"/>
      <c r="O2" s="648"/>
      <c r="P2" s="648"/>
      <c r="Q2" s="648"/>
      <c r="R2" s="648"/>
      <c r="S2" s="648"/>
    </row>
    <row r="3" ht="18" customHeight="1">
      <c r="A3" s="11" t="s">
        <v>423</v>
      </c>
      <c r="F3" s="640" t="s">
        <v>424</v>
      </c>
      <c r="G3" s="640"/>
    </row>
    <row r="4" ht="18" customHeight="1">
      <c r="A4" s="11" t="s">
        <v>292</v>
      </c>
      <c r="F4" s="641" t="s">
        <v>425</v>
      </c>
      <c r="G4" s="642"/>
      <c r="H4" s="642"/>
      <c r="I4" s="643"/>
      <c r="J4" s="10"/>
    </row>
    <row r="5" ht="18" customHeight="1">
      <c r="A5" s="11" t="s">
        <v>293</v>
      </c>
      <c r="F5" s="644" t="s">
        <v>426</v>
      </c>
      <c r="G5" s="645"/>
      <c r="H5" s="645"/>
      <c r="I5" s="646"/>
      <c r="J5" s="10"/>
    </row>
    <row r="6" ht="18" customHeight="1">
      <c r="A6" s="11" t="s">
        <v>364</v>
      </c>
      <c r="Q6" s="647"/>
      <c r="R6" s="647"/>
      <c r="S6" s="647"/>
    </row>
    <row r="7" ht="18" customHeight="1">
      <c r="B7" s="180" t="s">
        <v>125</v>
      </c>
      <c r="C7" s="181">
        <f>تسعير!AA33</f>
        <v>1200</v>
      </c>
      <c r="D7" s="182" t="s">
        <v>427</v>
      </c>
      <c r="E7" s="183">
        <f>تسعير!X31</f>
        <v>800</v>
      </c>
    </row>
    <row r="8" ht="18" customHeight="1">
      <c r="F8" s="1">
        <v>5</v>
      </c>
    </row>
    <row r="9" ht="18" customHeight="1">
      <c r="A9" s="11" t="s">
        <v>294</v>
      </c>
    </row>
    <row r="10" ht="18" customHeight="1">
      <c r="A10" s="11" t="s">
        <v>295</v>
      </c>
    </row>
    <row r="11" ht="18" customHeight="1">
      <c r="A11" s="11" t="s">
        <v>311</v>
      </c>
      <c r="B11" s="649" t="s">
        <v>428</v>
      </c>
      <c r="C11" s="650"/>
      <c r="D11" s="645" t="s">
        <v>429</v>
      </c>
      <c r="E11" s="646"/>
    </row>
    <row r="12" ht="18" customHeight="1">
      <c r="A12" s="11" t="s">
        <v>296</v>
      </c>
    </row>
    <row r="13" ht="18" customHeight="1">
      <c r="A13" s="11" t="s">
        <v>430</v>
      </c>
    </row>
    <row r="14" ht="18" customHeight="1"/>
    <row r="15" ht="24.6" customHeight="1">
      <c r="A15" s="11" t="s">
        <v>299</v>
      </c>
      <c r="Q15" s="647"/>
      <c r="R15" s="647"/>
      <c r="S15" s="647"/>
    </row>
    <row r="16" ht="18" customHeight="1">
      <c r="C16" s="640" t="s">
        <v>431</v>
      </c>
      <c r="D16" s="640"/>
      <c r="E16" s="640"/>
      <c r="F16" s="1" t="s">
        <v>432</v>
      </c>
    </row>
    <row r="17" ht="18" customHeight="1">
      <c r="A17" s="640" t="s">
        <v>297</v>
      </c>
      <c r="B17" s="640"/>
      <c r="C17" s="640"/>
    </row>
    <row r="18" ht="18" customHeight="1">
      <c r="A18" s="651" t="s">
        <v>433</v>
      </c>
      <c r="B18" s="652"/>
      <c r="C18" s="14">
        <f>'Format Φωτισμου (2)'!B9</f>
        <v>5</v>
      </c>
    </row>
    <row r="19" ht="18" customHeight="1">
      <c r="A19" s="651" t="s">
        <v>434</v>
      </c>
      <c r="B19" s="652"/>
      <c r="C19" s="14">
        <f>'Format Φωτισμου (2)'!B12</f>
        <v>35</v>
      </c>
    </row>
    <row r="20" ht="18" customHeight="1">
      <c r="A20" s="651" t="s">
        <v>435</v>
      </c>
      <c r="B20" s="652"/>
      <c r="C20" s="14">
        <f>C19/C18</f>
        <v>7</v>
      </c>
    </row>
    <row r="21" ht="18" customHeight="1">
      <c r="A21" s="653" t="s">
        <v>436</v>
      </c>
      <c r="B21" s="654"/>
      <c r="C21" s="655">
        <v>20</v>
      </c>
      <c r="D21" s="656"/>
      <c r="E21" s="649" t="s">
        <v>437</v>
      </c>
      <c r="F21" s="650"/>
      <c r="G21" s="650"/>
      <c r="H21" s="14">
        <f>C21/C18</f>
        <v>4</v>
      </c>
      <c r="J21" s="658"/>
      <c r="K21" s="658"/>
      <c r="L21" s="658"/>
      <c r="M21" s="658"/>
      <c r="N21" s="658"/>
      <c r="O21" s="658"/>
      <c r="P21" s="658"/>
      <c r="Q21" s="658"/>
      <c r="R21" s="658"/>
      <c r="S21" s="658"/>
    </row>
    <row r="22" ht="18" customHeight="1">
      <c r="A22" s="651" t="s">
        <v>438</v>
      </c>
      <c r="B22" s="652"/>
      <c r="C22" s="179">
        <v>50</v>
      </c>
      <c r="D22" s="184" t="s">
        <v>439</v>
      </c>
      <c r="J22" s="658"/>
      <c r="K22" s="658"/>
      <c r="L22" s="658"/>
      <c r="M22" s="658"/>
      <c r="N22" s="658"/>
      <c r="O22" s="658"/>
      <c r="P22" s="658"/>
      <c r="Q22" s="658"/>
      <c r="R22" s="658"/>
      <c r="S22" s="658"/>
    </row>
    <row r="23" ht="18" customHeight="1">
      <c r="J23" s="658"/>
      <c r="K23" s="658"/>
      <c r="L23" s="658"/>
      <c r="M23" s="658"/>
      <c r="N23" s="658"/>
      <c r="O23" s="658"/>
      <c r="P23" s="658"/>
      <c r="Q23" s="658"/>
      <c r="R23" s="658"/>
      <c r="S23" s="658"/>
    </row>
    <row r="24" ht="18" customHeight="1"/>
    <row r="25" ht="18" customHeight="1">
      <c r="A25" s="11" t="s">
        <v>440</v>
      </c>
      <c r="J25" s="657"/>
      <c r="K25" s="657"/>
      <c r="L25" s="657"/>
      <c r="M25" s="657"/>
      <c r="N25" s="657"/>
      <c r="O25" s="657"/>
      <c r="P25" s="657"/>
      <c r="Q25" s="657"/>
      <c r="R25" s="15"/>
      <c r="S25" s="10"/>
    </row>
    <row r="26" ht="18" customHeight="1">
      <c r="G26" s="1" t="s">
        <v>441</v>
      </c>
      <c r="H26" s="1" t="s">
        <v>442</v>
      </c>
    </row>
    <row r="27" ht="18" customHeight="1">
      <c r="A27" s="11" t="s">
        <v>308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4</v>
      </c>
      <c r="H27" s="185">
        <f>IF('Format (2)'!J8=3,تسجيل2!G27,IF('Format (2)'!J8=1,تسجيل2!G27-2,IF('Format (2)'!J8=2,تسجيل2!G27-1,IF('Format (2)'!J8=4,تسجيل2!G27+1,IF('Format (2)'!J8=5,تسجيل2!G27+2)))))</f>
        <v>4</v>
      </c>
      <c r="J27" s="647"/>
      <c r="K27" s="647"/>
      <c r="L27" s="647"/>
      <c r="M27" s="647"/>
      <c r="N27" s="647"/>
      <c r="O27" s="647"/>
      <c r="P27" s="647"/>
      <c r="Q27" s="647"/>
      <c r="R27" s="647"/>
      <c r="S27" s="647"/>
    </row>
    <row r="28" ht="18" customHeight="1">
      <c r="A28" s="11" t="s">
        <v>309</v>
      </c>
      <c r="G28" s="185">
        <f>IF('Format (2)'!A7=1,'Format (2)'!E31,IF('Format (2)'!A7=2,'Format (2)'!E31,IF('Format (2)'!A7=3,'Format (2)'!E31,IF('Format (2)'!A7=4,'Format (2)'!E31,IF('Format (2)'!A7=5,'Format (2)'!E31,'Format (2)'!U31)))))</f>
        <v>12</v>
      </c>
      <c r="H28" s="185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12</v>
      </c>
    </row>
    <row r="29" ht="18" customHeight="1">
      <c r="G29" s="185">
        <f>IF(H27=2,2,H27+1)</f>
        <v>5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5</v>
      </c>
      <c r="M29" s="15"/>
      <c r="O29" s="15"/>
    </row>
    <row r="30" ht="18" customHeight="1">
      <c r="A30" s="11" t="s">
        <v>311</v>
      </c>
      <c r="G30" s="185">
        <f>G27</f>
        <v>4</v>
      </c>
      <c r="H30" s="185">
        <f>IF('Format (2)'!M8=3,G30,IF('Format (2)'!M8=1,G30-2,IF('Format (2)'!M8=2,G30-1,IF('Format (2)'!M8=4,G30+1,IF('Format (2)'!M8=5,G30+2)))))</f>
        <v>4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7"/>
  <dimension ref="A1:AB98"/>
  <sheetViews>
    <sheetView rightToLeft="1" topLeftCell="F1" zoomScale="70" zoomScaleNormal="70" workbookViewId="0">
      <selection activeCell="Y25" sqref="Y2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9" customWidth="1" style="60"/>
    <col min="23" max="23" width="34" customWidth="1" style="60"/>
    <col min="24" max="24" width="25.5703125" customWidth="1" style="60"/>
    <col min="25" max="25" width="8.710937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659" t="s">
        <v>357</v>
      </c>
      <c r="B1" s="660"/>
      <c r="C1" s="660"/>
      <c r="D1" s="660"/>
      <c r="E1" s="660"/>
      <c r="F1" s="660"/>
      <c r="G1" s="660"/>
      <c r="H1" s="660"/>
      <c r="I1" s="660"/>
      <c r="J1" s="660"/>
      <c r="K1" s="660"/>
      <c r="L1" s="660"/>
      <c r="M1" s="660"/>
      <c r="N1" s="661"/>
      <c r="O1" s="87"/>
      <c r="P1" s="88"/>
      <c r="Q1" s="88"/>
      <c r="R1" s="88"/>
      <c r="W1" s="136">
        <f>IF(تسعير!T26="سادة",Royal2!J2+20000,IF(تسعير!T26="خشبي",Royal2!J2+40000,0))</f>
        <v>250000</v>
      </c>
      <c r="X1" s="60" t="s">
        <v>358</v>
      </c>
      <c r="Y1" s="136" t="e">
        <f>Royal!#REF!</f>
        <v>#REF!</v>
      </c>
      <c r="Z1" s="151" t="s">
        <v>359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675" t="s">
        <v>360</v>
      </c>
      <c r="B3" s="675"/>
      <c r="C3" s="675"/>
      <c r="D3" s="677">
        <f>تسجيل1!B2</f>
        <v>0</v>
      </c>
      <c r="E3" s="677"/>
      <c r="F3" s="677"/>
      <c r="G3" s="677"/>
      <c r="H3" s="677"/>
      <c r="I3" s="677"/>
      <c r="J3" s="677"/>
      <c r="K3" s="677"/>
      <c r="L3" s="677"/>
      <c r="M3" s="662" t="s">
        <v>361</v>
      </c>
      <c r="N3" s="662"/>
      <c r="O3" s="89"/>
      <c r="P3" s="90"/>
      <c r="Q3" s="90"/>
      <c r="R3" s="90"/>
      <c r="Z3" s="151"/>
      <c r="AA3" s="60"/>
      <c r="AB3" s="60"/>
    </row>
    <row r="4" ht="13.5" customHeight="1">
      <c r="A4" s="676"/>
      <c r="B4" s="676"/>
      <c r="C4" s="676"/>
      <c r="D4" s="678"/>
      <c r="E4" s="678"/>
      <c r="F4" s="678"/>
      <c r="G4" s="677"/>
      <c r="H4" s="677"/>
      <c r="I4" s="678"/>
      <c r="J4" s="678"/>
      <c r="K4" s="678"/>
      <c r="L4" s="678"/>
      <c r="M4" s="663"/>
      <c r="N4" s="663"/>
      <c r="O4" s="91"/>
      <c r="P4" s="92"/>
      <c r="Q4" s="92"/>
      <c r="R4" s="92"/>
      <c r="Z4" s="151"/>
      <c r="AA4" s="60"/>
      <c r="AB4" s="60"/>
    </row>
    <row r="5" ht="13.5" customHeight="1">
      <c r="A5" s="664" t="e">
        <f>Y1</f>
        <v>#REF!</v>
      </c>
      <c r="B5" s="665"/>
      <c r="C5" s="666"/>
      <c r="D5" s="667" t="s">
        <v>359</v>
      </c>
      <c r="E5" s="668"/>
      <c r="F5" s="669"/>
      <c r="G5" s="63"/>
      <c r="H5" s="63"/>
      <c r="I5" s="664">
        <f>W1</f>
        <v>250000</v>
      </c>
      <c r="J5" s="665"/>
      <c r="K5" s="666"/>
      <c r="L5" s="667" t="s">
        <v>362</v>
      </c>
      <c r="M5" s="668"/>
      <c r="N5" s="669"/>
      <c r="O5" s="93"/>
      <c r="P5" s="92"/>
      <c r="Q5" s="92"/>
      <c r="R5" s="92"/>
      <c r="Z5" s="151"/>
      <c r="AA5" s="60"/>
      <c r="AB5" s="60"/>
    </row>
    <row r="6" ht="16.5" customHeight="1">
      <c r="A6" s="743" t="s">
        <v>255</v>
      </c>
      <c r="B6" s="744"/>
      <c r="C6" s="745"/>
      <c r="D6" s="737" t="s">
        <v>363</v>
      </c>
      <c r="E6" s="670" t="s">
        <v>364</v>
      </c>
      <c r="F6" s="671"/>
      <c r="G6" s="672"/>
      <c r="H6" s="672"/>
      <c r="I6" s="671"/>
      <c r="J6" s="673"/>
      <c r="K6" s="674">
        <f>تسجيل2!C7</f>
        <v>1200</v>
      </c>
      <c r="L6" s="674"/>
      <c r="M6" s="94" t="s">
        <v>365</v>
      </c>
      <c r="N6" s="95">
        <f>تسجيل2!E7</f>
        <v>800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743"/>
      <c r="B7" s="744"/>
      <c r="C7" s="745"/>
      <c r="D7" s="737"/>
      <c r="E7" s="679" t="s">
        <v>366</v>
      </c>
      <c r="F7" s="672"/>
      <c r="G7" s="672"/>
      <c r="H7" s="672"/>
      <c r="I7" s="672"/>
      <c r="J7" s="680"/>
      <c r="K7" s="681">
        <f>K6*N6/10000</f>
        <v>96</v>
      </c>
      <c r="L7" s="681"/>
      <c r="M7" s="681"/>
      <c r="N7" s="98" t="s">
        <v>367</v>
      </c>
      <c r="O7" s="99">
        <f>AA41/K7</f>
        <v>2172.21301096709</v>
      </c>
      <c r="S7" s="60" t="s">
        <v>127</v>
      </c>
      <c r="T7" s="61" t="s">
        <v>368</v>
      </c>
      <c r="Z7" s="151"/>
      <c r="AA7" s="60"/>
      <c r="AB7" s="60"/>
    </row>
    <row r="8">
      <c r="A8" s="746"/>
      <c r="B8" s="747"/>
      <c r="C8" s="748"/>
      <c r="D8" s="738"/>
      <c r="E8" s="682" t="s">
        <v>369</v>
      </c>
      <c r="F8" s="683"/>
      <c r="G8" s="683"/>
      <c r="H8" s="683"/>
      <c r="I8" s="683"/>
      <c r="J8" s="684"/>
      <c r="K8" s="685">
        <f>K6-1</f>
        <v>1199</v>
      </c>
      <c r="L8" s="685"/>
      <c r="M8" s="100" t="s">
        <v>370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772</v>
      </c>
      <c r="O8" s="102">
        <f>O7*K7</f>
        <v>208532.44905284065</v>
      </c>
      <c r="P8" s="103"/>
      <c r="Q8" s="103"/>
      <c r="R8" s="103"/>
      <c r="S8" s="103">
        <f>Sheet2!B16</f>
        <v>275</v>
      </c>
      <c r="T8" s="137">
        <f>((K8*N8)/10000)*1.2</f>
        <v>111.07535999999999</v>
      </c>
      <c r="U8" s="138">
        <f>T8*S8</f>
        <v>30545.724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686" t="s">
        <v>371</v>
      </c>
      <c r="B10" s="686"/>
      <c r="C10" s="686"/>
      <c r="D10" s="686"/>
      <c r="E10" s="686"/>
      <c r="F10" s="686"/>
      <c r="G10" s="687" t="s">
        <v>372</v>
      </c>
      <c r="H10" s="687"/>
      <c r="I10" s="687" t="s">
        <v>373</v>
      </c>
      <c r="J10" s="687"/>
      <c r="K10" s="104"/>
      <c r="L10" s="688" t="s">
        <v>308</v>
      </c>
      <c r="M10" s="688"/>
      <c r="N10" s="688"/>
      <c r="O10" s="105"/>
      <c r="P10" s="97"/>
      <c r="Q10" s="97"/>
      <c r="R10" s="97"/>
      <c r="S10" s="90" t="s">
        <v>374</v>
      </c>
      <c r="T10" s="90" t="s">
        <v>375</v>
      </c>
      <c r="U10" s="90" t="s">
        <v>376</v>
      </c>
      <c r="V10" s="90" t="s">
        <v>377</v>
      </c>
      <c r="W10" s="60" t="s">
        <v>378</v>
      </c>
      <c r="X10" s="60" t="s">
        <v>223</v>
      </c>
      <c r="Z10" s="151"/>
      <c r="AA10" s="60"/>
      <c r="AB10" s="60"/>
    </row>
    <row r="11" ht="20.1" customHeight="1">
      <c r="A11" s="689" t="s">
        <v>379</v>
      </c>
      <c r="B11" s="690"/>
      <c r="C11" s="690"/>
      <c r="D11" s="690"/>
      <c r="E11" s="690"/>
      <c r="F11" s="691"/>
      <c r="G11" s="692">
        <f>L11</f>
        <v>4</v>
      </c>
      <c r="H11" s="692"/>
      <c r="I11" s="693">
        <f>'Format διαστασης οδηγου (2)'!F8</f>
        <v>765</v>
      </c>
      <c r="J11" s="693"/>
      <c r="K11" s="106"/>
      <c r="L11" s="688">
        <f>IF(Format!A7=1,تسجيل2!H27,IF(Format!A7=2,تسجيل2!H27,IF(Format!A7=3,تسجيل2!H27,IF(Format!A7=4,تسجيل2!H27,IF(Format!A7=5,تسجيل2!H27,"-------")))))</f>
        <v>4</v>
      </c>
      <c r="M11" s="688"/>
      <c r="N11" s="688"/>
      <c r="O11" s="105"/>
      <c r="P11" s="107">
        <f>IF(I11&lt;=500,5,0)</f>
        <v>0</v>
      </c>
      <c r="Q11" s="107">
        <f>IF(I11&gt;500,7,0)</f>
        <v>7</v>
      </c>
      <c r="R11" s="107">
        <f>IF(I11&gt;700,8,0)</f>
        <v>8</v>
      </c>
      <c r="S11" s="103">
        <f>MAX(P11:R11)</f>
        <v>8</v>
      </c>
      <c r="T11" s="139">
        <f>(G11*I11)/S11/100</f>
        <v>3.825</v>
      </c>
      <c r="U11" s="103">
        <f>CEILING(T11,0.5)</f>
        <v>4</v>
      </c>
      <c r="V11" s="103">
        <f>U11*S11</f>
        <v>32</v>
      </c>
      <c r="W11" s="140">
        <v>4.45627705627706</v>
      </c>
      <c r="X11" s="141">
        <f>($W$1/1000)*W11*V11</f>
        <v>35650.216450216481</v>
      </c>
      <c r="Z11" s="151"/>
      <c r="AA11" s="60"/>
      <c r="AB11" s="60"/>
    </row>
    <row r="12" ht="20.1" customHeight="1">
      <c r="A12" s="694" t="s">
        <v>380</v>
      </c>
      <c r="B12" s="694"/>
      <c r="C12" s="694"/>
      <c r="D12" s="694"/>
      <c r="E12" s="694"/>
      <c r="F12" s="694"/>
      <c r="G12" s="695">
        <f>IF(L11&gt;2,4,IF(L11=2,2))</f>
        <v>4</v>
      </c>
      <c r="H12" s="695"/>
      <c r="I12" s="696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398.5</v>
      </c>
      <c r="J12" s="696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4</v>
      </c>
      <c r="S12" s="103">
        <f>MAX(P12:R12)</f>
        <v>4</v>
      </c>
      <c r="T12" s="139">
        <f>(G12*I12)/S12/100</f>
        <v>3.985</v>
      </c>
      <c r="U12" s="103">
        <f ref="U12:U21" t="shared" si="0">CEILING(T12,0.25)</f>
        <v>4</v>
      </c>
      <c r="V12" s="103">
        <f ref="V12:V20" t="shared" si="1">G12*S12</f>
        <v>16</v>
      </c>
      <c r="W12" s="140">
        <v>1.86378737541528</v>
      </c>
      <c r="X12" s="141">
        <f>($W$1/1000)*W12*V12</f>
        <v>7455.1495016611207</v>
      </c>
      <c r="Z12" s="151"/>
      <c r="AA12" s="60"/>
      <c r="AB12" s="60"/>
    </row>
    <row r="13" ht="20.1" customHeight="1">
      <c r="A13" s="694" t="s">
        <v>381</v>
      </c>
      <c r="B13" s="694"/>
      <c r="C13" s="694"/>
      <c r="D13" s="694"/>
      <c r="E13" s="694"/>
      <c r="F13" s="694"/>
      <c r="G13" s="695">
        <f>IF(L11&lt;=3,"0",(L11-3)*2)</f>
        <v>2</v>
      </c>
      <c r="H13" s="695"/>
      <c r="I13" s="696">
        <f>IF(G13="-------","-------",L17-5)</f>
        <v>392</v>
      </c>
      <c r="J13" s="696"/>
      <c r="K13" s="106"/>
      <c r="L13" s="697" t="s">
        <v>282</v>
      </c>
      <c r="M13" s="697"/>
      <c r="N13" s="697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4</v>
      </c>
      <c r="S13" s="103">
        <f ref="S13:S20" t="shared" si="5">MAX(P13:R13)</f>
        <v>4</v>
      </c>
      <c r="T13" s="139">
        <f ref="T13:T20" t="shared" si="6">(G13*I13)/S13/100</f>
        <v>1.96</v>
      </c>
      <c r="U13" s="103">
        <f t="shared" si="0"/>
        <v>2</v>
      </c>
      <c r="V13" s="103">
        <f t="shared" si="1"/>
        <v>8</v>
      </c>
      <c r="W13" s="140">
        <v>1.86378737541528</v>
      </c>
      <c r="X13" s="141">
        <f ref="X13:X20" t="shared" si="7">($W$1/1000)*W13*V13</f>
        <v>3727.5747508305603</v>
      </c>
      <c r="Z13" s="151"/>
      <c r="AA13" s="60"/>
      <c r="AB13" s="60"/>
    </row>
    <row r="14" ht="20.1" customHeight="1">
      <c r="A14" s="694" t="s">
        <v>382</v>
      </c>
      <c r="B14" s="694"/>
      <c r="C14" s="694"/>
      <c r="D14" s="694"/>
      <c r="E14" s="694"/>
      <c r="F14" s="694"/>
      <c r="G14" s="695">
        <f>IF(L11&gt;2,2*L14,IF(L11=2,L14))</f>
        <v>24</v>
      </c>
      <c r="H14" s="695"/>
      <c r="I14" s="696">
        <f>I12</f>
        <v>398.5</v>
      </c>
      <c r="J14" s="696"/>
      <c r="K14" s="106"/>
      <c r="L14" s="109">
        <f>تسجيل2!H28</f>
        <v>12</v>
      </c>
      <c r="M14" s="110" t="s">
        <v>286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4</v>
      </c>
      <c r="S14" s="103">
        <f t="shared" si="5"/>
        <v>4</v>
      </c>
      <c r="T14" s="139">
        <f t="shared" si="6"/>
        <v>23.91</v>
      </c>
      <c r="U14" s="103">
        <f>CEILING(T14,0.5)</f>
        <v>24</v>
      </c>
      <c r="V14" s="103">
        <f t="shared" si="1"/>
        <v>96</v>
      </c>
      <c r="W14" s="140">
        <v>1.05172413793103</v>
      </c>
      <c r="X14" s="141">
        <f t="shared" si="7"/>
        <v>25241.379310344724</v>
      </c>
      <c r="Z14" s="151"/>
      <c r="AA14" s="60"/>
      <c r="AB14" s="60"/>
    </row>
    <row r="15" ht="20.1" customHeight="1">
      <c r="A15" s="694" t="s">
        <v>383</v>
      </c>
      <c r="B15" s="694"/>
      <c r="C15" s="694"/>
      <c r="D15" s="694"/>
      <c r="E15" s="694"/>
      <c r="F15" s="694"/>
      <c r="G15" s="695">
        <f>IF(L11&lt;=3,"0",(L11-3)*L14)</f>
        <v>12</v>
      </c>
      <c r="H15" s="695"/>
      <c r="I15" s="696">
        <f>IF(G15="-------","---------",I13)</f>
        <v>392</v>
      </c>
      <c r="J15" s="696"/>
      <c r="K15" s="106"/>
      <c r="L15" s="106"/>
      <c r="M15" s="106"/>
      <c r="N15" s="106"/>
      <c r="O15" s="106"/>
      <c r="P15" s="103">
        <f t="shared" si="2"/>
        <v>0</v>
      </c>
      <c r="Q15" s="103">
        <f t="shared" si="3"/>
        <v>3.5</v>
      </c>
      <c r="R15" s="103">
        <f t="shared" si="4"/>
        <v>4</v>
      </c>
      <c r="S15" s="103">
        <f t="shared" si="5"/>
        <v>4</v>
      </c>
      <c r="T15" s="139">
        <f t="shared" si="6"/>
        <v>11.76</v>
      </c>
      <c r="U15" s="103">
        <f>CEILING(T15,0.5)</f>
        <v>12</v>
      </c>
      <c r="V15" s="103">
        <f t="shared" si="1"/>
        <v>48</v>
      </c>
      <c r="W15" s="140">
        <v>1.05172413793103</v>
      </c>
      <c r="X15" s="141">
        <f t="shared" si="7"/>
        <v>12620.689655172362</v>
      </c>
      <c r="Z15" s="151"/>
      <c r="AA15" s="60"/>
      <c r="AB15" s="60"/>
    </row>
    <row r="16" ht="20.1" customHeight="1">
      <c r="A16" s="694" t="s">
        <v>384</v>
      </c>
      <c r="B16" s="694"/>
      <c r="C16" s="694"/>
      <c r="D16" s="694"/>
      <c r="E16" s="694"/>
      <c r="F16" s="694"/>
      <c r="G16" s="695">
        <v>1</v>
      </c>
      <c r="H16" s="695"/>
      <c r="I16" s="696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400.5</v>
      </c>
      <c r="J16" s="696"/>
      <c r="K16" s="106"/>
      <c r="L16" s="698" t="s">
        <v>385</v>
      </c>
      <c r="M16" s="698"/>
      <c r="N16" s="698"/>
      <c r="O16" s="111"/>
      <c r="P16" s="103">
        <f t="shared" si="2"/>
        <v>0</v>
      </c>
      <c r="Q16" s="103">
        <f t="shared" si="3"/>
        <v>3.5</v>
      </c>
      <c r="R16" s="103">
        <f t="shared" si="4"/>
        <v>4</v>
      </c>
      <c r="S16" s="103">
        <f t="shared" si="5"/>
        <v>4</v>
      </c>
      <c r="T16" s="139">
        <f t="shared" si="6"/>
        <v>1.00125</v>
      </c>
      <c r="U16" s="103">
        <f>CEILING(T16,0.5)</f>
        <v>1.5</v>
      </c>
      <c r="V16" s="103">
        <f t="shared" si="1"/>
        <v>4</v>
      </c>
      <c r="W16" s="140">
        <v>1.3948717948718</v>
      </c>
      <c r="X16" s="141">
        <f t="shared" si="7"/>
        <v>1394.8717948718</v>
      </c>
      <c r="Z16" s="151"/>
      <c r="AA16" s="60"/>
      <c r="AB16" s="60"/>
    </row>
    <row r="17" ht="20.1" customHeight="1">
      <c r="A17" s="694" t="s">
        <v>386</v>
      </c>
      <c r="B17" s="694"/>
      <c r="C17" s="694"/>
      <c r="D17" s="694"/>
      <c r="E17" s="694"/>
      <c r="F17" s="694"/>
      <c r="G17" s="695">
        <f>IF(L11=2,"0",1)</f>
        <v>1</v>
      </c>
      <c r="H17" s="695"/>
      <c r="I17" s="696">
        <f>IF(G17="-------","-------",IF(Format!A7=1,(L17+3),IF(Format!A7=2,(L17+3.5),IF(Format!A7=3,(L17+3),IF(Format!A7=4,(L17+4.25),IF(Format!A7=5,(L17+5),"--------"))))))</f>
        <v>400.5</v>
      </c>
      <c r="J17" s="696"/>
      <c r="K17" s="106"/>
      <c r="L17" s="699">
        <f>IF(Format!A7=1,(K6-2-6)/(L11-1),IF(Format!A7=2,(K6-2-7)/(L11-1),IF(Format!A7=3,(K6-2-6)/(L11-1),IF(Format!A7=4,(K6-2-8.5)/(L11-1),IF(Format!A7=5,(K6-2-10)/(L11-1),"--------")))))</f>
        <v>397</v>
      </c>
      <c r="M17" s="699"/>
      <c r="N17" s="699"/>
      <c r="O17" s="113"/>
      <c r="P17" s="103">
        <f t="shared" si="2"/>
        <v>0</v>
      </c>
      <c r="Q17" s="103">
        <f t="shared" si="3"/>
        <v>3.5</v>
      </c>
      <c r="R17" s="103">
        <f t="shared" si="4"/>
        <v>4</v>
      </c>
      <c r="S17" s="103">
        <f t="shared" si="5"/>
        <v>4</v>
      </c>
      <c r="T17" s="139">
        <f t="shared" si="6"/>
        <v>1.00125</v>
      </c>
      <c r="U17" s="103">
        <f>CEILING(T17,0.5)</f>
        <v>1.5</v>
      </c>
      <c r="V17" s="103">
        <f t="shared" si="1"/>
        <v>4</v>
      </c>
      <c r="W17" s="140">
        <v>1.3948717948718</v>
      </c>
      <c r="X17" s="141">
        <f t="shared" si="7"/>
        <v>1394.8717948718</v>
      </c>
      <c r="Z17" s="151"/>
      <c r="AA17" s="60"/>
      <c r="AB17" s="60"/>
    </row>
    <row r="18" ht="20.1" customHeight="1">
      <c r="A18" s="694" t="s">
        <v>387</v>
      </c>
      <c r="B18" s="694"/>
      <c r="C18" s="694"/>
      <c r="D18" s="694"/>
      <c r="E18" s="694"/>
      <c r="F18" s="694"/>
      <c r="G18" s="695">
        <f>IF(L11&lt;=3,"0",(L11-3))</f>
        <v>1</v>
      </c>
      <c r="H18" s="695"/>
      <c r="I18" s="696">
        <f>IF(G18="-------","-------",L17)</f>
        <v>397</v>
      </c>
      <c r="J18" s="696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4</v>
      </c>
      <c r="S18" s="103">
        <f t="shared" si="5"/>
        <v>4</v>
      </c>
      <c r="T18" s="139">
        <f t="shared" si="6"/>
        <v>0.9925</v>
      </c>
      <c r="U18" s="103">
        <f t="shared" si="0"/>
        <v>1</v>
      </c>
      <c r="V18" s="103">
        <f t="shared" si="1"/>
        <v>4</v>
      </c>
      <c r="W18" s="140">
        <v>1.3948717948718</v>
      </c>
      <c r="X18" s="141">
        <f t="shared" si="7"/>
        <v>1394.8717948718</v>
      </c>
      <c r="Z18" s="151"/>
      <c r="AA18" s="60"/>
      <c r="AB18" s="60"/>
    </row>
    <row r="19" ht="20.1" customHeight="1">
      <c r="A19" s="694" t="str">
        <f>IF(Format!H4=1,"Balloon","-------")</f>
        <v>-------</v>
      </c>
      <c r="B19" s="694"/>
      <c r="C19" s="694"/>
      <c r="D19" s="694"/>
      <c r="E19" s="694"/>
      <c r="F19" s="694"/>
      <c r="G19" s="695" t="str">
        <f>IF([1]Format!H4=1,'[1]تقطيع البرجولة'!L14,"0")</f>
        <v>0</v>
      </c>
      <c r="H19" s="695"/>
      <c r="I19" s="696">
        <f>IF(G19="-------","-------",K6-2.5)</f>
        <v>1197.5</v>
      </c>
      <c r="J19" s="696"/>
      <c r="K19" s="106"/>
      <c r="L19" s="700" t="s">
        <v>311</v>
      </c>
      <c r="M19" s="701"/>
      <c r="N19" s="702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 t="shared" si="5"/>
        <v>4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03" t="s">
        <v>388</v>
      </c>
      <c r="B20" s="704"/>
      <c r="C20" s="704"/>
      <c r="D20" s="704"/>
      <c r="E20" s="704"/>
      <c r="F20" s="705"/>
      <c r="G20" s="703">
        <f>(G12+G13)/2</f>
        <v>3</v>
      </c>
      <c r="H20" s="704"/>
      <c r="I20" s="696">
        <f>L17-7</f>
        <v>390</v>
      </c>
      <c r="J20" s="696"/>
      <c r="K20" s="106"/>
      <c r="L20" s="114" t="s">
        <v>372</v>
      </c>
      <c r="M20" s="706" t="s">
        <v>389</v>
      </c>
      <c r="N20" s="706"/>
      <c r="O20" s="115"/>
      <c r="P20" s="103">
        <f t="shared" si="2"/>
        <v>0</v>
      </c>
      <c r="Q20" s="103">
        <f t="shared" si="3"/>
        <v>3.5</v>
      </c>
      <c r="R20" s="103">
        <f t="shared" si="4"/>
        <v>4</v>
      </c>
      <c r="S20" s="103">
        <f t="shared" si="5"/>
        <v>4</v>
      </c>
      <c r="T20" s="139">
        <f t="shared" si="6"/>
        <v>2.925</v>
      </c>
      <c r="U20" s="103">
        <f t="shared" si="0"/>
        <v>3</v>
      </c>
      <c r="V20" s="103">
        <f t="shared" si="1"/>
        <v>12</v>
      </c>
      <c r="W20" s="103">
        <v>1.65</v>
      </c>
      <c r="X20" s="141">
        <f t="shared" si="7"/>
        <v>4950</v>
      </c>
      <c r="Z20" s="151"/>
      <c r="AA20" s="60"/>
      <c r="AB20" s="60"/>
    </row>
    <row r="21" ht="20.1" customHeight="1">
      <c r="A21" s="707" t="s">
        <v>390</v>
      </c>
      <c r="B21" s="707"/>
      <c r="C21" s="707"/>
      <c r="D21" s="707"/>
      <c r="E21" s="707"/>
      <c r="F21" s="707"/>
      <c r="G21" s="708">
        <f>L11</f>
        <v>4</v>
      </c>
      <c r="H21" s="708"/>
      <c r="I21" s="709">
        <f>(I11*2)+45</f>
        <v>1575</v>
      </c>
      <c r="J21" s="709"/>
      <c r="K21" s="106"/>
      <c r="L21" s="112">
        <f>IF(Format!E7=1,"-------",IF(Format!E7=5,"-------",تسجيل2!H30))</f>
        <v>4</v>
      </c>
      <c r="M21" s="698" t="str">
        <f>IF(L21="-------","-------",تسجيل2!D11)</f>
        <v>4Χ220- 1Χ250</v>
      </c>
      <c r="N21" s="698"/>
      <c r="O21" s="111"/>
      <c r="P21" s="64"/>
      <c r="Q21" s="64"/>
      <c r="R21" s="64"/>
      <c r="S21" s="142">
        <v>1</v>
      </c>
      <c r="T21" s="143">
        <f>(G21*I21)/100</f>
        <v>63</v>
      </c>
      <c r="U21" s="142">
        <f t="shared" si="0"/>
        <v>63</v>
      </c>
      <c r="V21" s="142">
        <f>U21*S21</f>
        <v>63</v>
      </c>
      <c r="W21" s="142">
        <f>Sheet2!B17</f>
        <v>200</v>
      </c>
      <c r="X21" s="144">
        <f>W21*V21</f>
        <v>12600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101479.62505284064</v>
      </c>
      <c r="Z22" s="151"/>
      <c r="AA22" s="60"/>
      <c r="AB22" s="60"/>
    </row>
    <row r="23" ht="20.1" customHeight="1">
      <c r="A23" s="710" t="s">
        <v>391</v>
      </c>
      <c r="B23" s="711"/>
      <c r="C23" s="711"/>
      <c r="D23" s="711"/>
      <c r="E23" s="712"/>
      <c r="F23" s="67" t="s">
        <v>392</v>
      </c>
      <c r="G23" s="68"/>
      <c r="H23" s="710" t="s">
        <v>393</v>
      </c>
      <c r="I23" s="711"/>
      <c r="J23" s="711"/>
      <c r="K23" s="711"/>
      <c r="L23" s="712"/>
      <c r="M23" s="67" t="s">
        <v>372</v>
      </c>
      <c r="N23" s="119"/>
      <c r="O23" s="119"/>
      <c r="P23" s="120"/>
      <c r="Q23" s="120"/>
      <c r="R23" s="120"/>
      <c r="S23" s="146"/>
      <c r="T23" s="147" t="s">
        <v>394</v>
      </c>
      <c r="U23" s="146" t="s">
        <v>395</v>
      </c>
      <c r="V23" s="146" t="s">
        <v>396</v>
      </c>
      <c r="W23" s="146" t="s">
        <v>397</v>
      </c>
      <c r="X23" s="146" t="s">
        <v>395</v>
      </c>
      <c r="Y23" s="146" t="s">
        <v>396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13" t="s">
        <v>398</v>
      </c>
      <c r="C24" s="713"/>
      <c r="D24" s="713"/>
      <c r="E24" s="713"/>
      <c r="F24" s="70">
        <f>L11</f>
        <v>4</v>
      </c>
      <c r="G24" s="71"/>
      <c r="H24" s="69">
        <v>16</v>
      </c>
      <c r="I24" s="713" t="s">
        <v>299</v>
      </c>
      <c r="J24" s="713"/>
      <c r="K24" s="713"/>
      <c r="L24" s="713"/>
      <c r="M24" s="70">
        <f>IF(K7&lt;=65,1,2)</f>
        <v>2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IF((N6&lt;600),Sheet2!B33,IF(N6&gt;=600,Sheet2!B55,0))</f>
        <v>23000</v>
      </c>
      <c r="Z24" s="151"/>
      <c r="AA24" s="60">
        <f>V24*F24</f>
        <v>520</v>
      </c>
      <c r="AB24" s="60">
        <f ref="AB24:AB38" t="shared" si="10">Y24*M24</f>
        <v>46000</v>
      </c>
    </row>
    <row r="25" ht="20.1" customHeight="1">
      <c r="A25" s="72">
        <v>2</v>
      </c>
      <c r="B25" s="714" t="s">
        <v>399</v>
      </c>
      <c r="C25" s="714"/>
      <c r="D25" s="714"/>
      <c r="E25" s="714"/>
      <c r="F25" s="73">
        <f>L11</f>
        <v>4</v>
      </c>
      <c r="G25" s="71"/>
      <c r="H25" s="72">
        <v>17</v>
      </c>
      <c r="I25" s="714" t="s">
        <v>231</v>
      </c>
      <c r="J25" s="714"/>
      <c r="K25" s="714"/>
      <c r="L25" s="714"/>
      <c r="M25" s="73">
        <f>IF(M34=1,0,1)</f>
        <v>0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1">V25*F25</f>
        <v>88</v>
      </c>
      <c r="AB25" s="60">
        <f t="shared" si="10"/>
        <v>0</v>
      </c>
    </row>
    <row r="26" ht="20.1" customHeight="1">
      <c r="A26" s="72">
        <v>3</v>
      </c>
      <c r="B26" s="714" t="s">
        <v>400</v>
      </c>
      <c r="C26" s="714"/>
      <c r="D26" s="714"/>
      <c r="E26" s="714"/>
      <c r="F26" s="73">
        <f>M24</f>
        <v>2</v>
      </c>
      <c r="G26" s="71"/>
      <c r="H26" s="72">
        <v>18</v>
      </c>
      <c r="I26" s="714" t="s">
        <v>401</v>
      </c>
      <c r="J26" s="714"/>
      <c r="K26" s="714"/>
      <c r="L26" s="714"/>
      <c r="M26" s="73">
        <f>(F24*2)-M27</f>
        <v>8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1"/>
        <v>22</v>
      </c>
      <c r="AB26" s="60">
        <f t="shared" si="10"/>
        <v>424</v>
      </c>
    </row>
    <row r="27" ht="20.1" customHeight="1">
      <c r="A27" s="72">
        <v>4</v>
      </c>
      <c r="B27" s="715" t="s">
        <v>402</v>
      </c>
      <c r="C27" s="716"/>
      <c r="D27" s="716"/>
      <c r="E27" s="717"/>
      <c r="F27" s="73">
        <v>4</v>
      </c>
      <c r="G27" s="71"/>
      <c r="H27" s="72">
        <v>19</v>
      </c>
      <c r="I27" s="714" t="s">
        <v>403</v>
      </c>
      <c r="J27" s="714"/>
      <c r="K27" s="714"/>
      <c r="L27" s="714"/>
      <c r="M27" s="73">
        <f>IF(M24=1,1,0)</f>
        <v>0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1"/>
        <v>14</v>
      </c>
      <c r="AB27" s="60">
        <f t="shared" si="10"/>
        <v>0</v>
      </c>
    </row>
    <row r="28" ht="20.1" customHeight="1">
      <c r="A28" s="72">
        <v>5</v>
      </c>
      <c r="B28" s="715" t="s">
        <v>404</v>
      </c>
      <c r="C28" s="716"/>
      <c r="D28" s="716"/>
      <c r="E28" s="717"/>
      <c r="F28" s="73">
        <f>L14</f>
        <v>12</v>
      </c>
      <c r="G28" s="71"/>
      <c r="H28" s="72">
        <v>20</v>
      </c>
      <c r="I28" s="714" t="s">
        <v>405</v>
      </c>
      <c r="J28" s="714"/>
      <c r="K28" s="714"/>
      <c r="L28" s="714"/>
      <c r="M28" s="73">
        <f>IF(I11&gt;700,G11,0)</f>
        <v>4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1"/>
        <v>36</v>
      </c>
      <c r="AB28" s="60">
        <f t="shared" si="10"/>
        <v>1760</v>
      </c>
    </row>
    <row r="29" ht="20.1" customHeight="1">
      <c r="A29" s="72">
        <v>6</v>
      </c>
      <c r="B29" s="715" t="s">
        <v>406</v>
      </c>
      <c r="C29" s="716"/>
      <c r="D29" s="716"/>
      <c r="E29" s="717"/>
      <c r="F29" s="73">
        <f>L11*2</f>
        <v>8</v>
      </c>
      <c r="G29" s="71"/>
      <c r="H29" s="72">
        <v>21</v>
      </c>
      <c r="I29" s="714" t="s">
        <v>232</v>
      </c>
      <c r="J29" s="714"/>
      <c r="K29" s="714"/>
      <c r="L29" s="714"/>
      <c r="M29" s="122">
        <f>F24</f>
        <v>4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1500</v>
      </c>
      <c r="Z29" s="151"/>
      <c r="AA29" s="60">
        <f t="shared" si="11"/>
        <v>16</v>
      </c>
      <c r="AB29" s="60">
        <f t="shared" si="10"/>
        <v>6000</v>
      </c>
    </row>
    <row r="30" ht="20.1" customHeight="1">
      <c r="A30" s="72">
        <v>7</v>
      </c>
      <c r="B30" s="715" t="s">
        <v>407</v>
      </c>
      <c r="C30" s="716"/>
      <c r="D30" s="716"/>
      <c r="E30" s="717"/>
      <c r="F30" s="73">
        <f>L14*L11</f>
        <v>48</v>
      </c>
      <c r="G30" s="71"/>
      <c r="H30" s="72">
        <v>22</v>
      </c>
      <c r="I30" s="714" t="s">
        <v>233</v>
      </c>
      <c r="J30" s="714"/>
      <c r="K30" s="714"/>
      <c r="L30" s="714"/>
      <c r="M30" s="122">
        <f>F24</f>
        <v>4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1500</v>
      </c>
      <c r="Z30" s="151"/>
      <c r="AA30" s="60">
        <f t="shared" si="11"/>
        <v>96</v>
      </c>
      <c r="AB30" s="60">
        <f t="shared" si="10"/>
        <v>6000</v>
      </c>
    </row>
    <row r="31" ht="20.1" customHeight="1">
      <c r="A31" s="72">
        <v>8</v>
      </c>
      <c r="B31" s="715" t="s">
        <v>408</v>
      </c>
      <c r="C31" s="716"/>
      <c r="D31" s="716"/>
      <c r="E31" s="717"/>
      <c r="F31" s="73">
        <f>(L14+N14)*2</f>
        <v>28</v>
      </c>
      <c r="G31" s="71"/>
      <c r="H31" s="72">
        <v>23</v>
      </c>
      <c r="I31" s="714" t="s">
        <v>409</v>
      </c>
      <c r="J31" s="714"/>
      <c r="K31" s="714"/>
      <c r="L31" s="714"/>
      <c r="M31" s="73">
        <f>F30</f>
        <v>48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1"/>
        <v>56</v>
      </c>
      <c r="AB31" s="60">
        <f t="shared" si="10"/>
        <v>3840</v>
      </c>
    </row>
    <row r="32" ht="20.1" customHeight="1">
      <c r="A32" s="72">
        <v>9</v>
      </c>
      <c r="B32" s="715" t="s">
        <v>410</v>
      </c>
      <c r="C32" s="716"/>
      <c r="D32" s="716"/>
      <c r="E32" s="717"/>
      <c r="F32" s="73">
        <f>(L14+N14)*2</f>
        <v>28</v>
      </c>
      <c r="G32" s="71"/>
      <c r="H32" s="72">
        <v>24</v>
      </c>
      <c r="I32" s="714" t="s">
        <v>411</v>
      </c>
      <c r="J32" s="714"/>
      <c r="K32" s="714"/>
      <c r="L32" s="714"/>
      <c r="M32" s="122">
        <f>F24</f>
        <v>4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1"/>
        <v>140</v>
      </c>
      <c r="AB32" s="60">
        <f t="shared" si="10"/>
        <v>360</v>
      </c>
    </row>
    <row r="33" ht="20.1" customHeight="1" s="58" customFormat="1">
      <c r="A33" s="72">
        <v>10</v>
      </c>
      <c r="B33" s="715" t="s">
        <v>412</v>
      </c>
      <c r="C33" s="716"/>
      <c r="D33" s="716"/>
      <c r="E33" s="717"/>
      <c r="F33" s="73">
        <f>L11*3</f>
        <v>12</v>
      </c>
      <c r="G33" s="71"/>
      <c r="H33" s="72">
        <v>25</v>
      </c>
      <c r="I33" s="714" t="s">
        <v>413</v>
      </c>
      <c r="J33" s="714"/>
      <c r="K33" s="714"/>
      <c r="L33" s="714"/>
      <c r="M33" s="73">
        <f>F24</f>
        <v>4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1"/>
        <v>42</v>
      </c>
      <c r="AB33" s="60">
        <f t="shared" si="10"/>
        <v>660</v>
      </c>
    </row>
    <row r="34" ht="20.1" customHeight="1" s="58" customFormat="1">
      <c r="A34" s="72">
        <v>11</v>
      </c>
      <c r="B34" s="715" t="s">
        <v>414</v>
      </c>
      <c r="C34" s="716"/>
      <c r="D34" s="716"/>
      <c r="E34" s="717"/>
      <c r="F34" s="73">
        <f>L11*3</f>
        <v>12</v>
      </c>
      <c r="G34" s="71"/>
      <c r="H34" s="72">
        <v>26</v>
      </c>
      <c r="I34" s="714" t="s">
        <v>234</v>
      </c>
      <c r="J34" s="714"/>
      <c r="K34" s="714"/>
      <c r="L34" s="714"/>
      <c r="M34" s="73">
        <f>IF(M24=2,1,0)</f>
        <v>1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1"/>
        <v>42</v>
      </c>
      <c r="AB34" s="60">
        <f t="shared" si="10"/>
        <v>5000</v>
      </c>
    </row>
    <row r="35" ht="20.1" customHeight="1" s="58" customFormat="1">
      <c r="A35" s="72">
        <v>12</v>
      </c>
      <c r="B35" s="715" t="s">
        <v>415</v>
      </c>
      <c r="C35" s="716"/>
      <c r="D35" s="716"/>
      <c r="E35" s="717"/>
      <c r="F35" s="73">
        <f>IF(L11&gt;2,(L11-2)*2,"0")</f>
        <v>4</v>
      </c>
      <c r="G35" s="74"/>
      <c r="H35" s="72">
        <v>27</v>
      </c>
      <c r="I35" s="714" t="s">
        <v>235</v>
      </c>
      <c r="J35" s="714"/>
      <c r="K35" s="714"/>
      <c r="L35" s="714"/>
      <c r="M35" s="73">
        <f>M34</f>
        <v>1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1"/>
        <v>180</v>
      </c>
      <c r="AB35" s="60">
        <f t="shared" si="10"/>
        <v>800</v>
      </c>
    </row>
    <row r="36" ht="20.1" customHeight="1" s="58" customFormat="1">
      <c r="A36" s="72">
        <v>13</v>
      </c>
      <c r="B36" s="715" t="s">
        <v>416</v>
      </c>
      <c r="C36" s="716"/>
      <c r="D36" s="716"/>
      <c r="E36" s="717"/>
      <c r="F36" s="73">
        <f>IF(L11&gt;2,(L11-2)*L14,"0")</f>
        <v>24</v>
      </c>
      <c r="G36" s="74"/>
      <c r="H36" s="72">
        <v>28</v>
      </c>
      <c r="I36" s="714" t="s">
        <v>417</v>
      </c>
      <c r="J36" s="714"/>
      <c r="K36" s="714"/>
      <c r="L36" s="714"/>
      <c r="M36" s="73">
        <f>G20</f>
        <v>3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1"/>
        <v>720</v>
      </c>
      <c r="AB36" s="60">
        <f t="shared" si="10"/>
        <v>300</v>
      </c>
    </row>
    <row r="37" ht="20.1" customHeight="1" s="58" customFormat="1">
      <c r="A37" s="72">
        <v>14</v>
      </c>
      <c r="B37" s="715" t="s">
        <v>418</v>
      </c>
      <c r="C37" s="716"/>
      <c r="D37" s="716"/>
      <c r="E37" s="717"/>
      <c r="F37" s="73">
        <f>M24</f>
        <v>2</v>
      </c>
      <c r="G37" s="74"/>
      <c r="H37" s="72">
        <v>29</v>
      </c>
      <c r="I37" s="714" t="s">
        <v>419</v>
      </c>
      <c r="J37" s="714"/>
      <c r="K37" s="714"/>
      <c r="L37" s="714"/>
      <c r="M37" s="73">
        <f>F24</f>
        <v>4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1"/>
        <v>104</v>
      </c>
      <c r="AB37" s="60">
        <f t="shared" si="10"/>
        <v>180</v>
      </c>
    </row>
    <row r="38" ht="18.6" customHeight="1" s="58" customFormat="1">
      <c r="A38" s="72">
        <v>15</v>
      </c>
      <c r="B38" s="714" t="s">
        <v>236</v>
      </c>
      <c r="C38" s="714"/>
      <c r="D38" s="714"/>
      <c r="E38" s="714"/>
      <c r="F38" s="73">
        <f>تسجيل1!C21</f>
        <v>20</v>
      </c>
      <c r="G38" s="74"/>
      <c r="H38" s="72">
        <v>30</v>
      </c>
      <c r="I38" s="714" t="s">
        <v>420</v>
      </c>
      <c r="J38" s="714"/>
      <c r="K38" s="714"/>
      <c r="L38" s="714"/>
      <c r="M38" s="73">
        <f>(I11*4)/100</f>
        <v>30.6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150</v>
      </c>
      <c r="W38" s="60" t="str">
        <f t="shared" si="9"/>
        <v>مانع المياه للبروفيل</v>
      </c>
      <c r="X38" s="148"/>
      <c r="Y38" s="148">
        <v>3.5</v>
      </c>
      <c r="Z38" s="151"/>
      <c r="AA38" s="60">
        <f t="shared" si="11"/>
        <v>3000</v>
      </c>
      <c r="AB38" s="60">
        <f t="shared" si="10"/>
        <v>107.10000000000001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739">
        <f>SUM(AA24:AB38)</f>
        <v>76507.1</v>
      </c>
      <c r="AB39" s="739"/>
    </row>
    <row r="40" ht="20.45" customHeight="1" s="58" customFormat="1">
      <c r="A40" s="749" t="s">
        <v>421</v>
      </c>
      <c r="B40" s="750"/>
      <c r="C40" s="750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739"/>
      <c r="AB40" s="739"/>
    </row>
    <row r="41" ht="18.75" customHeight="1" s="58" customFormat="1">
      <c r="A41" s="740" t="str">
        <f>IF(Format!I5=1,"-------",IF(Format!I5=2,Format!I3,Format!I4))</f>
        <v>صونفي </v>
      </c>
      <c r="B41" s="741"/>
      <c r="C41" s="742"/>
      <c r="D41" s="81"/>
      <c r="E41" s="81"/>
      <c r="F41" s="76"/>
      <c r="G41" s="68"/>
      <c r="H41" s="75"/>
      <c r="I41" s="81"/>
      <c r="J41" s="81"/>
      <c r="K41" s="81"/>
      <c r="L41" s="751" t="s">
        <v>292</v>
      </c>
      <c r="M41" s="752"/>
      <c r="N41" s="753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54">
        <f>AA39+X22+U8</f>
        <v>208532.44905284065</v>
      </c>
      <c r="AB41" s="754"/>
    </row>
    <row r="42" ht="13.9" customHeight="1" s="58" customFormat="1">
      <c r="A42" s="740"/>
      <c r="B42" s="741"/>
      <c r="C42" s="742"/>
      <c r="D42" s="10"/>
      <c r="E42" s="10"/>
      <c r="F42" s="10"/>
      <c r="G42" s="10"/>
      <c r="H42" s="10"/>
      <c r="I42" s="10"/>
      <c r="J42" s="10"/>
      <c r="K42" s="10"/>
      <c r="L42" s="718" t="str">
        <f>IF(Format!B5=1,Format!B2,IF(Format!B5=2,Format!B3,تسجيل1!F4))</f>
        <v>بيج  Ral 1013</v>
      </c>
      <c r="M42" s="719"/>
      <c r="N42" s="720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21" t="str">
        <f>IF(Format!P5=1,"Τηλεχειρισμος",IF(Format!P5=2,"-------","Διακοπτης"))</f>
        <v>Τηλεχειρισμος</v>
      </c>
      <c r="B43" s="722"/>
      <c r="C43" s="723"/>
      <c r="D43" s="10"/>
      <c r="E43" s="10"/>
      <c r="F43" s="10"/>
      <c r="G43" s="10"/>
      <c r="H43" s="10"/>
      <c r="I43" s="10"/>
      <c r="J43" s="10"/>
      <c r="K43" s="10"/>
      <c r="L43" s="724" t="s">
        <v>293</v>
      </c>
      <c r="M43" s="725"/>
      <c r="N43" s="726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27" t="str">
        <f>IF(Format!C8=1,Format!C2,IF(Format!C8=2,Format!C3,IF(Format!C8=3,Format!C4,IF(Format!C8=4,Format!C5,IF(Format!C8=5,Format!C6,تسجيل1!F5)))))</f>
        <v>بيج  Ral 1013</v>
      </c>
      <c r="M44" s="728"/>
      <c r="N44" s="729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30" t="str">
        <f>A3</f>
        <v>اسم العميل </v>
      </c>
      <c r="B96" s="731"/>
      <c r="C96" s="731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1199</v>
      </c>
      <c r="L97" s="177" t="str">
        <f>M8</f>
        <v>Χ</v>
      </c>
      <c r="M97" s="732">
        <f>N8</f>
        <v>772</v>
      </c>
      <c r="N97" s="733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34" t="str">
        <f>L44</f>
        <v>بيج  Ral 1013</v>
      </c>
      <c r="K98" s="735"/>
      <c r="L98" s="735"/>
      <c r="M98" s="735"/>
      <c r="N98" s="736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4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255</v>
      </c>
      <c r="B1" s="20" t="s">
        <v>292</v>
      </c>
      <c r="C1" s="20" t="s">
        <v>293</v>
      </c>
      <c r="D1" s="20" t="s">
        <v>294</v>
      </c>
      <c r="E1" s="20" t="s">
        <v>295</v>
      </c>
      <c r="F1" s="20" t="s">
        <v>296</v>
      </c>
      <c r="G1" s="20" t="s">
        <v>297</v>
      </c>
      <c r="H1" s="20" t="s">
        <v>298</v>
      </c>
      <c r="I1" s="20" t="s">
        <v>299</v>
      </c>
      <c r="J1" s="755" t="s">
        <v>300</v>
      </c>
      <c r="K1" s="756"/>
      <c r="L1" s="756"/>
      <c r="M1" s="757"/>
      <c r="N1" s="20" t="s">
        <v>301</v>
      </c>
      <c r="O1" s="20" t="s">
        <v>299</v>
      </c>
      <c r="P1" s="20" t="s">
        <v>302</v>
      </c>
    </row>
    <row r="2">
      <c r="A2" s="21" t="s">
        <v>303</v>
      </c>
      <c r="B2" s="21" t="s">
        <v>304</v>
      </c>
      <c r="C2" s="21" t="s">
        <v>304</v>
      </c>
      <c r="D2" s="21" t="s">
        <v>305</v>
      </c>
      <c r="E2" s="21" t="s">
        <v>306</v>
      </c>
      <c r="F2" s="21" t="s">
        <v>307</v>
      </c>
      <c r="G2" s="21" t="s">
        <v>307</v>
      </c>
      <c r="H2" s="21" t="s">
        <v>307</v>
      </c>
      <c r="I2" s="21" t="s">
        <v>306</v>
      </c>
      <c r="J2" s="4" t="s">
        <v>308</v>
      </c>
      <c r="K2" s="1" t="s">
        <v>309</v>
      </c>
      <c r="L2" s="1" t="s">
        <v>310</v>
      </c>
      <c r="M2" s="18" t="s">
        <v>311</v>
      </c>
      <c r="N2" s="21" t="s">
        <v>312</v>
      </c>
      <c r="O2" s="21" t="s">
        <v>313</v>
      </c>
      <c r="P2" s="21" t="s">
        <v>307</v>
      </c>
    </row>
    <row r="3">
      <c r="A3" s="21" t="s">
        <v>314</v>
      </c>
      <c r="B3" s="21" t="s">
        <v>315</v>
      </c>
      <c r="C3" s="21" t="s">
        <v>315</v>
      </c>
      <c r="D3" s="21" t="s">
        <v>316</v>
      </c>
      <c r="E3" s="21" t="s">
        <v>317</v>
      </c>
      <c r="F3" s="21" t="s">
        <v>306</v>
      </c>
      <c r="G3" s="21" t="s">
        <v>306</v>
      </c>
      <c r="H3" s="21" t="s">
        <v>306</v>
      </c>
      <c r="I3" s="21" t="s">
        <v>318</v>
      </c>
      <c r="J3" s="49">
        <v>-2</v>
      </c>
      <c r="K3" s="10">
        <v>-5</v>
      </c>
      <c r="L3" s="10">
        <v>-5</v>
      </c>
      <c r="M3" s="18">
        <v>-2</v>
      </c>
      <c r="N3" s="21" t="s">
        <v>319</v>
      </c>
      <c r="O3" s="21" t="s">
        <v>320</v>
      </c>
      <c r="P3" s="21" t="s">
        <v>306</v>
      </c>
    </row>
    <row r="4">
      <c r="A4" s="21" t="s">
        <v>321</v>
      </c>
      <c r="B4" s="21" t="s">
        <v>322</v>
      </c>
      <c r="C4" s="21" t="s">
        <v>323</v>
      </c>
      <c r="D4" s="21">
        <v>1</v>
      </c>
      <c r="E4" s="21" t="s">
        <v>324</v>
      </c>
      <c r="F4" s="21">
        <v>1</v>
      </c>
      <c r="G4" s="21">
        <v>1</v>
      </c>
      <c r="H4" s="21">
        <v>2</v>
      </c>
      <c r="I4" s="21" t="s">
        <v>325</v>
      </c>
      <c r="J4" s="49">
        <v>-1</v>
      </c>
      <c r="K4" s="10">
        <v>-4</v>
      </c>
      <c r="L4" s="10">
        <v>-4</v>
      </c>
      <c r="M4" s="18">
        <v>-1</v>
      </c>
      <c r="N4" s="21" t="s">
        <v>326</v>
      </c>
      <c r="O4" s="21">
        <v>1</v>
      </c>
      <c r="P4" s="21" t="s">
        <v>327</v>
      </c>
    </row>
    <row r="5">
      <c r="A5" s="21" t="s">
        <v>328</v>
      </c>
      <c r="B5" s="21">
        <v>1</v>
      </c>
      <c r="C5" s="21" t="s">
        <v>329</v>
      </c>
      <c r="D5" s="21"/>
      <c r="E5" s="21" t="s">
        <v>330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331</v>
      </c>
      <c r="O5" s="21"/>
      <c r="P5" s="21">
        <v>1</v>
      </c>
    </row>
    <row r="6">
      <c r="A6" s="21" t="s">
        <v>332</v>
      </c>
      <c r="B6" s="21"/>
      <c r="C6" s="21" t="s">
        <v>333</v>
      </c>
      <c r="D6" s="21"/>
      <c r="E6" s="21" t="s">
        <v>334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335</v>
      </c>
      <c r="O6" s="21"/>
      <c r="P6" s="21"/>
    </row>
    <row r="7">
      <c r="A7" s="21">
        <v>2</v>
      </c>
      <c r="B7" s="21"/>
      <c r="C7" s="21" t="s">
        <v>322</v>
      </c>
      <c r="D7" s="21"/>
      <c r="E7" s="21" t="s">
        <v>336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337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338</v>
      </c>
      <c r="B17" s="24" t="str">
        <f>IF(A7=1,A2,IF(A7=2,A3,IF(A7=3,A4,IF(A7=4,A5,IF(A7=5,A6,IF(A7=6,A7,IF(A7=7,A8,IF(A7=8,A9,IF(A7=9,A10,IF(A7=10,A11,IF(A7=11,A12,IF(A7=12,A13,A14))))))))))))</f>
        <v>EVO 150X70</v>
      </c>
      <c r="C17" s="758" t="s">
        <v>339</v>
      </c>
      <c r="D17" s="759"/>
      <c r="E17" s="759"/>
      <c r="F17" s="760"/>
      <c r="G17" s="1"/>
      <c r="H17" s="1"/>
      <c r="I17" s="1"/>
    </row>
    <row r="18">
      <c r="A18" s="26" t="s">
        <v>340</v>
      </c>
      <c r="B18" s="27">
        <f>تسجيل2!C7</f>
        <v>1200</v>
      </c>
      <c r="C18" s="28" t="s">
        <v>341</v>
      </c>
      <c r="D18" s="28"/>
      <c r="E18" s="28"/>
      <c r="F18" s="25"/>
      <c r="G18" s="1"/>
      <c r="H18" s="1"/>
      <c r="I18" s="1"/>
    </row>
    <row r="19">
      <c r="A19" s="29" t="s">
        <v>279</v>
      </c>
      <c r="B19" s="30">
        <f>'Format διαστασης οδηγου (2)'!F16</f>
        <v>800</v>
      </c>
      <c r="C19" s="31">
        <f>IF(B18&gt;2400,8,IF(B18&gt;2000,7,IF(B18&gt;1600,6,IF(B18&gt;1200,5,IF(B18&gt;800,4,IF(B18&gt;400,3,2))))))</f>
        <v>4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61" t="s">
        <v>342</v>
      </c>
      <c r="B29" s="762"/>
      <c r="C29" s="762"/>
      <c r="D29" s="762"/>
      <c r="E29" s="762"/>
      <c r="F29" s="762"/>
      <c r="G29" s="762"/>
      <c r="H29" s="763"/>
      <c r="I29" s="761" t="s">
        <v>343</v>
      </c>
      <c r="J29" s="762"/>
      <c r="K29" s="762"/>
      <c r="L29" s="762"/>
      <c r="M29" s="762"/>
      <c r="N29" s="762"/>
      <c r="O29" s="762"/>
      <c r="P29" s="763"/>
      <c r="Q29" s="761" t="s">
        <v>344</v>
      </c>
      <c r="R29" s="762"/>
      <c r="S29" s="762"/>
      <c r="T29" s="762"/>
      <c r="U29" s="762"/>
      <c r="V29" s="762"/>
      <c r="W29" s="762"/>
      <c r="X29" s="763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64" t="s">
        <v>345</v>
      </c>
      <c r="B31" s="765"/>
      <c r="C31" s="36">
        <f>B19</f>
        <v>800</v>
      </c>
      <c r="D31" s="34" t="s">
        <v>346</v>
      </c>
      <c r="E31" s="36">
        <f>H34</f>
        <v>12</v>
      </c>
      <c r="F31" s="34"/>
      <c r="G31" s="34"/>
      <c r="H31" s="35"/>
      <c r="I31" s="764" t="s">
        <v>345</v>
      </c>
      <c r="J31" s="765"/>
      <c r="K31" s="36">
        <f>B19</f>
        <v>800</v>
      </c>
      <c r="L31" s="34" t="s">
        <v>346</v>
      </c>
      <c r="M31" s="36">
        <f>P34</f>
        <v>10</v>
      </c>
      <c r="N31" s="15"/>
      <c r="O31" s="34"/>
      <c r="P31" s="35"/>
      <c r="Q31" s="766" t="s">
        <v>345</v>
      </c>
      <c r="R31" s="767"/>
      <c r="S31" s="57">
        <f>B19</f>
        <v>800</v>
      </c>
      <c r="T31" s="47" t="s">
        <v>347</v>
      </c>
      <c r="U31" s="57">
        <f>INT((S31-4)/25)+1</f>
        <v>32</v>
      </c>
      <c r="V31" s="47"/>
      <c r="W31" s="47"/>
      <c r="X31" s="48"/>
    </row>
    <row r="32">
      <c r="A32" s="768" t="s">
        <v>346</v>
      </c>
      <c r="B32" s="769"/>
      <c r="C32" s="769"/>
      <c r="D32" s="34"/>
      <c r="E32" s="34"/>
      <c r="F32" s="38"/>
      <c r="G32" s="34"/>
      <c r="H32" s="35"/>
      <c r="I32" s="768" t="s">
        <v>348</v>
      </c>
      <c r="J32" s="769"/>
      <c r="K32" s="769"/>
      <c r="L32" s="34"/>
      <c r="M32" s="34"/>
      <c r="N32" s="54"/>
      <c r="O32" s="34"/>
      <c r="P32" s="35"/>
    </row>
    <row r="33">
      <c r="A33" s="39" t="s">
        <v>349</v>
      </c>
      <c r="B33" s="40" t="s">
        <v>350</v>
      </c>
      <c r="C33" s="40" t="s">
        <v>351</v>
      </c>
      <c r="D33" s="34"/>
      <c r="E33" s="40" t="s">
        <v>349</v>
      </c>
      <c r="F33" s="40" t="s">
        <v>350</v>
      </c>
      <c r="G33" s="40" t="s">
        <v>351</v>
      </c>
      <c r="H33" s="35"/>
      <c r="I33" s="39" t="s">
        <v>349</v>
      </c>
      <c r="J33" s="40" t="s">
        <v>350</v>
      </c>
      <c r="K33" s="40" t="s">
        <v>351</v>
      </c>
      <c r="L33" s="34"/>
      <c r="M33" s="40" t="s">
        <v>349</v>
      </c>
      <c r="N33" s="37" t="s">
        <v>350</v>
      </c>
      <c r="O33" s="40" t="s">
        <v>351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352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12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352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10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353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12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353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10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354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12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354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355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355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356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356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5"/>
  <dimension ref="A1:R25"/>
  <sheetViews>
    <sheetView topLeftCell="B1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70" t="s">
        <v>265</v>
      </c>
      <c r="B1" s="771"/>
      <c r="C1" s="17"/>
      <c r="D1" s="3" t="s">
        <v>266</v>
      </c>
      <c r="E1" s="3" t="s">
        <v>267</v>
      </c>
      <c r="F1" s="3" t="s">
        <v>268</v>
      </c>
      <c r="G1" s="3" t="s">
        <v>269</v>
      </c>
      <c r="H1" s="7" t="s">
        <v>270</v>
      </c>
    </row>
    <row r="2">
      <c r="A2" s="772"/>
      <c r="B2" s="773"/>
      <c r="C2" s="10" t="s">
        <v>271</v>
      </c>
      <c r="D2" s="1">
        <f>تسجيل2!E7</f>
        <v>800</v>
      </c>
      <c r="E2" s="1">
        <f>تسجيل2!E7</f>
        <v>800</v>
      </c>
      <c r="F2" s="1">
        <f>تسجيل2!E7</f>
        <v>800</v>
      </c>
      <c r="G2" s="1">
        <f>تسجيل2!E7</f>
        <v>800</v>
      </c>
      <c r="H2" s="8">
        <f>تسجيل2!E7</f>
        <v>800</v>
      </c>
    </row>
    <row r="3">
      <c r="A3" s="772"/>
      <c r="B3" s="773"/>
      <c r="C3" s="10" t="s">
        <v>272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772"/>
      <c r="B4" s="773"/>
      <c r="C4" s="10" t="s">
        <v>273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772"/>
      <c r="B5" s="773"/>
      <c r="H5" s="18"/>
      <c r="K5" s="1" t="s">
        <v>256</v>
      </c>
      <c r="L5" s="10" t="s">
        <v>274</v>
      </c>
    </row>
    <row r="6">
      <c r="A6" s="772"/>
      <c r="B6" s="773"/>
      <c r="C6" s="10" t="s">
        <v>275</v>
      </c>
      <c r="D6" s="1">
        <f>IF(D3=0,D2,D2-D3-D4+10)</f>
        <v>800</v>
      </c>
      <c r="E6" s="1">
        <f>IF(E3=0,E2,E2-E3-E4+10)</f>
        <v>800</v>
      </c>
      <c r="F6" s="1">
        <f>IF(F3=0,F2,F2-F3-F4+10)</f>
        <v>800</v>
      </c>
      <c r="G6" s="1">
        <f>IF(G3=0,G2,G2-G3-G4+10)</f>
        <v>800</v>
      </c>
      <c r="H6" s="8">
        <f>IF(H3=0,H2,H2-H3-H4+10)</f>
        <v>800</v>
      </c>
      <c r="J6" s="10" t="s">
        <v>276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800</v>
      </c>
      <c r="L6" s="10">
        <f>IF('Format (2)'!E8=1,تسجيل2!E7-30,IF('Format (2)'!E8=2,D7,IF('Format (2)'!E8=3,E7,IF('Format (2)'!E8=4,F7,IF('Format (2)'!E8=5,G7,IF('Format (2)'!E8=6,H7,"-----"))))))</f>
        <v>770</v>
      </c>
    </row>
    <row r="7">
      <c r="A7" s="774"/>
      <c r="B7" s="775"/>
      <c r="C7" s="19" t="s">
        <v>277</v>
      </c>
      <c r="D7" s="6">
        <f>D6-30</f>
        <v>770</v>
      </c>
      <c r="E7" s="6">
        <f>E6-17</f>
        <v>783</v>
      </c>
      <c r="F7" s="6">
        <f>F6-30</f>
        <v>770</v>
      </c>
      <c r="G7" s="6">
        <f>G6-17</f>
        <v>783</v>
      </c>
      <c r="H7" s="9">
        <f>H6-30</f>
        <v>770</v>
      </c>
    </row>
    <row r="10">
      <c r="A10" s="776" t="s">
        <v>278</v>
      </c>
      <c r="B10" s="777"/>
      <c r="C10" s="17"/>
      <c r="D10" s="3" t="s">
        <v>266</v>
      </c>
      <c r="E10" s="3" t="s">
        <v>267</v>
      </c>
      <c r="F10" s="3" t="s">
        <v>268</v>
      </c>
      <c r="G10" s="3" t="s">
        <v>269</v>
      </c>
      <c r="H10" s="7" t="s">
        <v>270</v>
      </c>
    </row>
    <row r="11">
      <c r="A11" s="778"/>
      <c r="B11" s="779"/>
      <c r="C11" s="10" t="s">
        <v>271</v>
      </c>
      <c r="D11" s="1">
        <f>تسجيل2!E7</f>
        <v>800</v>
      </c>
      <c r="E11" s="1">
        <f>تسجيل2!E7</f>
        <v>800</v>
      </c>
      <c r="F11" s="1">
        <f>تسجيل2!E7</f>
        <v>800</v>
      </c>
      <c r="G11" s="1">
        <f>تسجيل2!E7</f>
        <v>800</v>
      </c>
      <c r="H11" s="8">
        <f>تسجيل2!E7</f>
        <v>800</v>
      </c>
    </row>
    <row r="12">
      <c r="A12" s="778"/>
      <c r="B12" s="779"/>
      <c r="C12" s="10" t="s">
        <v>272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778"/>
      <c r="B13" s="779"/>
      <c r="C13" s="10" t="s">
        <v>273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256</v>
      </c>
      <c r="L13" s="10" t="s">
        <v>274</v>
      </c>
    </row>
    <row r="14">
      <c r="A14" s="778"/>
      <c r="B14" s="779"/>
      <c r="H14" s="18"/>
      <c r="J14" s="10" t="s">
        <v>276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800</v>
      </c>
      <c r="L14" s="10">
        <f>IF('Format (2)'!E8=1,تسجيل2!E7-30,IF('Format (2)'!E8=2,D16,IF('Format (2)'!E8=3,E16,IF('Format (2)'!E8=4,F16,IF('Format (2)'!E8=5,G16,IF('Format (2)'!E8=6,H16))))))</f>
        <v>770</v>
      </c>
    </row>
    <row r="15">
      <c r="A15" s="778"/>
      <c r="B15" s="779"/>
      <c r="C15" s="10" t="s">
        <v>275</v>
      </c>
      <c r="D15" s="1">
        <f>IF(D12=0,D11,D11-D12-D13+11)</f>
        <v>800</v>
      </c>
      <c r="E15" s="1">
        <f>IF(E12=0,E11,E11-E12-E13+11)</f>
        <v>800</v>
      </c>
      <c r="F15" s="1">
        <f>IF(F12=0,F11,F11-F12-F13+11)</f>
        <v>800</v>
      </c>
      <c r="G15" s="1">
        <f>IF(G12=0,G11,G11-G12-G13+11)</f>
        <v>800</v>
      </c>
      <c r="H15" s="8">
        <f>IF(H12=0,H11,H11-H12-H13+11)</f>
        <v>800</v>
      </c>
      <c r="Q15" s="1" t="s">
        <v>279</v>
      </c>
      <c r="R15" s="10" t="s">
        <v>280</v>
      </c>
    </row>
    <row r="16">
      <c r="A16" s="780"/>
      <c r="B16" s="781"/>
      <c r="C16" s="19" t="s">
        <v>277</v>
      </c>
      <c r="D16" s="6">
        <f>D15-30</f>
        <v>770</v>
      </c>
      <c r="E16" s="6">
        <f>E15-17</f>
        <v>783</v>
      </c>
      <c r="F16" s="6">
        <f>F15-30</f>
        <v>770</v>
      </c>
      <c r="G16" s="6">
        <f>G15-17</f>
        <v>783</v>
      </c>
      <c r="H16" s="9">
        <f>H15-30</f>
        <v>770</v>
      </c>
      <c r="Q16" s="10">
        <f>IF('Format (2)'!A7=1,K6,IF('Format (2)'!A7=3,K6,IF('Format (2)'!A7=4,K23,IF('Format (2)'!A7=2,K23,IF('Format (2)'!A7=5,K14,"------")))))</f>
        <v>800</v>
      </c>
      <c r="R16" s="10">
        <f>IF('Format (2)'!A7=1,L6,IF('Format (2)'!A7=3,L6,IF('Format (2)'!A7=4,L23,IF('Format (2)'!A7=2,L23+2,IF('Format (2)'!A7=5,L14,"------")))))</f>
        <v>772</v>
      </c>
    </row>
    <row r="19">
      <c r="A19" s="782" t="s">
        <v>281</v>
      </c>
      <c r="B19" s="783"/>
      <c r="C19" s="17"/>
      <c r="D19" s="3" t="s">
        <v>266</v>
      </c>
      <c r="E19" s="3" t="s">
        <v>267</v>
      </c>
      <c r="F19" s="3" t="s">
        <v>268</v>
      </c>
      <c r="G19" s="3" t="s">
        <v>269</v>
      </c>
      <c r="H19" s="7" t="s">
        <v>270</v>
      </c>
    </row>
    <row r="20">
      <c r="A20" s="784"/>
      <c r="B20" s="785"/>
      <c r="C20" s="10" t="s">
        <v>271</v>
      </c>
      <c r="D20" s="1">
        <f>تسجيل2!E7</f>
        <v>800</v>
      </c>
      <c r="E20" s="1">
        <f>تسجيل2!E7</f>
        <v>800</v>
      </c>
      <c r="F20" s="1">
        <f>تسجيل2!E7</f>
        <v>800</v>
      </c>
      <c r="G20" s="1">
        <f>تسجيل2!E7</f>
        <v>800</v>
      </c>
      <c r="H20" s="8">
        <f>تسجيل2!E7</f>
        <v>800</v>
      </c>
    </row>
    <row r="21">
      <c r="A21" s="784"/>
      <c r="B21" s="785"/>
      <c r="C21" s="10" t="s">
        <v>272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784"/>
      <c r="B22" s="785"/>
      <c r="C22" s="10" t="s">
        <v>273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256</v>
      </c>
      <c r="L22" s="10" t="s">
        <v>274</v>
      </c>
    </row>
    <row r="23">
      <c r="A23" s="784"/>
      <c r="B23" s="785"/>
      <c r="H23" s="18"/>
      <c r="J23" s="10" t="s">
        <v>276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800</v>
      </c>
      <c r="L23" s="10">
        <f>IF('Format (2)'!E8=1,تسجيل2!E7-30,IF('Format (2)'!E8=2,D25,IF('Format (2)'!E8=3,E25,IF('Format (2)'!E8=4,F25,IF('Format (2)'!E8=5,G25,IF('Format (2)'!E8=6,H25))))))</f>
        <v>770</v>
      </c>
    </row>
    <row r="24">
      <c r="A24" s="784"/>
      <c r="B24" s="785"/>
      <c r="C24" s="10" t="s">
        <v>275</v>
      </c>
      <c r="D24" s="1">
        <f>IF(D21=0,D20,D20-D21-D22+11)</f>
        <v>800</v>
      </c>
      <c r="E24" s="1">
        <f>IF(E21=0,E20,E20-E21-E22+11)</f>
        <v>800</v>
      </c>
      <c r="F24" s="1">
        <f>IF(F21=0,F20,F20-F21-F22+11)</f>
        <v>800</v>
      </c>
      <c r="G24" s="1">
        <f>IF(G21=0,G20,G20-G21-G22+11)</f>
        <v>800</v>
      </c>
      <c r="H24" s="8">
        <f>IF(H21=0,H20,H20-H21-H22+11)</f>
        <v>800</v>
      </c>
    </row>
    <row r="25">
      <c r="A25" s="786"/>
      <c r="B25" s="787"/>
      <c r="C25" s="19" t="s">
        <v>277</v>
      </c>
      <c r="D25" s="6">
        <f>D24-30</f>
        <v>770</v>
      </c>
      <c r="E25" s="6">
        <f>E24-13</f>
        <v>787</v>
      </c>
      <c r="F25" s="6">
        <f>F24-30</f>
        <v>770</v>
      </c>
      <c r="G25" s="6">
        <f>G24-13</f>
        <v>787</v>
      </c>
      <c r="H25" s="9">
        <f>H24-30</f>
        <v>770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6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282</v>
      </c>
      <c r="K2" s="1" t="s">
        <v>283</v>
      </c>
      <c r="O2" s="1" t="s">
        <v>284</v>
      </c>
    </row>
    <row r="3">
      <c r="A3" s="1" t="s">
        <v>255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285</v>
      </c>
      <c r="B4" s="1">
        <f>تسجيل2!C7</f>
        <v>1200</v>
      </c>
      <c r="J4" s="15">
        <v>4</v>
      </c>
      <c r="K4" s="15">
        <v>2</v>
      </c>
    </row>
    <row r="5">
      <c r="A5" s="1" t="s">
        <v>256</v>
      </c>
      <c r="B5" s="1">
        <f>تسجيل2!E7</f>
        <v>800</v>
      </c>
      <c r="J5" s="15">
        <v>5</v>
      </c>
      <c r="K5" s="15">
        <v>3</v>
      </c>
      <c r="L5" s="1">
        <f>IF(B6&lt;3,2,IF(B6&lt;4,2,IF(B6&lt;5,2,IF(B6&lt;6,3,IF(B6&lt;7,3,IF(B6&lt;8,3,IF(B6&lt;8,4,L11)))))))</f>
        <v>5</v>
      </c>
    </row>
    <row r="6">
      <c r="A6" s="1" t="s">
        <v>282</v>
      </c>
      <c r="B6" s="1">
        <f>'Cutting Ro-2'!L14</f>
        <v>12</v>
      </c>
      <c r="C6" s="1" t="s">
        <v>286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5</v>
      </c>
    </row>
    <row r="9">
      <c r="A9" s="1" t="s">
        <v>287</v>
      </c>
      <c r="B9" s="1">
        <f>O8</f>
        <v>5</v>
      </c>
      <c r="J9" s="15">
        <v>9</v>
      </c>
      <c r="K9" s="15">
        <v>4</v>
      </c>
    </row>
    <row r="10">
      <c r="A10" s="12" t="s">
        <v>288</v>
      </c>
      <c r="B10" s="13">
        <f>(((B4-(تسجيل2!C22*2))/200)+1)*B9</f>
        <v>32.5</v>
      </c>
      <c r="C10" s="650" t="s">
        <v>289</v>
      </c>
      <c r="D10" s="650"/>
      <c r="E10" s="14">
        <f>ROUND(B10,0)</f>
        <v>33</v>
      </c>
      <c r="J10" s="15">
        <v>10</v>
      </c>
      <c r="K10" s="15">
        <v>4</v>
      </c>
    </row>
    <row r="11">
      <c r="A11" s="12" t="s">
        <v>290</v>
      </c>
      <c r="B11" s="13">
        <f>E10/B9</f>
        <v>6.6</v>
      </c>
      <c r="C11" s="650" t="s">
        <v>289</v>
      </c>
      <c r="D11" s="650"/>
      <c r="E11" s="14">
        <f>ROUND(B11,0)</f>
        <v>7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5</v>
      </c>
    </row>
    <row r="12">
      <c r="A12" s="12" t="s">
        <v>291</v>
      </c>
      <c r="B12" s="14">
        <f>E11*B9</f>
        <v>35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7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255</v>
      </c>
      <c r="B1" s="1" t="s">
        <v>256</v>
      </c>
      <c r="C1" s="1" t="s">
        <v>257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800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258</v>
      </c>
      <c r="C6" s="1">
        <f>IF('Format (2)'!N8=1,'Format διαστασης οδηγου (2)'!B2-32,IF('Format (2)'!N8=2,'Format διαστασης οδηγου (2)'!B2-43,"-------"))</f>
        <v>768</v>
      </c>
      <c r="K6" s="8"/>
    </row>
    <row r="7">
      <c r="A7" s="4" t="s">
        <v>259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765</v>
      </c>
      <c r="H7" s="788" t="s">
        <v>260</v>
      </c>
      <c r="I7" s="788"/>
      <c r="J7" s="788"/>
      <c r="K7" s="789"/>
    </row>
    <row r="8">
      <c r="A8" s="4" t="s">
        <v>261</v>
      </c>
      <c r="C8" s="1">
        <f>IF('Format (2)'!N8=1,'Format διαστασης οδηγου (2)'!B2-32,"-------")</f>
        <v>768</v>
      </c>
      <c r="F8" s="1">
        <f>IF('Format (2)'!A7=1,C6,IF('Format (2)'!A7=2,C7,IF('Format (2)'!A7=3,C8,IF('Format (2)'!A7=4,C9,IF('Format (2)'!A7=5,C10)))))</f>
        <v>765</v>
      </c>
      <c r="H8" s="788"/>
      <c r="I8" s="788"/>
      <c r="J8" s="788"/>
      <c r="K8" s="789"/>
    </row>
    <row r="9">
      <c r="A9" s="4" t="s">
        <v>262</v>
      </c>
      <c r="C9" s="1" t="str">
        <f>IF('Format (2)'!N8=5,'Format διαστασης οδηγου (2)'!B2-35,IF('Format (2)'!N8=6,'Format διαστασης οδηγου (2)'!B2-31,"-------"))</f>
        <v>-------</v>
      </c>
      <c r="H9" s="788"/>
      <c r="I9" s="788"/>
      <c r="J9" s="788"/>
      <c r="K9" s="789"/>
    </row>
    <row r="10">
      <c r="A10" s="4" t="s">
        <v>263</v>
      </c>
      <c r="C10" s="1">
        <f>B2-32</f>
        <v>768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258</v>
      </c>
      <c r="C14" s="1">
        <f>IF('Format (2)'!N8=1,B2,IF('Format (2)'!N8=2,'Format διαστασης οδηγου (2)'!B2-11,"-------"))</f>
        <v>800</v>
      </c>
      <c r="K14" s="8"/>
    </row>
    <row r="15">
      <c r="A15" s="4" t="s">
        <v>259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800</v>
      </c>
      <c r="H15" s="788" t="s">
        <v>264</v>
      </c>
      <c r="I15" s="788"/>
      <c r="J15" s="788"/>
      <c r="K15" s="789"/>
    </row>
    <row r="16">
      <c r="A16" s="4" t="s">
        <v>261</v>
      </c>
      <c r="C16" s="1">
        <f>IF('Format (2)'!N8=1,'Format διαστασης οδηγου (2)'!B2,"-------")</f>
        <v>800</v>
      </c>
      <c r="F16" s="1">
        <f>IF('Format (2)'!A7=1,C14,IF('Format (2)'!A7=2,C15,IF('Format (2)'!A7=3,C16,IF('Format (2)'!A7=4,C17,IF('Format (2)'!A7=5,C118)))))</f>
        <v>800</v>
      </c>
      <c r="H16" s="788"/>
      <c r="I16" s="788"/>
      <c r="J16" s="788"/>
      <c r="K16" s="789"/>
    </row>
    <row r="17">
      <c r="A17" s="4" t="s">
        <v>262</v>
      </c>
      <c r="C17" s="1" t="str">
        <f>IF('Format (2)'!N8=5,'Format διαστασης οδηγου (2)'!B2-6,IF('Format (2)'!N8=6,'Format διαστασης οδηγου (2)'!B2-2,"-------"))</f>
        <v>-------</v>
      </c>
      <c r="H17" s="788"/>
      <c r="I17" s="788"/>
      <c r="J17" s="788"/>
      <c r="K17" s="789"/>
    </row>
    <row r="18">
      <c r="A18" s="4" t="s">
        <v>263</v>
      </c>
      <c r="C18" s="1">
        <f>B2</f>
        <v>800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8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255</v>
      </c>
      <c r="B1" s="20" t="s">
        <v>292</v>
      </c>
      <c r="C1" s="20" t="s">
        <v>293</v>
      </c>
      <c r="D1" s="20" t="s">
        <v>294</v>
      </c>
      <c r="E1" s="20" t="s">
        <v>295</v>
      </c>
      <c r="F1" s="20" t="s">
        <v>296</v>
      </c>
      <c r="G1" s="20" t="s">
        <v>297</v>
      </c>
      <c r="H1" s="20" t="s">
        <v>298</v>
      </c>
      <c r="I1" s="20" t="s">
        <v>299</v>
      </c>
      <c r="J1" s="755" t="s">
        <v>300</v>
      </c>
      <c r="K1" s="756"/>
      <c r="L1" s="756"/>
      <c r="M1" s="757"/>
      <c r="N1" s="20" t="s">
        <v>301</v>
      </c>
      <c r="O1" s="20" t="s">
        <v>299</v>
      </c>
      <c r="P1" s="20" t="s">
        <v>302</v>
      </c>
    </row>
    <row r="2">
      <c r="A2" s="21" t="s">
        <v>303</v>
      </c>
      <c r="B2" s="21" t="s">
        <v>304</v>
      </c>
      <c r="C2" s="21" t="s">
        <v>304</v>
      </c>
      <c r="D2" s="21" t="s">
        <v>305</v>
      </c>
      <c r="E2" s="21" t="s">
        <v>306</v>
      </c>
      <c r="F2" s="21" t="s">
        <v>307</v>
      </c>
      <c r="G2" s="21" t="s">
        <v>307</v>
      </c>
      <c r="H2" s="21" t="s">
        <v>307</v>
      </c>
      <c r="I2" s="21" t="s">
        <v>306</v>
      </c>
      <c r="J2" s="4" t="s">
        <v>308</v>
      </c>
      <c r="K2" s="1" t="s">
        <v>309</v>
      </c>
      <c r="L2" s="1" t="s">
        <v>310</v>
      </c>
      <c r="M2" s="18" t="s">
        <v>311</v>
      </c>
      <c r="N2" s="21" t="s">
        <v>312</v>
      </c>
      <c r="O2" s="21" t="s">
        <v>313</v>
      </c>
      <c r="P2" s="21" t="s">
        <v>307</v>
      </c>
    </row>
    <row r="3">
      <c r="A3" s="21" t="s">
        <v>314</v>
      </c>
      <c r="B3" s="21" t="s">
        <v>315</v>
      </c>
      <c r="C3" s="21" t="s">
        <v>315</v>
      </c>
      <c r="D3" s="21" t="s">
        <v>316</v>
      </c>
      <c r="E3" s="21" t="s">
        <v>317</v>
      </c>
      <c r="F3" s="21" t="s">
        <v>306</v>
      </c>
      <c r="G3" s="21" t="s">
        <v>306</v>
      </c>
      <c r="H3" s="21" t="s">
        <v>306</v>
      </c>
      <c r="I3" s="21" t="s">
        <v>318</v>
      </c>
      <c r="J3" s="49">
        <v>-2</v>
      </c>
      <c r="K3" s="10">
        <v>-5</v>
      </c>
      <c r="L3" s="10">
        <v>-5</v>
      </c>
      <c r="M3" s="18">
        <v>-2</v>
      </c>
      <c r="N3" s="21" t="s">
        <v>319</v>
      </c>
      <c r="O3" s="21" t="s">
        <v>320</v>
      </c>
      <c r="P3" s="21" t="s">
        <v>306</v>
      </c>
    </row>
    <row r="4">
      <c r="A4" s="21" t="s">
        <v>321</v>
      </c>
      <c r="B4" s="21" t="s">
        <v>322</v>
      </c>
      <c r="C4" s="21" t="s">
        <v>323</v>
      </c>
      <c r="D4" s="21">
        <v>1</v>
      </c>
      <c r="E4" s="21" t="s">
        <v>324</v>
      </c>
      <c r="F4" s="21">
        <v>1</v>
      </c>
      <c r="G4" s="21">
        <v>1</v>
      </c>
      <c r="H4" s="21">
        <v>2</v>
      </c>
      <c r="I4" s="21" t="s">
        <v>325</v>
      </c>
      <c r="J4" s="49">
        <v>-1</v>
      </c>
      <c r="K4" s="10">
        <v>-4</v>
      </c>
      <c r="L4" s="10">
        <v>-4</v>
      </c>
      <c r="M4" s="18">
        <v>-1</v>
      </c>
      <c r="N4" s="21" t="s">
        <v>326</v>
      </c>
      <c r="O4" s="21">
        <v>1</v>
      </c>
      <c r="P4" s="21" t="s">
        <v>327</v>
      </c>
    </row>
    <row r="5">
      <c r="A5" s="21" t="s">
        <v>328</v>
      </c>
      <c r="B5" s="21">
        <v>1</v>
      </c>
      <c r="C5" s="21" t="s">
        <v>329</v>
      </c>
      <c r="D5" s="21"/>
      <c r="E5" s="21" t="s">
        <v>330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331</v>
      </c>
      <c r="O5" s="21"/>
      <c r="P5" s="21">
        <v>1</v>
      </c>
    </row>
    <row r="6">
      <c r="A6" s="21" t="s">
        <v>332</v>
      </c>
      <c r="B6" s="21"/>
      <c r="C6" s="21" t="s">
        <v>333</v>
      </c>
      <c r="D6" s="21"/>
      <c r="E6" s="21" t="s">
        <v>334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335</v>
      </c>
      <c r="O6" s="21"/>
      <c r="P6" s="21"/>
    </row>
    <row r="7">
      <c r="A7" s="21">
        <v>2</v>
      </c>
      <c r="B7" s="21"/>
      <c r="C7" s="21" t="s">
        <v>322</v>
      </c>
      <c r="D7" s="21"/>
      <c r="E7" s="21" t="s">
        <v>336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337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338</v>
      </c>
      <c r="B17" s="24" t="str">
        <f>IF(A7=1,A2,IF(A7=2,A3,IF(A7=3,A4,IF(A7=4,A5,IF(A7=5,A6,IF(A7=6,A7,IF(A7=7,A8,IF(A7=8,A9,IF(A7=9,A10,IF(A7=10,A11,IF(A7=11,A12,IF(A7=12,A13,A14))))))))))))</f>
        <v>EVO 150X70</v>
      </c>
      <c r="C17" s="758" t="s">
        <v>339</v>
      </c>
      <c r="D17" s="759"/>
      <c r="E17" s="759"/>
      <c r="F17" s="760"/>
      <c r="G17" s="1"/>
      <c r="H17" s="1"/>
      <c r="I17" s="1"/>
    </row>
    <row r="18">
      <c r="A18" s="26" t="s">
        <v>340</v>
      </c>
      <c r="B18" s="27">
        <f>تسجيل1!C7</f>
        <v>500</v>
      </c>
      <c r="C18" s="28" t="s">
        <v>341</v>
      </c>
      <c r="D18" s="28"/>
      <c r="E18" s="28"/>
      <c r="F18" s="25"/>
      <c r="G18" s="1"/>
      <c r="H18" s="1"/>
      <c r="I18" s="1"/>
    </row>
    <row r="19">
      <c r="A19" s="29" t="s">
        <v>279</v>
      </c>
      <c r="B19" s="30">
        <f>'Format διαστασης οδηγου'!F16</f>
        <v>800</v>
      </c>
      <c r="C19" s="31">
        <f>IF(B18&gt;2400,8,IF(B18&gt;2000,7,IF(B18&gt;1600,6,IF(B18&gt;1200,5,IF(B18&gt;800,4,IF(B18&gt;400,3,2))))))</f>
        <v>3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61" t="s">
        <v>342</v>
      </c>
      <c r="B29" s="762"/>
      <c r="C29" s="762"/>
      <c r="D29" s="762"/>
      <c r="E29" s="762"/>
      <c r="F29" s="762"/>
      <c r="G29" s="762"/>
      <c r="H29" s="763"/>
      <c r="I29" s="761" t="s">
        <v>343</v>
      </c>
      <c r="J29" s="762"/>
      <c r="K29" s="762"/>
      <c r="L29" s="762"/>
      <c r="M29" s="762"/>
      <c r="N29" s="762"/>
      <c r="O29" s="762"/>
      <c r="P29" s="763"/>
      <c r="Q29" s="761" t="s">
        <v>344</v>
      </c>
      <c r="R29" s="762"/>
      <c r="S29" s="762"/>
      <c r="T29" s="762"/>
      <c r="U29" s="762"/>
      <c r="V29" s="762"/>
      <c r="W29" s="762"/>
      <c r="X29" s="763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64" t="s">
        <v>345</v>
      </c>
      <c r="B31" s="765"/>
      <c r="C31" s="36">
        <f>B19</f>
        <v>800</v>
      </c>
      <c r="D31" s="34" t="s">
        <v>346</v>
      </c>
      <c r="E31" s="36">
        <f>H34</f>
        <v>12</v>
      </c>
      <c r="F31" s="34"/>
      <c r="G31" s="34"/>
      <c r="H31" s="35"/>
      <c r="I31" s="764" t="s">
        <v>345</v>
      </c>
      <c r="J31" s="765"/>
      <c r="K31" s="36">
        <f>B19</f>
        <v>800</v>
      </c>
      <c r="L31" s="34" t="s">
        <v>346</v>
      </c>
      <c r="M31" s="36">
        <f>P34</f>
        <v>10</v>
      </c>
      <c r="N31" s="15"/>
      <c r="O31" s="34"/>
      <c r="P31" s="35"/>
      <c r="Q31" s="766" t="s">
        <v>345</v>
      </c>
      <c r="R31" s="767"/>
      <c r="S31" s="57">
        <f>B19</f>
        <v>800</v>
      </c>
      <c r="T31" s="47" t="s">
        <v>347</v>
      </c>
      <c r="U31" s="57">
        <f>INT((S31-4)/25)+1</f>
        <v>32</v>
      </c>
      <c r="V31" s="47"/>
      <c r="W31" s="47"/>
      <c r="X31" s="48"/>
    </row>
    <row r="32">
      <c r="A32" s="768" t="s">
        <v>346</v>
      </c>
      <c r="B32" s="769"/>
      <c r="C32" s="769"/>
      <c r="D32" s="34"/>
      <c r="E32" s="34"/>
      <c r="F32" s="38"/>
      <c r="G32" s="34"/>
      <c r="H32" s="35"/>
      <c r="I32" s="768" t="s">
        <v>348</v>
      </c>
      <c r="J32" s="769"/>
      <c r="K32" s="769"/>
      <c r="L32" s="34"/>
      <c r="M32" s="34"/>
      <c r="N32" s="54"/>
      <c r="O32" s="34"/>
      <c r="P32" s="35"/>
    </row>
    <row r="33">
      <c r="A33" s="39" t="s">
        <v>349</v>
      </c>
      <c r="B33" s="40" t="s">
        <v>350</v>
      </c>
      <c r="C33" s="40" t="s">
        <v>351</v>
      </c>
      <c r="D33" s="34"/>
      <c r="E33" s="40" t="s">
        <v>349</v>
      </c>
      <c r="F33" s="40" t="s">
        <v>350</v>
      </c>
      <c r="G33" s="40" t="s">
        <v>351</v>
      </c>
      <c r="H33" s="35"/>
      <c r="I33" s="39" t="s">
        <v>349</v>
      </c>
      <c r="J33" s="40" t="s">
        <v>350</v>
      </c>
      <c r="K33" s="40" t="s">
        <v>351</v>
      </c>
      <c r="L33" s="34"/>
      <c r="M33" s="40" t="s">
        <v>349</v>
      </c>
      <c r="N33" s="37" t="s">
        <v>350</v>
      </c>
      <c r="O33" s="40" t="s">
        <v>351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352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12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352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10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353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12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353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10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354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12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354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355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355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356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356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9"/>
  <dimension ref="A1:R25"/>
  <sheetViews>
    <sheetView topLeftCell="A10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70" t="s">
        <v>265</v>
      </c>
      <c r="B1" s="771"/>
      <c r="C1" s="17"/>
      <c r="D1" s="3" t="s">
        <v>266</v>
      </c>
      <c r="E1" s="3" t="s">
        <v>267</v>
      </c>
      <c r="F1" s="3" t="s">
        <v>268</v>
      </c>
      <c r="G1" s="3" t="s">
        <v>269</v>
      </c>
      <c r="H1" s="7" t="s">
        <v>270</v>
      </c>
    </row>
    <row r="2">
      <c r="A2" s="772"/>
      <c r="B2" s="773"/>
      <c r="C2" s="10" t="s">
        <v>271</v>
      </c>
      <c r="D2" s="1">
        <f>تسجيل1!E7</f>
        <v>800</v>
      </c>
      <c r="E2" s="1">
        <f>تسجيل1!E7</f>
        <v>800</v>
      </c>
      <c r="F2" s="1">
        <f>تسجيل1!E7</f>
        <v>800</v>
      </c>
      <c r="G2" s="1">
        <f>تسجيل1!E7</f>
        <v>800</v>
      </c>
      <c r="H2" s="8">
        <f>تسجيل1!E7</f>
        <v>800</v>
      </c>
    </row>
    <row r="3">
      <c r="A3" s="772"/>
      <c r="B3" s="773"/>
      <c r="C3" s="10" t="s">
        <v>272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772"/>
      <c r="B4" s="773"/>
      <c r="C4" s="10" t="s">
        <v>273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772"/>
      <c r="B5" s="773"/>
      <c r="H5" s="18"/>
      <c r="K5" s="1" t="s">
        <v>256</v>
      </c>
      <c r="L5" s="10" t="s">
        <v>274</v>
      </c>
    </row>
    <row r="6">
      <c r="A6" s="772"/>
      <c r="B6" s="773"/>
      <c r="C6" s="10" t="s">
        <v>275</v>
      </c>
      <c r="D6" s="1">
        <f>IF(D3=0,D2,D2-D3-D4+10)</f>
        <v>800</v>
      </c>
      <c r="E6" s="1">
        <f>IF(E3=0,E2,E2-E3-E4+10)</f>
        <v>800</v>
      </c>
      <c r="F6" s="1">
        <f>IF(F3=0,F2,F2-F3-F4+10)</f>
        <v>800</v>
      </c>
      <c r="G6" s="1">
        <f>IF(G3=0,G2,G2-G3-G4+10)</f>
        <v>800</v>
      </c>
      <c r="H6" s="8">
        <f>IF(H3=0,H2,H2-H3-H4+10)</f>
        <v>800</v>
      </c>
      <c r="J6" s="10" t="s">
        <v>276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800</v>
      </c>
      <c r="L6" s="10">
        <f>IF(Format!E8=1,تسجيل1!E7-30,IF(Format!E8=2,D7,IF(Format!E8=3,E7,IF(Format!E8=4,F7,IF(Format!E8=5,G7,IF(Format!E8=6,H7,"-----"))))))</f>
        <v>770</v>
      </c>
    </row>
    <row r="7">
      <c r="A7" s="774"/>
      <c r="B7" s="775"/>
      <c r="C7" s="19" t="s">
        <v>277</v>
      </c>
      <c r="D7" s="6">
        <f>D6-30</f>
        <v>770</v>
      </c>
      <c r="E7" s="6">
        <f>E6-17</f>
        <v>783</v>
      </c>
      <c r="F7" s="6">
        <f>F6-30</f>
        <v>770</v>
      </c>
      <c r="G7" s="6">
        <f>G6-17</f>
        <v>783</v>
      </c>
      <c r="H7" s="9">
        <f>H6-30</f>
        <v>770</v>
      </c>
    </row>
    <row r="10">
      <c r="A10" s="776" t="s">
        <v>278</v>
      </c>
      <c r="B10" s="777"/>
      <c r="C10" s="17"/>
      <c r="D10" s="3" t="s">
        <v>266</v>
      </c>
      <c r="E10" s="3" t="s">
        <v>267</v>
      </c>
      <c r="F10" s="3" t="s">
        <v>268</v>
      </c>
      <c r="G10" s="3" t="s">
        <v>269</v>
      </c>
      <c r="H10" s="7" t="s">
        <v>270</v>
      </c>
    </row>
    <row r="11">
      <c r="A11" s="778"/>
      <c r="B11" s="779"/>
      <c r="C11" s="10" t="s">
        <v>271</v>
      </c>
      <c r="D11" s="1">
        <f>تسجيل1!E7</f>
        <v>800</v>
      </c>
      <c r="E11" s="1">
        <f>تسجيل1!E7</f>
        <v>800</v>
      </c>
      <c r="F11" s="1">
        <f>تسجيل1!E7</f>
        <v>800</v>
      </c>
      <c r="G11" s="1">
        <f>تسجيل1!E7</f>
        <v>800</v>
      </c>
      <c r="H11" s="8">
        <f>تسجيل1!E7</f>
        <v>800</v>
      </c>
    </row>
    <row r="12">
      <c r="A12" s="778"/>
      <c r="B12" s="779"/>
      <c r="C12" s="10" t="s">
        <v>272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778"/>
      <c r="B13" s="779"/>
      <c r="C13" s="10" t="s">
        <v>273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256</v>
      </c>
      <c r="L13" s="10" t="s">
        <v>274</v>
      </c>
    </row>
    <row r="14">
      <c r="A14" s="778"/>
      <c r="B14" s="779"/>
      <c r="H14" s="18"/>
      <c r="J14" s="10" t="s">
        <v>276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800</v>
      </c>
      <c r="L14" s="10">
        <f>IF(Format!E8=1,تسجيل1!E7-30,IF(Format!E8=2,D16,IF(Format!E8=3,E16,IF(Format!E8=4,F16,IF(Format!E8=5,G16,IF(Format!E8=6,H16))))))</f>
        <v>770</v>
      </c>
    </row>
    <row r="15">
      <c r="A15" s="778"/>
      <c r="B15" s="779"/>
      <c r="C15" s="10" t="s">
        <v>275</v>
      </c>
      <c r="D15" s="1">
        <f>IF(D12=0,D11,D11-D12-D13+11)</f>
        <v>800</v>
      </c>
      <c r="E15" s="1">
        <f>IF(E12=0,E11,E11-E12-E13+11)</f>
        <v>800</v>
      </c>
      <c r="F15" s="1">
        <f>IF(F12=0,F11,F11-F12-F13+11)</f>
        <v>800</v>
      </c>
      <c r="G15" s="1">
        <f>IF(G12=0,G11,G11-G12-G13+11)</f>
        <v>800</v>
      </c>
      <c r="H15" s="8">
        <f>IF(H12=0,H11,H11-H12-H13+11)</f>
        <v>800</v>
      </c>
      <c r="Q15" s="1" t="s">
        <v>279</v>
      </c>
      <c r="R15" s="10" t="s">
        <v>280</v>
      </c>
    </row>
    <row r="16">
      <c r="A16" s="780"/>
      <c r="B16" s="781"/>
      <c r="C16" s="19" t="s">
        <v>277</v>
      </c>
      <c r="D16" s="6">
        <f>D15-30</f>
        <v>770</v>
      </c>
      <c r="E16" s="6">
        <f>E15-17</f>
        <v>783</v>
      </c>
      <c r="F16" s="6">
        <f>F15-30</f>
        <v>770</v>
      </c>
      <c r="G16" s="6">
        <f>G15-17</f>
        <v>783</v>
      </c>
      <c r="H16" s="9">
        <f>H15-30</f>
        <v>770</v>
      </c>
      <c r="Q16" s="10">
        <f>IF(Format!A7=1,K6,IF(Format!A7=3,K6,IF(Format!A7=4,K23,IF(Format!A7=2,K23,IF(Format!A7=5,K14,"------")))))</f>
        <v>800</v>
      </c>
      <c r="R16" s="10">
        <f>IF(Format!A7=1,L6,IF(Format!A7=3,L6,IF(Format!A7=4,L23,IF(Format!A7=2,L23+2,IF(Format!A7=5,L14,"------")))))</f>
        <v>772</v>
      </c>
    </row>
    <row r="19">
      <c r="A19" s="782" t="s">
        <v>281</v>
      </c>
      <c r="B19" s="783"/>
      <c r="C19" s="17"/>
      <c r="D19" s="3" t="s">
        <v>266</v>
      </c>
      <c r="E19" s="3" t="s">
        <v>267</v>
      </c>
      <c r="F19" s="3" t="s">
        <v>268</v>
      </c>
      <c r="G19" s="3" t="s">
        <v>269</v>
      </c>
      <c r="H19" s="7" t="s">
        <v>270</v>
      </c>
    </row>
    <row r="20">
      <c r="A20" s="784"/>
      <c r="B20" s="785"/>
      <c r="C20" s="10" t="s">
        <v>271</v>
      </c>
      <c r="D20" s="1">
        <f>تسجيل1!E7</f>
        <v>800</v>
      </c>
      <c r="E20" s="1">
        <f>تسجيل1!E7</f>
        <v>800</v>
      </c>
      <c r="F20" s="1">
        <f>تسجيل1!E7</f>
        <v>800</v>
      </c>
      <c r="G20" s="1">
        <f>تسجيل1!E7</f>
        <v>800</v>
      </c>
      <c r="H20" s="8">
        <f>تسجيل1!E7</f>
        <v>800</v>
      </c>
    </row>
    <row r="21">
      <c r="A21" s="784"/>
      <c r="B21" s="785"/>
      <c r="C21" s="10" t="s">
        <v>272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784"/>
      <c r="B22" s="785"/>
      <c r="C22" s="10" t="s">
        <v>273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256</v>
      </c>
      <c r="L22" s="10" t="s">
        <v>274</v>
      </c>
    </row>
    <row r="23">
      <c r="A23" s="784"/>
      <c r="B23" s="785"/>
      <c r="H23" s="18"/>
      <c r="J23" s="10" t="s">
        <v>276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800</v>
      </c>
      <c r="L23" s="10">
        <f>IF(Format!E8=1,تسجيل1!E7-30,IF(Format!E8=2,D25,IF(Format!E8=3,E25,IF(Format!E8=4,F25,IF(Format!E8=5,G25,IF(Format!E8=6,H25))))))</f>
        <v>770</v>
      </c>
    </row>
    <row r="24">
      <c r="A24" s="784"/>
      <c r="B24" s="785"/>
      <c r="C24" s="10" t="s">
        <v>275</v>
      </c>
      <c r="D24" s="1">
        <f>IF(D21=0,D20,D20-D21-D22+11)</f>
        <v>800</v>
      </c>
      <c r="E24" s="1">
        <f>IF(E21=0,E20,E20-E21-E22+11)</f>
        <v>800</v>
      </c>
      <c r="F24" s="1">
        <f>IF(F21=0,F20,F20-F21-F22+11)</f>
        <v>800</v>
      </c>
      <c r="G24" s="1">
        <f>IF(G21=0,G20,G20-G21-G22+11)</f>
        <v>800</v>
      </c>
      <c r="H24" s="8">
        <f>IF(H21=0,H20,H20-H21-H22+11)</f>
        <v>800</v>
      </c>
    </row>
    <row r="25">
      <c r="A25" s="786"/>
      <c r="B25" s="787"/>
      <c r="C25" s="19" t="s">
        <v>277</v>
      </c>
      <c r="D25" s="6">
        <f>D24-30</f>
        <v>770</v>
      </c>
      <c r="E25" s="6">
        <f>E24-13</f>
        <v>787</v>
      </c>
      <c r="F25" s="6">
        <f>F24-30</f>
        <v>770</v>
      </c>
      <c r="G25" s="6">
        <f>G24-13</f>
        <v>787</v>
      </c>
      <c r="H25" s="9">
        <f>H24-30</f>
        <v>770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0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282</v>
      </c>
      <c r="K2" s="1" t="s">
        <v>283</v>
      </c>
      <c r="O2" s="1" t="s">
        <v>284</v>
      </c>
    </row>
    <row r="3">
      <c r="A3" s="1" t="s">
        <v>255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285</v>
      </c>
      <c r="B4" s="1">
        <f>تسجيل1!C7</f>
        <v>500</v>
      </c>
      <c r="J4" s="15">
        <v>4</v>
      </c>
      <c r="K4" s="15">
        <v>2</v>
      </c>
    </row>
    <row r="5">
      <c r="A5" s="1" t="s">
        <v>256</v>
      </c>
      <c r="B5" s="1">
        <f>تسجيل1!E7</f>
        <v>800</v>
      </c>
      <c r="J5" s="15">
        <v>5</v>
      </c>
      <c r="K5" s="15">
        <v>3</v>
      </c>
      <c r="L5" s="1">
        <f>IF(B6&lt;3,2,IF(B6&lt;4,2,IF(B6&lt;5,2,IF(B6&lt;6,3,IF(B6&lt;7,3,IF(B6&lt;8,3,IF(B6&lt;8,4,L11)))))))</f>
        <v>5</v>
      </c>
    </row>
    <row r="6">
      <c r="A6" s="1" t="s">
        <v>282</v>
      </c>
      <c r="B6" s="1">
        <f>'Cutting Ro-1'!L14</f>
        <v>12</v>
      </c>
      <c r="C6" s="1" t="s">
        <v>286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5</v>
      </c>
    </row>
    <row r="9">
      <c r="A9" s="1" t="s">
        <v>287</v>
      </c>
      <c r="B9" s="1">
        <f>O8</f>
        <v>5</v>
      </c>
      <c r="J9" s="15">
        <v>9</v>
      </c>
      <c r="K9" s="15">
        <v>4</v>
      </c>
    </row>
    <row r="10">
      <c r="A10" s="12" t="s">
        <v>288</v>
      </c>
      <c r="B10" s="13">
        <f>(((B4-(تسجيل1!C22*2))/200)+1)*B9</f>
        <v>15</v>
      </c>
      <c r="C10" s="650" t="s">
        <v>289</v>
      </c>
      <c r="D10" s="650"/>
      <c r="E10" s="14">
        <f>ROUND(B10,0)</f>
        <v>15</v>
      </c>
      <c r="J10" s="15">
        <v>10</v>
      </c>
      <c r="K10" s="15">
        <v>4</v>
      </c>
    </row>
    <row r="11">
      <c r="A11" s="12" t="s">
        <v>290</v>
      </c>
      <c r="B11" s="13">
        <f>E10/B9</f>
        <v>3</v>
      </c>
      <c r="C11" s="650" t="s">
        <v>289</v>
      </c>
      <c r="D11" s="650"/>
      <c r="E11" s="14">
        <f>ROUND(B11,0)</f>
        <v>3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5</v>
      </c>
    </row>
    <row r="12">
      <c r="A12" s="12" t="s">
        <v>291</v>
      </c>
      <c r="B12" s="14">
        <f>E11*B9</f>
        <v>15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">
    <tabColor theme="9" tint="-0.249977111117893"/>
  </sheetPr>
  <dimension ref="A1:BN186"/>
  <sheetViews>
    <sheetView rightToLeft="1" topLeftCell="AO13" zoomScale="40" zoomScaleNormal="40" zoomScaleSheetLayoutView="70" zoomScalePageLayoutView="25" workbookViewId="0">
      <selection activeCell="BD35" sqref="BD35"/>
    </sheetView>
  </sheetViews>
  <sheetFormatPr defaultColWidth="9" defaultRowHeight="15"/>
  <cols>
    <col min="1" max="1" width="4.7109375" customWidth="1"/>
    <col min="2" max="4" width="20.5703125" customWidth="1"/>
    <col min="5" max="5" width="4.5703125" customWidth="1"/>
    <col min="6" max="8" width="20.5703125" customWidth="1"/>
    <col min="9" max="9" width="4.5703125" customWidth="1"/>
    <col min="10" max="12" width="20.5703125" customWidth="1" style="413"/>
    <col min="13" max="13" width="5.140625" customWidth="1" style="413"/>
    <col min="14" max="16" width="20.5703125" customWidth="1" style="413"/>
    <col min="17" max="17" width="6.140625" customWidth="1" style="413"/>
    <col min="18" max="18" width="61.5703125" customWidth="1" style="413"/>
    <col min="19" max="19" width="24.85546875" customWidth="1"/>
    <col min="20" max="20" width="27.140625" customWidth="1"/>
    <col min="21" max="21" width="24.85546875" customWidth="1"/>
    <col min="22" max="22" width="28.42578125" customWidth="1"/>
    <col min="23" max="26" width="24.85546875" customWidth="1"/>
    <col min="27" max="27" width="26.28515625" customWidth="1"/>
    <col min="28" max="28" width="20.7109375" customWidth="1"/>
    <col min="29" max="29" width="19.5703125" customWidth="1"/>
    <col min="30" max="30" width="61.42578125" customWidth="1"/>
    <col min="31" max="31" width="5.28515625" customWidth="1"/>
    <col min="32" max="33" width="23" customWidth="1"/>
    <col min="34" max="34" width="24.5703125" customWidth="1"/>
    <col min="35" max="42" width="23" customWidth="1"/>
    <col min="43" max="43" width="10.140625" customWidth="1"/>
    <col min="44" max="44" width="61.42578125" customWidth="1"/>
    <col min="45" max="53" width="24.28515625" customWidth="1"/>
    <col min="54" max="54" width="26.5703125" customWidth="1"/>
    <col min="55" max="55" width="7.5703125" customWidth="1" style="414"/>
    <col min="56" max="66" width="24.5703125" customWidth="1"/>
  </cols>
  <sheetData>
    <row r="1" ht="45.75" customHeight="1">
      <c r="A1" s="604"/>
      <c r="B1" s="604"/>
      <c r="C1" s="604"/>
      <c r="D1" s="604"/>
      <c r="E1" s="604"/>
      <c r="F1" s="604"/>
      <c r="G1" s="604"/>
      <c r="H1" s="604"/>
      <c r="I1" s="604"/>
      <c r="J1" s="604"/>
      <c r="K1" s="604"/>
      <c r="L1" s="604"/>
      <c r="M1" s="604"/>
      <c r="N1" s="604"/>
      <c r="O1" s="604"/>
      <c r="P1" s="604"/>
      <c r="Q1" s="604"/>
      <c r="R1" s="592"/>
      <c r="S1" s="416" t="s">
        <v>160</v>
      </c>
      <c r="T1" s="416"/>
      <c r="U1" s="416"/>
      <c r="V1" s="415"/>
      <c r="W1" s="417"/>
      <c r="X1" s="415"/>
      <c r="Y1" s="415"/>
      <c r="Z1" s="415"/>
      <c r="AA1" s="415"/>
      <c r="AB1" s="415"/>
      <c r="AC1" s="415"/>
      <c r="AD1" s="414"/>
      <c r="AE1" s="415"/>
      <c r="AF1" s="415"/>
      <c r="AG1" s="415"/>
      <c r="AH1" s="415"/>
      <c r="AI1" s="415"/>
      <c r="AJ1" s="415"/>
      <c r="AK1" s="415"/>
      <c r="AR1" s="414"/>
      <c r="AS1" s="416" t="s">
        <v>161</v>
      </c>
      <c r="AT1" s="416"/>
      <c r="AU1" s="416"/>
      <c r="AV1" s="415"/>
      <c r="AW1" s="417"/>
      <c r="AX1" s="415"/>
      <c r="AY1" s="415"/>
      <c r="AZ1" s="415"/>
      <c r="BA1" s="415"/>
      <c r="BB1" s="415"/>
      <c r="BD1" s="416" t="s">
        <v>162</v>
      </c>
      <c r="BE1" s="416"/>
      <c r="BF1" s="573"/>
      <c r="BG1" s="573"/>
      <c r="BH1" s="573"/>
      <c r="BI1" s="573"/>
      <c r="BJ1" s="573"/>
      <c r="BK1" s="573"/>
      <c r="BL1" s="573"/>
      <c r="BM1" s="573"/>
      <c r="BN1" s="573"/>
    </row>
    <row r="2" ht="45" customHeight="1">
      <c r="A2" s="604"/>
      <c r="B2" s="604"/>
      <c r="C2" s="604"/>
      <c r="D2" s="604"/>
      <c r="E2" s="604"/>
      <c r="F2" s="604"/>
      <c r="G2" s="604"/>
      <c r="H2" s="604"/>
      <c r="I2" s="604"/>
      <c r="J2" s="604"/>
      <c r="K2" s="604"/>
      <c r="L2" s="604"/>
      <c r="M2" s="604"/>
      <c r="N2" s="604"/>
      <c r="O2" s="604"/>
      <c r="P2" s="604"/>
      <c r="Q2" s="604"/>
      <c r="R2" s="592"/>
      <c r="S2" s="418" t="s">
        <v>163</v>
      </c>
      <c r="T2" s="419">
        <f>IF((V14="ok"),Royal!G80,"R")</f>
        <v>270464.97475408437</v>
      </c>
      <c r="U2" s="420"/>
      <c r="V2" s="415"/>
      <c r="W2" s="415"/>
      <c r="X2" s="415"/>
      <c r="Y2" s="415"/>
      <c r="Z2" s="415"/>
      <c r="AA2" s="415"/>
      <c r="AB2" s="415"/>
      <c r="AC2" s="415"/>
      <c r="AD2" s="414"/>
      <c r="AE2" s="415"/>
      <c r="AF2" s="593" t="s">
        <v>163</v>
      </c>
      <c r="AG2" s="572" t="str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error</v>
      </c>
      <c r="AH2" s="572"/>
      <c r="AI2" s="422"/>
      <c r="AJ2" s="422"/>
      <c r="AK2" s="422"/>
      <c r="AR2" s="414"/>
      <c r="AS2" s="472" t="s">
        <v>163</v>
      </c>
      <c r="AT2" s="473">
        <f>IF((AV14="OK"),wavy1!R72,"R")</f>
        <v>76569.905921052632</v>
      </c>
      <c r="AU2" s="420"/>
      <c r="AV2" s="415"/>
      <c r="AW2" s="415"/>
      <c r="AX2" s="415"/>
      <c r="AY2" s="415"/>
      <c r="AZ2" s="415"/>
      <c r="BA2" s="415"/>
      <c r="BB2" s="415"/>
      <c r="BD2" s="487" t="s">
        <v>163</v>
      </c>
      <c r="BE2" s="487">
        <f>IF((BG14="OK"),wavy2!R72,"R")</f>
        <v>99980.0480877193</v>
      </c>
      <c r="BF2" s="573"/>
      <c r="BG2" s="573"/>
      <c r="BH2" s="573"/>
      <c r="BI2" s="573"/>
      <c r="BJ2" s="573"/>
      <c r="BK2" s="573"/>
      <c r="BL2" s="573"/>
      <c r="BM2" s="573"/>
      <c r="BN2" s="573"/>
    </row>
    <row r="3" ht="54.75" customHeight="1">
      <c r="A3" s="604"/>
      <c r="B3" s="604"/>
      <c r="C3" s="604"/>
      <c r="D3" s="604"/>
      <c r="E3" s="604"/>
      <c r="F3" s="604"/>
      <c r="G3" s="604"/>
      <c r="H3" s="604"/>
      <c r="I3" s="604"/>
      <c r="J3" s="604"/>
      <c r="K3" s="604"/>
      <c r="L3" s="604"/>
      <c r="M3" s="604"/>
      <c r="N3" s="604"/>
      <c r="O3" s="604"/>
      <c r="P3" s="604"/>
      <c r="Q3" s="604"/>
      <c r="R3" s="592"/>
      <c r="S3" s="528" t="s">
        <v>127</v>
      </c>
      <c r="T3" s="421">
        <f>T2/(AA10*X8)*10000</f>
        <v>6761.624368852109</v>
      </c>
      <c r="U3" s="420"/>
      <c r="V3" s="422"/>
      <c r="W3" s="415"/>
      <c r="X3" s="415"/>
      <c r="Y3" s="415"/>
      <c r="Z3" s="415"/>
      <c r="AA3" s="415"/>
      <c r="AB3" s="415"/>
      <c r="AC3" s="415"/>
      <c r="AD3" s="414"/>
      <c r="AE3" s="415"/>
      <c r="AF3" s="593"/>
      <c r="AG3" s="572"/>
      <c r="AH3" s="572"/>
      <c r="AI3" s="422"/>
      <c r="AJ3" s="422"/>
      <c r="AK3" s="422"/>
      <c r="AL3" s="415"/>
      <c r="AM3" s="415"/>
      <c r="AN3" s="415"/>
      <c r="AO3" s="415"/>
      <c r="AP3" s="415"/>
      <c r="AQ3" s="415"/>
      <c r="AR3" s="414"/>
      <c r="AS3" s="472" t="s">
        <v>127</v>
      </c>
      <c r="AT3" s="474">
        <f>AT2/(AV10*BA12)*10000</f>
        <v>6125.5924736842107</v>
      </c>
      <c r="AU3" s="420"/>
      <c r="AV3" s="422"/>
      <c r="AW3" s="415"/>
      <c r="AX3" s="415"/>
      <c r="AY3" s="415"/>
      <c r="AZ3" s="415"/>
      <c r="BA3" s="415"/>
      <c r="BB3" s="415"/>
      <c r="BD3" s="488" t="s">
        <v>127</v>
      </c>
      <c r="BE3" s="495">
        <f>BE2/(BG10*BL12)*10000</f>
        <v>2856.5728025062658</v>
      </c>
      <c r="BF3" s="573"/>
      <c r="BG3" s="573"/>
      <c r="BH3" s="573"/>
      <c r="BI3" s="573"/>
      <c r="BJ3" s="573"/>
      <c r="BK3" s="573"/>
      <c r="BL3" s="573"/>
      <c r="BM3" s="573"/>
      <c r="BN3" s="573"/>
    </row>
    <row r="4" ht="55.5" customHeight="1">
      <c r="A4" s="604"/>
      <c r="B4" s="604"/>
      <c r="C4" s="604"/>
      <c r="D4" s="604"/>
      <c r="E4" s="604"/>
      <c r="F4" s="604"/>
      <c r="G4" s="604"/>
      <c r="H4" s="604"/>
      <c r="I4" s="604"/>
      <c r="J4" s="604"/>
      <c r="K4" s="604"/>
      <c r="L4" s="604"/>
      <c r="M4" s="604"/>
      <c r="N4" s="604"/>
      <c r="O4" s="604"/>
      <c r="P4" s="604"/>
      <c r="Q4" s="604"/>
      <c r="R4" s="592"/>
      <c r="S4" s="530" t="s">
        <v>164</v>
      </c>
      <c r="T4" s="531" t="s">
        <v>21</v>
      </c>
      <c r="U4" s="425"/>
      <c r="V4" s="425"/>
      <c r="W4" s="425"/>
      <c r="X4" s="425"/>
      <c r="Y4" s="425"/>
      <c r="Z4" s="425"/>
      <c r="AA4" s="425"/>
      <c r="AB4" s="415"/>
      <c r="AC4" s="420"/>
      <c r="AD4" s="414"/>
      <c r="AE4" s="415"/>
      <c r="AF4" s="593"/>
      <c r="AG4" s="572"/>
      <c r="AH4" s="572"/>
      <c r="AI4" s="415"/>
      <c r="AJ4" s="415"/>
      <c r="AK4" s="415"/>
      <c r="AL4" s="415"/>
      <c r="AM4" s="415"/>
      <c r="AN4" s="415"/>
      <c r="AO4" s="415"/>
      <c r="AP4" s="415"/>
      <c r="AQ4" s="415"/>
      <c r="AR4" s="414"/>
      <c r="AS4" s="426" t="s">
        <v>164</v>
      </c>
      <c r="AT4" s="424" t="s">
        <v>21</v>
      </c>
      <c r="AU4" s="425"/>
      <c r="AV4" s="425"/>
      <c r="AW4" s="425"/>
      <c r="AX4" s="425"/>
      <c r="AY4" s="425"/>
      <c r="AZ4" s="425"/>
      <c r="BA4" s="425"/>
      <c r="BB4" s="415"/>
      <c r="BD4" s="489" t="s">
        <v>164</v>
      </c>
      <c r="BE4" s="495" t="s">
        <v>38</v>
      </c>
      <c r="BF4" s="574"/>
      <c r="BG4" s="575"/>
      <c r="BH4" s="575"/>
      <c r="BI4" s="575"/>
      <c r="BJ4" s="575"/>
      <c r="BK4" s="575"/>
      <c r="BL4" s="575"/>
      <c r="BM4" s="575"/>
      <c r="BN4" s="571"/>
    </row>
    <row r="5" ht="55.5" customHeight="1">
      <c r="A5" s="604"/>
      <c r="B5" s="604"/>
      <c r="C5" s="604"/>
      <c r="D5" s="604"/>
      <c r="E5" s="604"/>
      <c r="F5" s="604"/>
      <c r="G5" s="604"/>
      <c r="H5" s="604"/>
      <c r="I5" s="604"/>
      <c r="J5" s="604"/>
      <c r="K5" s="604"/>
      <c r="L5" s="604"/>
      <c r="M5" s="604"/>
      <c r="N5" s="604"/>
      <c r="O5" s="604"/>
      <c r="P5" s="604"/>
      <c r="Q5" s="604"/>
      <c r="R5" s="592"/>
      <c r="S5" s="530" t="s">
        <v>165</v>
      </c>
      <c r="T5" s="532" t="s">
        <v>166</v>
      </c>
      <c r="U5" s="425"/>
      <c r="V5" s="425"/>
      <c r="W5" s="425"/>
      <c r="X5" s="425"/>
      <c r="Y5" s="425"/>
      <c r="Z5" s="425"/>
      <c r="AA5" s="425"/>
      <c r="AB5" s="413"/>
      <c r="AC5" s="415"/>
      <c r="AD5" s="414"/>
      <c r="AE5" s="415"/>
      <c r="AF5" s="415"/>
      <c r="AG5" s="415"/>
      <c r="AH5" s="415"/>
      <c r="AI5" s="415"/>
      <c r="AJ5" s="465"/>
      <c r="AK5" s="465"/>
      <c r="AL5" s="415"/>
      <c r="AM5" s="415"/>
      <c r="AN5" s="415"/>
      <c r="AO5" s="415"/>
      <c r="AP5" s="415"/>
      <c r="AQ5" s="415"/>
      <c r="AR5" s="414"/>
      <c r="AS5" s="426" t="s">
        <v>165</v>
      </c>
      <c r="AT5" s="542" t="s">
        <v>167</v>
      </c>
      <c r="AU5" s="425"/>
      <c r="AV5" s="425"/>
      <c r="AW5" s="425"/>
      <c r="AX5" s="425"/>
      <c r="AY5" s="425"/>
      <c r="AZ5" s="425"/>
      <c r="BA5" s="425"/>
      <c r="BB5" s="413"/>
      <c r="BD5" s="490" t="s">
        <v>165</v>
      </c>
      <c r="BE5" s="543" t="s">
        <v>167</v>
      </c>
      <c r="BF5" s="574"/>
      <c r="BG5" s="575"/>
      <c r="BH5" s="575"/>
      <c r="BI5" s="575"/>
      <c r="BJ5" s="575"/>
      <c r="BK5" s="575"/>
      <c r="BL5" s="575"/>
      <c r="BM5" s="575"/>
      <c r="BN5" s="571"/>
    </row>
    <row r="6" ht="55.5" customHeight="1">
      <c r="A6" s="604"/>
      <c r="B6" s="604"/>
      <c r="C6" s="604"/>
      <c r="D6" s="604"/>
      <c r="E6" s="604"/>
      <c r="F6" s="604"/>
      <c r="G6" s="604"/>
      <c r="H6" s="604"/>
      <c r="I6" s="604"/>
      <c r="J6" s="604"/>
      <c r="K6" s="604"/>
      <c r="L6" s="604"/>
      <c r="M6" s="604"/>
      <c r="N6" s="604"/>
      <c r="O6" s="604"/>
      <c r="P6" s="604"/>
      <c r="Q6" s="604"/>
      <c r="R6" s="592"/>
      <c r="S6" s="530" t="s">
        <v>168</v>
      </c>
      <c r="T6" s="531" t="s">
        <v>169</v>
      </c>
      <c r="U6" s="425"/>
      <c r="V6" s="425"/>
      <c r="W6" s="425"/>
      <c r="X6" s="425"/>
      <c r="Y6" s="425"/>
      <c r="Z6" s="425"/>
      <c r="AA6" s="425"/>
      <c r="AB6" s="413"/>
      <c r="AC6" s="415"/>
      <c r="AD6" s="414"/>
      <c r="AE6" s="415"/>
      <c r="AF6" s="415"/>
      <c r="AG6" s="415"/>
      <c r="AH6" s="415"/>
      <c r="AI6" s="466" t="s">
        <v>170</v>
      </c>
      <c r="AJ6" s="466" t="s">
        <v>171</v>
      </c>
      <c r="AK6" s="467" t="s">
        <v>172</v>
      </c>
      <c r="AL6" s="466" t="s">
        <v>173</v>
      </c>
      <c r="AM6" s="466" t="s">
        <v>174</v>
      </c>
      <c r="AN6" s="468" t="s">
        <v>175</v>
      </c>
      <c r="AO6" s="578" t="s">
        <v>176</v>
      </c>
      <c r="AP6" s="579"/>
      <c r="AQ6" s="415"/>
      <c r="AR6" s="414"/>
      <c r="AS6" s="428" t="s">
        <v>168</v>
      </c>
      <c r="AT6" s="429" t="s">
        <v>169</v>
      </c>
      <c r="AU6" s="475"/>
      <c r="AV6" s="475"/>
      <c r="AW6" s="475"/>
      <c r="AX6" s="475"/>
      <c r="AY6" s="475"/>
      <c r="AZ6" s="475"/>
      <c r="BA6" s="475"/>
      <c r="BB6" s="475"/>
      <c r="BD6" s="490" t="s">
        <v>168</v>
      </c>
      <c r="BE6" s="495" t="s">
        <v>177</v>
      </c>
      <c r="BF6" s="475"/>
      <c r="BG6" s="475"/>
      <c r="BH6" s="475"/>
      <c r="BI6" s="475"/>
      <c r="BJ6" s="475"/>
      <c r="BK6" s="475"/>
      <c r="BL6" s="475"/>
      <c r="BM6" s="475"/>
      <c r="BN6" s="571"/>
    </row>
    <row r="7" ht="18.75" customHeight="1">
      <c r="A7" s="604"/>
      <c r="B7" s="604"/>
      <c r="C7" s="604"/>
      <c r="D7" s="604"/>
      <c r="E7" s="604"/>
      <c r="F7" s="604"/>
      <c r="G7" s="604"/>
      <c r="H7" s="604"/>
      <c r="I7" s="604"/>
      <c r="J7" s="604"/>
      <c r="K7" s="604"/>
      <c r="L7" s="604"/>
      <c r="M7" s="604"/>
      <c r="N7" s="604"/>
      <c r="O7" s="604"/>
      <c r="P7" s="604"/>
      <c r="Q7" s="604"/>
      <c r="R7" s="592"/>
      <c r="S7" s="526"/>
      <c r="T7" s="527"/>
      <c r="U7" s="432"/>
      <c r="V7" s="432"/>
      <c r="W7" s="432"/>
      <c r="X7" s="433"/>
      <c r="Y7" s="433"/>
      <c r="Z7" s="425"/>
      <c r="AA7" s="425"/>
      <c r="AB7" s="413"/>
      <c r="AC7" s="415"/>
      <c r="AD7" s="414"/>
      <c r="AE7" s="415"/>
      <c r="AF7" s="415"/>
      <c r="AG7" s="415"/>
      <c r="AH7" s="415"/>
      <c r="AI7" s="415"/>
      <c r="AJ7" s="415"/>
      <c r="AK7" s="415"/>
      <c r="AL7" s="415"/>
      <c r="AM7" s="415"/>
      <c r="AN7" s="415"/>
      <c r="AO7" s="415"/>
      <c r="AP7" s="415"/>
      <c r="AQ7" s="415"/>
      <c r="AR7" s="414"/>
      <c r="AS7" s="430"/>
      <c r="AT7" s="431"/>
      <c r="AU7" s="476"/>
      <c r="AV7" s="476"/>
      <c r="AW7" s="476"/>
      <c r="AX7" s="491"/>
      <c r="AY7" s="491"/>
      <c r="AZ7" s="475"/>
      <c r="BA7" s="475"/>
      <c r="BB7" s="475"/>
      <c r="BD7" s="430"/>
      <c r="BE7" s="431"/>
      <c r="BF7" s="475"/>
      <c r="BG7" s="475"/>
      <c r="BH7" s="475"/>
      <c r="BI7" s="475"/>
      <c r="BJ7" s="475"/>
      <c r="BK7" s="475"/>
      <c r="BL7" s="475"/>
      <c r="BM7" s="475"/>
      <c r="BN7" s="571"/>
    </row>
    <row r="8" ht="55.5" customHeight="1">
      <c r="A8" s="415"/>
      <c r="B8" s="612" t="s">
        <v>178</v>
      </c>
      <c r="C8" s="612"/>
      <c r="D8" s="612"/>
      <c r="E8" s="415"/>
      <c r="F8" s="614"/>
      <c r="G8" s="614"/>
      <c r="H8" s="614"/>
      <c r="I8" s="604"/>
      <c r="J8" s="611"/>
      <c r="K8" s="611"/>
      <c r="L8" s="611"/>
      <c r="M8" s="604"/>
      <c r="N8" s="613"/>
      <c r="O8" s="613"/>
      <c r="P8" s="613"/>
      <c r="Q8" s="415"/>
      <c r="R8" s="592"/>
      <c r="S8" s="616"/>
      <c r="T8" s="616"/>
      <c r="U8" s="413"/>
      <c r="V8" s="413"/>
      <c r="W8" s="413"/>
      <c r="X8" s="434">
        <v>800</v>
      </c>
      <c r="Y8" s="413"/>
      <c r="Z8" s="413"/>
      <c r="AA8" s="413"/>
      <c r="AB8" s="413"/>
      <c r="AC8" s="415"/>
      <c r="AD8" s="414"/>
      <c r="AE8" s="415"/>
      <c r="AF8" s="415"/>
      <c r="AG8" s="415"/>
      <c r="AH8" s="415"/>
      <c r="AI8" s="469" t="s">
        <v>179</v>
      </c>
      <c r="AJ8" s="470" t="s">
        <v>180</v>
      </c>
      <c r="AK8" s="470">
        <v>3.3</v>
      </c>
      <c r="AL8" s="470" t="s">
        <v>169</v>
      </c>
      <c r="AM8" s="470" t="s">
        <v>181</v>
      </c>
      <c r="AN8" s="471" t="s">
        <v>182</v>
      </c>
      <c r="AO8" s="580"/>
      <c r="AP8" s="581"/>
      <c r="AQ8" s="415"/>
      <c r="AR8" s="414"/>
      <c r="AS8" s="439"/>
      <c r="AT8" s="439"/>
      <c r="AU8" s="475"/>
      <c r="AV8" s="475"/>
      <c r="AW8" s="475"/>
      <c r="AX8" s="475"/>
      <c r="AY8" s="475"/>
      <c r="AZ8" s="475"/>
      <c r="BA8" s="475"/>
      <c r="BB8" s="475"/>
      <c r="BD8" s="439"/>
      <c r="BE8" s="439"/>
      <c r="BF8" s="475"/>
      <c r="BG8" s="475"/>
      <c r="BH8" s="475"/>
      <c r="BI8" s="475"/>
      <c r="BJ8" s="475"/>
      <c r="BK8" s="475"/>
      <c r="BL8" s="475"/>
      <c r="BM8" s="475"/>
      <c r="BN8" s="571"/>
    </row>
    <row r="9" ht="55.5" customHeight="1">
      <c r="A9" s="415"/>
      <c r="B9" s="612"/>
      <c r="C9" s="612"/>
      <c r="D9" s="612"/>
      <c r="E9" s="415"/>
      <c r="F9" s="614"/>
      <c r="G9" s="614"/>
      <c r="H9" s="614"/>
      <c r="I9" s="604"/>
      <c r="J9" s="611"/>
      <c r="K9" s="611"/>
      <c r="L9" s="611"/>
      <c r="M9" s="604"/>
      <c r="N9" s="613"/>
      <c r="O9" s="613"/>
      <c r="P9" s="613"/>
      <c r="Q9" s="415"/>
      <c r="R9" s="592"/>
      <c r="S9" s="617"/>
      <c r="T9" s="617"/>
      <c r="U9" s="413"/>
      <c r="V9" s="413"/>
      <c r="W9" s="413"/>
      <c r="X9" s="413"/>
      <c r="Y9" s="413"/>
      <c r="Z9" s="413"/>
      <c r="AA9" s="413"/>
      <c r="AB9" s="413"/>
      <c r="AC9" s="415"/>
      <c r="AD9" s="414"/>
      <c r="AE9" s="415"/>
      <c r="AF9" s="415"/>
      <c r="AG9" s="415"/>
      <c r="AH9" s="415"/>
      <c r="AI9" s="415"/>
      <c r="AJ9" s="415"/>
      <c r="AK9" s="415"/>
      <c r="AL9" s="415"/>
      <c r="AM9" s="415"/>
      <c r="AN9" s="415"/>
      <c r="AO9" s="415"/>
      <c r="AP9" s="415"/>
      <c r="AQ9" s="415"/>
      <c r="AR9" s="414"/>
      <c r="AS9" s="423" t="s">
        <v>183</v>
      </c>
      <c r="AT9" s="424" t="s">
        <v>184</v>
      </c>
      <c r="AU9" s="475"/>
      <c r="AV9" s="475"/>
      <c r="AW9" s="475"/>
      <c r="AX9" s="475"/>
      <c r="AY9" s="475"/>
      <c r="AZ9" s="475"/>
      <c r="BA9" s="475"/>
      <c r="BB9" s="475"/>
      <c r="BD9" s="423" t="s">
        <v>183</v>
      </c>
      <c r="BE9" s="424" t="s">
        <v>184</v>
      </c>
      <c r="BF9" s="475"/>
      <c r="BG9" s="475"/>
      <c r="BH9" s="475"/>
      <c r="BI9" s="475"/>
      <c r="BJ9" s="475"/>
      <c r="BK9" s="475"/>
      <c r="BL9" s="475"/>
      <c r="BM9" s="475"/>
      <c r="BN9" s="571"/>
    </row>
    <row r="10" ht="55.5" customHeight="1">
      <c r="A10" s="415"/>
      <c r="B10" s="612"/>
      <c r="C10" s="612"/>
      <c r="D10" s="612"/>
      <c r="E10" s="415"/>
      <c r="F10" s="614"/>
      <c r="G10" s="614"/>
      <c r="H10" s="614"/>
      <c r="I10" s="604"/>
      <c r="J10" s="611"/>
      <c r="K10" s="611"/>
      <c r="L10" s="611"/>
      <c r="M10" s="604"/>
      <c r="N10" s="613"/>
      <c r="O10" s="613"/>
      <c r="P10" s="613"/>
      <c r="Q10" s="415"/>
      <c r="R10" s="592"/>
      <c r="S10" s="529" t="s">
        <v>185</v>
      </c>
      <c r="T10" s="424" t="s">
        <v>186</v>
      </c>
      <c r="U10" s="413"/>
      <c r="V10" s="435"/>
      <c r="W10" s="435"/>
      <c r="X10" s="435"/>
      <c r="Y10" s="435"/>
      <c r="Z10" s="435"/>
      <c r="AA10" s="434">
        <v>500</v>
      </c>
      <c r="AB10" s="413"/>
      <c r="AC10" s="415"/>
      <c r="AD10" s="414"/>
      <c r="AE10" s="618" t="s">
        <v>187</v>
      </c>
      <c r="AF10" s="618"/>
      <c r="AG10" s="618"/>
      <c r="AH10" s="618"/>
      <c r="AI10" s="618"/>
      <c r="AJ10" s="618"/>
      <c r="AK10" s="618"/>
      <c r="AL10" s="618"/>
      <c r="AM10" s="618"/>
      <c r="AN10" s="618"/>
      <c r="AO10" s="618"/>
      <c r="AP10" s="618"/>
      <c r="AQ10" s="618"/>
      <c r="AR10" s="414"/>
      <c r="AS10" s="423" t="s">
        <v>185</v>
      </c>
      <c r="AT10" s="424" t="s">
        <v>186</v>
      </c>
      <c r="AU10" s="475"/>
      <c r="AV10" s="477">
        <v>250</v>
      </c>
      <c r="AW10" s="478"/>
      <c r="AX10" s="478"/>
      <c r="AY10" s="478"/>
      <c r="AZ10" s="478"/>
      <c r="BA10" s="475"/>
      <c r="BB10" s="475"/>
      <c r="BD10" s="423" t="s">
        <v>185</v>
      </c>
      <c r="BE10" s="424" t="s">
        <v>186</v>
      </c>
      <c r="BF10" s="475"/>
      <c r="BG10" s="477">
        <v>500</v>
      </c>
      <c r="BH10" s="478"/>
      <c r="BI10" s="478"/>
      <c r="BJ10" s="478"/>
      <c r="BK10" s="478"/>
      <c r="BL10" s="475"/>
      <c r="BM10" s="475"/>
      <c r="BN10" s="571"/>
    </row>
    <row r="11" ht="18.75" customHeight="1">
      <c r="A11" s="415"/>
      <c r="B11" s="415"/>
      <c r="C11" s="415"/>
      <c r="D11" s="415"/>
      <c r="E11" s="415"/>
      <c r="F11" s="415"/>
      <c r="G11" s="415"/>
      <c r="H11" s="415"/>
      <c r="I11" s="415"/>
      <c r="J11" s="415"/>
      <c r="K11" s="415"/>
      <c r="L11" s="415"/>
      <c r="M11" s="415"/>
      <c r="N11" s="415"/>
      <c r="O11" s="415"/>
      <c r="P11" s="415"/>
      <c r="Q11" s="415"/>
      <c r="R11" s="592"/>
      <c r="S11" s="436"/>
      <c r="T11" s="437"/>
      <c r="U11" s="413"/>
      <c r="V11" s="435"/>
      <c r="W11" s="435"/>
      <c r="X11" s="435"/>
      <c r="Y11" s="435"/>
      <c r="Z11" s="435"/>
      <c r="AA11" s="435"/>
      <c r="AB11" s="413"/>
      <c r="AC11" s="415"/>
      <c r="AD11" s="414"/>
      <c r="AE11" s="618"/>
      <c r="AF11" s="618"/>
      <c r="AG11" s="618"/>
      <c r="AH11" s="618"/>
      <c r="AI11" s="618"/>
      <c r="AJ11" s="618"/>
      <c r="AK11" s="618"/>
      <c r="AL11" s="618"/>
      <c r="AM11" s="618"/>
      <c r="AN11" s="618"/>
      <c r="AO11" s="618"/>
      <c r="AP11" s="618"/>
      <c r="AQ11" s="618"/>
      <c r="AR11" s="414"/>
      <c r="AS11" s="436"/>
      <c r="AT11" s="437"/>
      <c r="AU11" s="475"/>
      <c r="AV11" s="478"/>
      <c r="AW11" s="478"/>
      <c r="AX11" s="478"/>
      <c r="AY11" s="478"/>
      <c r="AZ11" s="478"/>
      <c r="BA11" s="478"/>
      <c r="BB11" s="475"/>
      <c r="BD11" s="436"/>
      <c r="BE11" s="437"/>
      <c r="BF11" s="475"/>
      <c r="BG11" s="478"/>
      <c r="BH11" s="478"/>
      <c r="BI11" s="478"/>
      <c r="BJ11" s="478"/>
      <c r="BK11" s="478"/>
      <c r="BL11" s="478"/>
      <c r="BM11" s="475"/>
      <c r="BN11" s="571"/>
    </row>
    <row r="12" ht="55.5" customHeight="1" s="413" customFormat="1">
      <c r="A12" s="415"/>
      <c r="B12" s="611"/>
      <c r="C12" s="611"/>
      <c r="D12" s="611"/>
      <c r="E12" s="415"/>
      <c r="F12" s="619"/>
      <c r="G12" s="619"/>
      <c r="H12" s="619"/>
      <c r="I12" s="604"/>
      <c r="J12" s="611"/>
      <c r="K12" s="611"/>
      <c r="L12" s="611"/>
      <c r="M12" s="604"/>
      <c r="N12" s="605"/>
      <c r="O12" s="605"/>
      <c r="P12" s="605"/>
      <c r="Q12" s="415"/>
      <c r="R12" s="592"/>
      <c r="S12" s="530" t="s">
        <v>188</v>
      </c>
      <c r="T12" s="533"/>
      <c r="AC12" s="415"/>
      <c r="AD12" s="414"/>
      <c r="AE12" s="618"/>
      <c r="AF12" s="618"/>
      <c r="AG12" s="618"/>
      <c r="AH12" s="618"/>
      <c r="AI12" s="618"/>
      <c r="AJ12" s="618"/>
      <c r="AK12" s="618"/>
      <c r="AL12" s="618"/>
      <c r="AM12" s="618"/>
      <c r="AN12" s="618"/>
      <c r="AO12" s="618"/>
      <c r="AP12" s="618"/>
      <c r="AQ12" s="618"/>
      <c r="AR12" s="414"/>
      <c r="AS12" s="438" t="s">
        <v>188</v>
      </c>
      <c r="AT12" s="439"/>
      <c r="AU12" s="475"/>
      <c r="AV12" s="475"/>
      <c r="AW12" s="475"/>
      <c r="AX12" s="475"/>
      <c r="AY12" s="475"/>
      <c r="AZ12" s="475"/>
      <c r="BA12" s="477">
        <v>500</v>
      </c>
      <c r="BB12" s="475"/>
      <c r="BC12" s="414"/>
      <c r="BD12" s="492" t="s">
        <v>188</v>
      </c>
      <c r="BE12" s="496"/>
      <c r="BF12" s="475"/>
      <c r="BG12" s="475"/>
      <c r="BH12" s="475"/>
      <c r="BI12" s="475"/>
      <c r="BJ12" s="475"/>
      <c r="BK12" s="475"/>
      <c r="BL12" s="477">
        <v>700</v>
      </c>
      <c r="BM12" s="475"/>
      <c r="BN12" s="571"/>
    </row>
    <row r="13" ht="55.5" customHeight="1" s="413" customFormat="1">
      <c r="A13" s="415"/>
      <c r="B13" s="611"/>
      <c r="C13" s="611"/>
      <c r="D13" s="611"/>
      <c r="E13" s="415"/>
      <c r="F13" s="619"/>
      <c r="G13" s="619"/>
      <c r="H13" s="619"/>
      <c r="I13" s="604"/>
      <c r="J13" s="611"/>
      <c r="K13" s="611"/>
      <c r="L13" s="611"/>
      <c r="M13" s="604"/>
      <c r="N13" s="605"/>
      <c r="O13" s="605"/>
      <c r="P13" s="605"/>
      <c r="Q13" s="415"/>
      <c r="R13" s="592"/>
      <c r="S13" s="535" t="s">
        <v>189</v>
      </c>
      <c r="T13" s="496"/>
      <c r="AC13" s="415"/>
      <c r="AD13" s="414"/>
      <c r="AE13" s="618"/>
      <c r="AF13" s="618"/>
      <c r="AG13" s="618"/>
      <c r="AH13" s="618"/>
      <c r="AI13" s="618"/>
      <c r="AJ13" s="618"/>
      <c r="AK13" s="618"/>
      <c r="AL13" s="618"/>
      <c r="AM13" s="618"/>
      <c r="AN13" s="618"/>
      <c r="AO13" s="618"/>
      <c r="AP13" s="618"/>
      <c r="AQ13" s="618"/>
      <c r="AR13" s="414"/>
      <c r="AS13" s="438" t="s">
        <v>189</v>
      </c>
      <c r="AT13" s="438"/>
      <c r="AU13" s="475"/>
      <c r="AV13" s="475"/>
      <c r="AW13" s="475"/>
      <c r="AX13" s="475"/>
      <c r="AY13" s="475"/>
      <c r="AZ13" s="475"/>
      <c r="BA13" s="475" t="s">
        <v>190</v>
      </c>
      <c r="BB13" s="475"/>
      <c r="BC13" s="414"/>
      <c r="BD13" s="492" t="s">
        <v>189</v>
      </c>
      <c r="BE13" s="492"/>
      <c r="BF13" s="475"/>
      <c r="BG13" s="475"/>
      <c r="BH13" s="475"/>
      <c r="BI13" s="475"/>
      <c r="BJ13" s="475"/>
      <c r="BK13" s="475"/>
      <c r="BL13" s="475"/>
      <c r="BM13" s="475"/>
      <c r="BN13" s="571"/>
    </row>
    <row r="14" ht="55.5" customHeight="1" s="413" customFormat="1">
      <c r="A14" s="415"/>
      <c r="B14" s="611"/>
      <c r="C14" s="611"/>
      <c r="D14" s="611"/>
      <c r="E14" s="415"/>
      <c r="F14" s="619"/>
      <c r="G14" s="619"/>
      <c r="H14" s="619"/>
      <c r="I14" s="604"/>
      <c r="J14" s="611"/>
      <c r="K14" s="611"/>
      <c r="L14" s="611"/>
      <c r="M14" s="604"/>
      <c r="N14" s="605"/>
      <c r="O14" s="605"/>
      <c r="P14" s="605"/>
      <c r="Q14" s="415"/>
      <c r="R14" s="592"/>
      <c r="S14" s="536" t="s">
        <v>191</v>
      </c>
      <c r="T14" s="534"/>
      <c r="U14" s="497" t="s">
        <v>192</v>
      </c>
      <c r="V14" s="576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577"/>
      <c r="X14" s="577"/>
      <c r="Y14" s="577"/>
      <c r="Z14" s="577"/>
      <c r="AA14" s="577"/>
      <c r="AB14" s="577"/>
      <c r="AC14" s="577"/>
      <c r="AD14" s="414"/>
      <c r="AE14" s="618"/>
      <c r="AF14" s="618"/>
      <c r="AG14" s="618"/>
      <c r="AH14" s="618"/>
      <c r="AI14" s="618"/>
      <c r="AJ14" s="618"/>
      <c r="AK14" s="618"/>
      <c r="AL14" s="618"/>
      <c r="AM14" s="618"/>
      <c r="AN14" s="618"/>
      <c r="AO14" s="618"/>
      <c r="AP14" s="618"/>
      <c r="AQ14" s="618"/>
      <c r="AR14" s="414"/>
      <c r="AS14" s="438" t="s">
        <v>191</v>
      </c>
      <c r="AT14" s="438"/>
      <c r="AU14" s="434" t="s">
        <v>192</v>
      </c>
      <c r="AV14" s="576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577"/>
      <c r="AX14" s="577"/>
      <c r="AY14" s="577"/>
      <c r="AZ14" s="577"/>
      <c r="BA14" s="577"/>
      <c r="BB14" s="577"/>
      <c r="BC14" s="414"/>
      <c r="BD14" s="492" t="s">
        <v>191</v>
      </c>
      <c r="BE14" s="492"/>
      <c r="BF14" s="497" t="s">
        <v>193</v>
      </c>
      <c r="BG14" s="576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577"/>
      <c r="BI14" s="577"/>
      <c r="BJ14" s="577"/>
      <c r="BK14" s="577"/>
      <c r="BL14" s="577"/>
      <c r="BM14" s="577"/>
      <c r="BN14" s="541"/>
    </row>
    <row r="15" ht="18.75" customHeight="1" s="413" customFormat="1">
      <c r="A15" s="415"/>
      <c r="B15" s="604"/>
      <c r="C15" s="604"/>
      <c r="D15" s="604"/>
      <c r="E15" s="604"/>
      <c r="F15" s="604"/>
      <c r="G15" s="604"/>
      <c r="H15" s="604"/>
      <c r="I15" s="604"/>
      <c r="J15" s="604"/>
      <c r="K15" s="604"/>
      <c r="L15" s="604"/>
      <c r="M15" s="604"/>
      <c r="N15" s="604"/>
      <c r="O15" s="604"/>
      <c r="P15" s="604"/>
      <c r="Q15" s="415"/>
      <c r="R15" s="592"/>
      <c r="S15" s="415"/>
      <c r="T15" s="415"/>
      <c r="U15" s="415"/>
      <c r="V15" s="415"/>
      <c r="W15" s="415"/>
      <c r="X15" s="415"/>
      <c r="Y15" s="415"/>
      <c r="Z15" s="415"/>
      <c r="AA15" s="415"/>
      <c r="AB15" s="415"/>
      <c r="AC15" s="415"/>
      <c r="AD15" s="414"/>
      <c r="AE15" s="618"/>
      <c r="AF15" s="618"/>
      <c r="AG15" s="618"/>
      <c r="AH15" s="618"/>
      <c r="AI15" s="618"/>
      <c r="AJ15" s="618"/>
      <c r="AK15" s="618"/>
      <c r="AL15" s="618"/>
      <c r="AM15" s="618"/>
      <c r="AN15" s="618"/>
      <c r="AO15" s="618"/>
      <c r="AP15" s="618"/>
      <c r="AQ15" s="618"/>
      <c r="AR15" s="414"/>
      <c r="AS15" s="415"/>
      <c r="AT15" s="415"/>
      <c r="AU15" s="415"/>
      <c r="AV15" s="415"/>
      <c r="AW15" s="415"/>
      <c r="AX15" s="415"/>
      <c r="AY15" s="415"/>
      <c r="AZ15" s="415"/>
      <c r="BA15" s="415"/>
      <c r="BB15" s="415"/>
      <c r="BC15" s="414"/>
      <c r="BD15" s="415"/>
      <c r="BE15" s="415"/>
      <c r="BF15" s="415"/>
      <c r="BG15" s="415"/>
      <c r="BH15" s="415"/>
      <c r="BI15" s="415"/>
      <c r="BJ15" s="415"/>
      <c r="BK15" s="415"/>
      <c r="BL15" s="415"/>
      <c r="BM15" s="415"/>
      <c r="BN15" s="415"/>
    </row>
    <row r="16" ht="39.75" customHeight="1" s="413" customFormat="1">
      <c r="A16" s="604"/>
      <c r="B16" s="604"/>
      <c r="C16" s="604"/>
      <c r="D16" s="604"/>
      <c r="E16" s="604"/>
      <c r="F16" s="604"/>
      <c r="G16" s="604"/>
      <c r="H16" s="604"/>
      <c r="I16" s="604"/>
      <c r="J16" s="604"/>
      <c r="K16" s="604"/>
      <c r="L16" s="604"/>
      <c r="M16" s="604"/>
      <c r="N16" s="604"/>
      <c r="O16" s="604"/>
      <c r="P16" s="604"/>
      <c r="Q16" s="604"/>
      <c r="R16" s="592"/>
      <c r="S16" s="415"/>
      <c r="T16" s="415"/>
      <c r="U16" s="415"/>
      <c r="V16" s="415"/>
      <c r="W16" s="415"/>
      <c r="X16" s="415"/>
      <c r="Y16" s="415"/>
      <c r="Z16" s="415"/>
      <c r="AA16" s="415"/>
      <c r="AB16" s="415"/>
      <c r="AC16" s="415"/>
      <c r="AD16" s="414"/>
      <c r="AE16" s="618"/>
      <c r="AF16" s="618"/>
      <c r="AG16" s="618"/>
      <c r="AH16" s="618"/>
      <c r="AI16" s="618"/>
      <c r="AJ16" s="618"/>
      <c r="AK16" s="618"/>
      <c r="AL16" s="618"/>
      <c r="AM16" s="618"/>
      <c r="AN16" s="618"/>
      <c r="AO16" s="618"/>
      <c r="AP16" s="618"/>
      <c r="AQ16" s="618"/>
      <c r="AR16" s="414"/>
      <c r="AS16" s="415"/>
      <c r="AT16" s="415"/>
      <c r="AU16" s="415"/>
      <c r="AV16" s="415"/>
      <c r="AW16" s="415"/>
      <c r="AX16" s="415"/>
      <c r="AY16" s="415"/>
      <c r="AZ16" s="415"/>
      <c r="BA16" s="415"/>
      <c r="BB16" s="415"/>
      <c r="BC16" s="414"/>
      <c r="BD16" s="415"/>
      <c r="BE16" s="415"/>
      <c r="BF16" s="415"/>
      <c r="BG16" s="415"/>
      <c r="BH16" s="415"/>
      <c r="BI16" s="415"/>
      <c r="BJ16" s="415"/>
      <c r="BK16" s="415"/>
      <c r="BL16" s="415"/>
      <c r="BM16" s="415"/>
      <c r="BN16" s="415"/>
    </row>
    <row r="17" ht="39.75" customHeight="1" s="413" customFormat="1">
      <c r="A17" s="604"/>
      <c r="B17" s="604"/>
      <c r="C17" s="604"/>
      <c r="D17" s="604"/>
      <c r="E17" s="604"/>
      <c r="F17" s="604"/>
      <c r="G17" s="604"/>
      <c r="H17" s="604"/>
      <c r="I17" s="604"/>
      <c r="J17" s="604"/>
      <c r="K17" s="604"/>
      <c r="L17" s="604"/>
      <c r="M17" s="604"/>
      <c r="N17" s="604"/>
      <c r="O17" s="604"/>
      <c r="P17" s="604"/>
      <c r="Q17" s="604"/>
      <c r="R17" s="592"/>
      <c r="S17" s="415"/>
      <c r="T17" s="415"/>
      <c r="U17" s="415"/>
      <c r="V17" s="415"/>
      <c r="W17" s="415"/>
      <c r="X17" s="415"/>
      <c r="Y17" s="415"/>
      <c r="Z17" s="415"/>
      <c r="AA17" s="415"/>
      <c r="AB17" s="415"/>
      <c r="AC17" s="415"/>
      <c r="AD17" s="414"/>
      <c r="AE17" s="415"/>
      <c r="AF17" s="415"/>
      <c r="AG17" s="415"/>
      <c r="AH17" s="415"/>
      <c r="AI17" s="415"/>
      <c r="AJ17" s="415"/>
      <c r="AK17" s="415"/>
      <c r="AL17" s="415"/>
      <c r="AM17" s="415"/>
      <c r="AN17" s="415"/>
      <c r="AO17" s="415"/>
      <c r="AP17" s="415"/>
      <c r="AQ17" s="415"/>
      <c r="AR17" s="414"/>
      <c r="AS17" s="415"/>
      <c r="AT17" s="415"/>
      <c r="AU17" s="415"/>
      <c r="AV17" s="415"/>
      <c r="AW17" s="415"/>
      <c r="AX17" s="415"/>
      <c r="AY17" s="415"/>
      <c r="AZ17" s="415"/>
      <c r="BA17" s="415"/>
      <c r="BB17" s="415"/>
      <c r="BC17" s="414"/>
      <c r="BD17" s="415"/>
      <c r="BE17" s="415"/>
      <c r="BF17" s="415"/>
      <c r="BG17" s="415"/>
      <c r="BH17" s="415"/>
      <c r="BI17" s="415"/>
      <c r="BJ17" s="415"/>
      <c r="BK17" s="415"/>
      <c r="BL17" s="415"/>
      <c r="BM17" s="415"/>
      <c r="BN17" s="415"/>
    </row>
    <row r="18" ht="39.75" customHeight="1" s="413" customFormat="1">
      <c r="A18" s="604"/>
      <c r="B18" s="604"/>
      <c r="C18" s="604"/>
      <c r="D18" s="604"/>
      <c r="E18" s="604"/>
      <c r="F18" s="604"/>
      <c r="G18" s="604"/>
      <c r="H18" s="604"/>
      <c r="I18" s="604"/>
      <c r="J18" s="604"/>
      <c r="K18" s="604"/>
      <c r="L18" s="604"/>
      <c r="M18" s="604"/>
      <c r="N18" s="604"/>
      <c r="O18" s="604"/>
      <c r="P18" s="604"/>
      <c r="Q18" s="604"/>
      <c r="R18" s="592"/>
      <c r="S18" s="415"/>
      <c r="T18" s="415"/>
      <c r="U18" s="415"/>
      <c r="V18" s="415"/>
      <c r="W18" s="415"/>
      <c r="X18" s="415"/>
      <c r="Y18" s="415"/>
      <c r="Z18" s="415"/>
      <c r="AA18" s="415"/>
      <c r="AB18" s="415"/>
      <c r="AC18" s="415"/>
      <c r="AD18" s="414"/>
      <c r="AE18" s="415"/>
      <c r="AF18" s="415"/>
      <c r="AG18" s="415"/>
      <c r="AH18" s="415"/>
      <c r="AI18" s="415"/>
      <c r="AJ18" s="415"/>
      <c r="AK18" s="415"/>
      <c r="AL18" s="415"/>
      <c r="AM18" s="415"/>
      <c r="AN18" s="415"/>
      <c r="AO18" s="415"/>
      <c r="AP18" s="415"/>
      <c r="AQ18" s="415"/>
      <c r="AR18" s="414"/>
      <c r="AS18" s="415"/>
      <c r="AT18" s="415"/>
      <c r="AU18" s="415"/>
      <c r="AV18" s="415"/>
      <c r="AW18" s="415"/>
      <c r="AX18" s="415"/>
      <c r="AY18" s="415"/>
      <c r="AZ18" s="415"/>
      <c r="BA18" s="415"/>
      <c r="BB18" s="415"/>
      <c r="BC18" s="414"/>
      <c r="BD18" s="415"/>
      <c r="BE18" s="415"/>
      <c r="BF18" s="415"/>
      <c r="BG18" s="415"/>
      <c r="BH18" s="415"/>
      <c r="BI18" s="415"/>
      <c r="BJ18" s="415"/>
      <c r="BK18" s="415"/>
      <c r="BL18" s="415"/>
      <c r="BM18" s="415"/>
      <c r="BN18" s="415"/>
    </row>
    <row r="19" ht="39.75" customHeight="1" s="413" customFormat="1">
      <c r="A19" s="604"/>
      <c r="B19" s="604"/>
      <c r="C19" s="604"/>
      <c r="D19" s="604"/>
      <c r="E19" s="604"/>
      <c r="F19" s="604"/>
      <c r="G19" s="604"/>
      <c r="H19" s="604"/>
      <c r="I19" s="604"/>
      <c r="J19" s="604"/>
      <c r="K19" s="604"/>
      <c r="L19" s="604"/>
      <c r="M19" s="604"/>
      <c r="N19" s="604"/>
      <c r="O19" s="604"/>
      <c r="P19" s="604"/>
      <c r="Q19" s="604"/>
      <c r="R19" s="592"/>
      <c r="S19" s="415"/>
      <c r="T19" s="415"/>
      <c r="U19" s="415"/>
      <c r="V19" s="415"/>
      <c r="W19" s="415"/>
      <c r="X19" s="415"/>
      <c r="Y19" s="415"/>
      <c r="Z19" s="415"/>
      <c r="AA19" s="415"/>
      <c r="AB19" s="415"/>
      <c r="AC19" s="415"/>
      <c r="AD19" s="414"/>
      <c r="AE19" s="415"/>
      <c r="AF19" s="415"/>
      <c r="AG19" s="415"/>
      <c r="AH19" s="415"/>
      <c r="AI19" s="415"/>
      <c r="AJ19" s="415"/>
      <c r="AK19" s="415"/>
      <c r="AL19" s="415"/>
      <c r="AM19" s="415"/>
      <c r="AN19" s="415"/>
      <c r="AO19" s="415"/>
      <c r="AP19" s="415"/>
      <c r="AQ19" s="415"/>
      <c r="AR19" s="414"/>
      <c r="AS19" s="415"/>
      <c r="AT19" s="415"/>
      <c r="AU19" s="415"/>
      <c r="AV19" s="415"/>
      <c r="AW19" s="415"/>
      <c r="AX19" s="415"/>
      <c r="AY19" s="415"/>
      <c r="AZ19" s="415"/>
      <c r="BA19" s="415"/>
      <c r="BB19" s="415"/>
      <c r="BC19" s="414"/>
      <c r="BD19" s="415"/>
      <c r="BE19" s="415"/>
      <c r="BF19" s="415"/>
      <c r="BG19" s="415"/>
      <c r="BH19" s="415"/>
      <c r="BI19" s="415"/>
      <c r="BJ19" s="415"/>
      <c r="BK19" s="415"/>
      <c r="BL19" s="415"/>
      <c r="BM19" s="415"/>
      <c r="BN19" s="415"/>
    </row>
    <row r="20" ht="39.75" customHeight="1" s="413" customFormat="1">
      <c r="A20" s="604"/>
      <c r="B20" s="604"/>
      <c r="C20" s="604"/>
      <c r="D20" s="604"/>
      <c r="E20" s="604"/>
      <c r="F20" s="604"/>
      <c r="G20" s="604"/>
      <c r="H20" s="604"/>
      <c r="I20" s="604"/>
      <c r="J20" s="604"/>
      <c r="K20" s="604"/>
      <c r="L20" s="604"/>
      <c r="M20" s="604"/>
      <c r="N20" s="604"/>
      <c r="O20" s="604"/>
      <c r="P20" s="604"/>
      <c r="Q20" s="604"/>
      <c r="R20" s="592"/>
      <c r="S20" s="415"/>
      <c r="T20" s="415"/>
      <c r="U20" s="415"/>
      <c r="V20" s="415"/>
      <c r="W20" s="415"/>
      <c r="X20" s="415"/>
      <c r="Y20" s="415"/>
      <c r="Z20" s="415"/>
      <c r="AA20" s="415"/>
      <c r="AB20" s="415"/>
      <c r="AC20" s="415"/>
      <c r="AD20" s="414"/>
      <c r="AE20" s="415"/>
      <c r="AF20" s="415"/>
      <c r="AG20" s="415"/>
      <c r="AH20" s="415"/>
      <c r="AI20" s="415"/>
      <c r="AJ20" s="415"/>
      <c r="AK20" s="415"/>
      <c r="AL20" s="415"/>
      <c r="AM20" s="415"/>
      <c r="AN20" s="415"/>
      <c r="AO20" s="415"/>
      <c r="AP20" s="415"/>
      <c r="AQ20" s="415"/>
      <c r="AR20" s="414"/>
      <c r="AS20" s="415"/>
      <c r="AT20" s="415"/>
      <c r="AU20" s="415"/>
      <c r="AV20" s="415"/>
      <c r="AW20" s="415"/>
      <c r="AX20" s="415"/>
      <c r="AY20" s="415"/>
      <c r="AZ20" s="415"/>
      <c r="BA20" s="415"/>
      <c r="BB20" s="415"/>
      <c r="BC20" s="414"/>
      <c r="BD20" s="415"/>
      <c r="BE20" s="415"/>
      <c r="BF20" s="415"/>
      <c r="BG20" s="415"/>
      <c r="BH20" s="415"/>
      <c r="BI20" s="415"/>
      <c r="BJ20" s="415"/>
      <c r="BK20" s="415"/>
      <c r="BL20" s="415"/>
      <c r="BM20" s="415"/>
      <c r="BN20" s="415"/>
    </row>
    <row r="21" ht="39.75" customHeight="1" s="413" customFormat="1">
      <c r="A21" s="603" t="s">
        <v>194</v>
      </c>
      <c r="B21" s="603"/>
      <c r="C21" s="603"/>
      <c r="D21" s="603"/>
      <c r="E21" s="603"/>
      <c r="F21" s="603"/>
      <c r="G21" s="603"/>
      <c r="H21" s="603"/>
      <c r="I21" s="603"/>
      <c r="J21" s="603"/>
      <c r="K21" s="603"/>
      <c r="L21" s="603"/>
      <c r="M21" s="603"/>
      <c r="N21" s="603"/>
      <c r="O21" s="603"/>
      <c r="P21" s="603"/>
      <c r="Q21" s="603"/>
      <c r="R21" s="592"/>
      <c r="S21" s="590" t="s">
        <v>195</v>
      </c>
      <c r="T21" s="591"/>
      <c r="U21" s="415"/>
      <c r="V21" s="415"/>
      <c r="W21" s="415"/>
      <c r="X21" s="415"/>
      <c r="Y21" s="415"/>
      <c r="Z21" s="415"/>
      <c r="AA21" s="415"/>
      <c r="AB21" s="415"/>
      <c r="AC21" s="415"/>
      <c r="AD21" s="414"/>
      <c r="AE21" s="415"/>
      <c r="AF21" s="415"/>
      <c r="AG21" s="415"/>
      <c r="AH21" s="415"/>
      <c r="AI21" s="415"/>
      <c r="AJ21" s="415"/>
      <c r="AK21" s="415"/>
      <c r="AL21" s="415"/>
      <c r="AM21" s="415"/>
      <c r="AN21" s="415"/>
      <c r="AO21" s="415"/>
      <c r="AP21" s="415"/>
      <c r="AQ21" s="415"/>
      <c r="AR21" s="414"/>
      <c r="AS21" s="416" t="s">
        <v>196</v>
      </c>
      <c r="AT21" s="416"/>
      <c r="AU21" s="479"/>
      <c r="AW21" s="485"/>
      <c r="BC21" s="414"/>
      <c r="BD21" s="416" t="s">
        <v>197</v>
      </c>
      <c r="BE21" s="416"/>
      <c r="BF21" s="479"/>
      <c r="BH21" s="485"/>
      <c r="BN21" s="415"/>
    </row>
    <row r="22" ht="39.75" customHeight="1" s="413" customFormat="1">
      <c r="A22" s="603"/>
      <c r="B22" s="603"/>
      <c r="C22" s="603"/>
      <c r="D22" s="603"/>
      <c r="E22" s="603"/>
      <c r="F22" s="603"/>
      <c r="G22" s="603"/>
      <c r="H22" s="603"/>
      <c r="I22" s="603"/>
      <c r="J22" s="603"/>
      <c r="K22" s="603"/>
      <c r="L22" s="603"/>
      <c r="M22" s="603"/>
      <c r="N22" s="603"/>
      <c r="O22" s="603"/>
      <c r="P22" s="603"/>
      <c r="Q22" s="603"/>
      <c r="R22" s="592"/>
      <c r="S22" s="442" t="s">
        <v>163</v>
      </c>
      <c r="T22" s="443">
        <f>Royal2!G85</f>
        <v>492752.90214556217</v>
      </c>
      <c r="U22" s="415"/>
      <c r="V22" s="415"/>
      <c r="W22" s="415"/>
      <c r="X22" s="415"/>
      <c r="Y22" s="415"/>
      <c r="Z22" s="415"/>
      <c r="AA22" s="415"/>
      <c r="AB22" s="415"/>
      <c r="AC22" s="415"/>
      <c r="AD22" s="414"/>
      <c r="AE22" s="610" t="s">
        <v>163</v>
      </c>
      <c r="AF22" s="610"/>
      <c r="AG22" s="572">
        <f>'شماسي و كانتليفر'!AE12</f>
        <v>23414.625</v>
      </c>
      <c r="AH22" s="572"/>
      <c r="AI22" s="415"/>
      <c r="AJ22" s="415"/>
      <c r="AK22" s="415"/>
      <c r="AL22" s="415"/>
      <c r="AM22" s="415"/>
      <c r="AN22" s="415"/>
      <c r="AO22" s="415"/>
      <c r="AP22" s="415"/>
      <c r="AQ22" s="415"/>
      <c r="AR22" s="414"/>
      <c r="AS22" s="472" t="s">
        <v>163</v>
      </c>
      <c r="AT22" s="473">
        <f>'بيرسا و لوفرز'!R69</f>
        <v>351024.75</v>
      </c>
      <c r="AU22" s="480"/>
      <c r="BC22" s="414"/>
      <c r="BD22" s="472" t="s">
        <v>163</v>
      </c>
      <c r="BE22" s="473">
        <f>'بيرسا و لوفرز'!R140</f>
        <v>260670.45333333334</v>
      </c>
      <c r="BF22" s="480"/>
      <c r="BN22" s="415"/>
    </row>
    <row r="23" ht="39.75" customHeight="1" s="413" customFormat="1">
      <c r="A23" s="603"/>
      <c r="B23" s="603"/>
      <c r="C23" s="603"/>
      <c r="D23" s="603"/>
      <c r="E23" s="603"/>
      <c r="F23" s="603"/>
      <c r="G23" s="603"/>
      <c r="H23" s="603"/>
      <c r="I23" s="603"/>
      <c r="J23" s="603"/>
      <c r="K23" s="603"/>
      <c r="L23" s="603"/>
      <c r="M23" s="603"/>
      <c r="N23" s="603"/>
      <c r="O23" s="603"/>
      <c r="P23" s="603"/>
      <c r="Q23" s="603"/>
      <c r="R23" s="592"/>
      <c r="S23" s="444" t="s">
        <v>127</v>
      </c>
      <c r="T23" s="443">
        <f>T22/(AA33*X31)*10000</f>
        <v>5132.842730682939</v>
      </c>
      <c r="U23" s="415"/>
      <c r="V23" s="415"/>
      <c r="W23" s="415"/>
      <c r="X23" s="415"/>
      <c r="Y23" s="415"/>
      <c r="Z23" s="415"/>
      <c r="AA23" s="415"/>
      <c r="AB23" s="415"/>
      <c r="AC23" s="415"/>
      <c r="AD23" s="414"/>
      <c r="AE23" s="610"/>
      <c r="AF23" s="610"/>
      <c r="AG23" s="572"/>
      <c r="AH23" s="572"/>
      <c r="AI23" s="422"/>
      <c r="AJ23" s="422"/>
      <c r="AK23" s="415"/>
      <c r="AL23" s="415"/>
      <c r="AM23" s="415"/>
      <c r="AN23" s="415"/>
      <c r="AO23" s="415"/>
      <c r="AP23" s="415"/>
      <c r="AQ23" s="415"/>
      <c r="AR23" s="414"/>
      <c r="AS23" s="472" t="s">
        <v>127</v>
      </c>
      <c r="AT23" s="474">
        <f>AT22/(AT33*AT34/10000)</f>
        <v>17551.2375</v>
      </c>
      <c r="AU23" s="480"/>
      <c r="AV23" s="481"/>
      <c r="BC23" s="414"/>
      <c r="BD23" s="472" t="s">
        <v>127</v>
      </c>
      <c r="BE23" s="474">
        <f>BE22/(BE33*BE34/10000)</f>
        <v>19461.7331143298</v>
      </c>
      <c r="BF23" s="480"/>
      <c r="BG23" s="481"/>
      <c r="BN23" s="415"/>
    </row>
    <row r="24" ht="39.75" customHeight="1" s="413" customFormat="1">
      <c r="A24" s="603"/>
      <c r="B24" s="603"/>
      <c r="C24" s="603"/>
      <c r="D24" s="603"/>
      <c r="E24" s="603"/>
      <c r="F24" s="603"/>
      <c r="G24" s="603"/>
      <c r="H24" s="603"/>
      <c r="I24" s="603"/>
      <c r="J24" s="603"/>
      <c r="K24" s="603"/>
      <c r="L24" s="603"/>
      <c r="M24" s="603"/>
      <c r="N24" s="603"/>
      <c r="O24" s="603"/>
      <c r="P24" s="603"/>
      <c r="Q24" s="603"/>
      <c r="R24" s="592"/>
      <c r="S24" s="440" t="s">
        <v>164</v>
      </c>
      <c r="T24" s="441" t="s">
        <v>21</v>
      </c>
      <c r="U24" s="425"/>
      <c r="V24" s="425"/>
      <c r="W24" s="425"/>
      <c r="X24" s="425"/>
      <c r="Y24" s="425"/>
      <c r="Z24" s="425"/>
      <c r="AA24" s="425"/>
      <c r="AB24" s="425"/>
      <c r="AC24" s="425"/>
      <c r="AD24" s="414"/>
      <c r="AE24" s="461"/>
      <c r="AF24" s="462"/>
      <c r="AG24" s="462"/>
      <c r="AH24" s="422"/>
      <c r="AI24" s="422"/>
      <c r="AJ24" s="422"/>
      <c r="AK24" s="415"/>
      <c r="AL24" s="415"/>
      <c r="AM24" s="415"/>
      <c r="AN24" s="415"/>
      <c r="AO24" s="415"/>
      <c r="AP24" s="415"/>
      <c r="AQ24" s="415"/>
      <c r="AR24" s="414"/>
      <c r="AS24" s="426" t="s">
        <v>164</v>
      </c>
      <c r="AT24" s="424" t="s">
        <v>16</v>
      </c>
      <c r="BC24" s="414"/>
      <c r="BD24" s="426" t="s">
        <v>164</v>
      </c>
      <c r="BE24" s="424" t="s">
        <v>21</v>
      </c>
      <c r="BN24" s="415"/>
    </row>
    <row r="25" ht="39.75" customHeight="1">
      <c r="A25" s="603"/>
      <c r="B25" s="603"/>
      <c r="C25" s="603"/>
      <c r="D25" s="603"/>
      <c r="E25" s="603"/>
      <c r="F25" s="603"/>
      <c r="G25" s="603"/>
      <c r="H25" s="603"/>
      <c r="I25" s="603"/>
      <c r="J25" s="603"/>
      <c r="K25" s="603"/>
      <c r="L25" s="603"/>
      <c r="M25" s="603"/>
      <c r="N25" s="603"/>
      <c r="O25" s="603"/>
      <c r="P25" s="603"/>
      <c r="Q25" s="603"/>
      <c r="R25" s="592"/>
      <c r="S25" s="445" t="s">
        <v>165</v>
      </c>
      <c r="T25" s="446" t="s">
        <v>167</v>
      </c>
      <c r="U25" s="425"/>
      <c r="V25" s="425"/>
      <c r="W25" s="425"/>
      <c r="X25" s="425"/>
      <c r="Y25" s="425"/>
      <c r="Z25" s="425"/>
      <c r="AA25" s="425"/>
      <c r="AB25" s="425"/>
      <c r="AC25" s="425"/>
      <c r="AD25" s="414"/>
      <c r="AE25" s="461"/>
      <c r="AF25" s="462"/>
      <c r="AG25" s="462"/>
      <c r="AH25" s="415"/>
      <c r="AI25" s="415"/>
      <c r="AJ25" s="415"/>
      <c r="AK25" s="415"/>
      <c r="AL25" s="415"/>
      <c r="AM25" s="415"/>
      <c r="AN25" s="415"/>
      <c r="AO25" s="415"/>
      <c r="AP25" s="415"/>
      <c r="AQ25" s="415"/>
      <c r="AR25" s="414"/>
      <c r="AS25" s="426" t="s">
        <v>165</v>
      </c>
      <c r="AT25" s="427" t="s">
        <v>166</v>
      </c>
      <c r="AW25" s="493">
        <f>AT34</f>
        <v>500</v>
      </c>
      <c r="BD25" s="426" t="s">
        <v>165</v>
      </c>
      <c r="BE25" s="427" t="s">
        <v>166</v>
      </c>
      <c r="BH25" s="493">
        <f>BE34</f>
        <v>362</v>
      </c>
      <c r="BN25" s="415"/>
    </row>
    <row r="26" ht="39.75" customHeight="1">
      <c r="A26" s="603"/>
      <c r="B26" s="603"/>
      <c r="C26" s="603"/>
      <c r="D26" s="603"/>
      <c r="E26" s="603"/>
      <c r="F26" s="603"/>
      <c r="G26" s="603"/>
      <c r="H26" s="603"/>
      <c r="I26" s="603"/>
      <c r="J26" s="603"/>
      <c r="K26" s="603"/>
      <c r="L26" s="603"/>
      <c r="M26" s="603"/>
      <c r="N26" s="603"/>
      <c r="O26" s="603"/>
      <c r="P26" s="603"/>
      <c r="Q26" s="603"/>
      <c r="R26" s="592"/>
      <c r="S26" s="440" t="s">
        <v>168</v>
      </c>
      <c r="T26" s="447" t="s">
        <v>169</v>
      </c>
      <c r="U26" s="425"/>
      <c r="V26" s="425"/>
      <c r="W26" s="425"/>
      <c r="X26" s="425"/>
      <c r="Y26" s="425"/>
      <c r="Z26" s="425"/>
      <c r="AA26" s="425"/>
      <c r="AB26" s="425"/>
      <c r="AC26" s="425"/>
      <c r="AD26" s="414"/>
      <c r="AE26" s="415"/>
      <c r="AF26" s="415"/>
      <c r="AG26" s="594" t="s">
        <v>170</v>
      </c>
      <c r="AH26" s="598" t="s">
        <v>198</v>
      </c>
      <c r="AI26" s="594" t="s">
        <v>173</v>
      </c>
      <c r="AJ26" s="594" t="s">
        <v>174</v>
      </c>
      <c r="AK26" s="594" t="s">
        <v>175</v>
      </c>
      <c r="AL26" s="608" t="s">
        <v>176</v>
      </c>
      <c r="AM26" s="608"/>
      <c r="AN26" s="415"/>
      <c r="AO26" s="415"/>
      <c r="AP26" s="415"/>
      <c r="AQ26" s="415"/>
      <c r="AR26" s="414"/>
      <c r="AS26" s="428" t="s">
        <v>168</v>
      </c>
      <c r="AT26" s="429" t="s">
        <v>177</v>
      </c>
      <c r="BD26" s="428" t="s">
        <v>168</v>
      </c>
      <c r="BE26" s="429" t="s">
        <v>177</v>
      </c>
      <c r="BN26" s="415"/>
    </row>
    <row r="27" ht="39.75" customHeight="1">
      <c r="A27" s="603"/>
      <c r="B27" s="603"/>
      <c r="C27" s="603"/>
      <c r="D27" s="603"/>
      <c r="E27" s="603"/>
      <c r="F27" s="603"/>
      <c r="G27" s="603"/>
      <c r="H27" s="603"/>
      <c r="I27" s="603"/>
      <c r="J27" s="603"/>
      <c r="K27" s="603"/>
      <c r="L27" s="603"/>
      <c r="M27" s="603"/>
      <c r="N27" s="603"/>
      <c r="O27" s="603"/>
      <c r="P27" s="603"/>
      <c r="Q27" s="603"/>
      <c r="R27" s="592"/>
      <c r="S27" s="448"/>
      <c r="T27" s="449"/>
      <c r="U27" s="425"/>
      <c r="V27" s="425"/>
      <c r="W27" s="425"/>
      <c r="X27" s="425"/>
      <c r="Y27" s="425"/>
      <c r="Z27" s="425"/>
      <c r="AA27" s="425"/>
      <c r="AB27" s="425"/>
      <c r="AC27" s="425"/>
      <c r="AD27" s="414"/>
      <c r="AE27" s="415"/>
      <c r="AF27" s="415"/>
      <c r="AG27" s="595"/>
      <c r="AH27" s="599"/>
      <c r="AI27" s="595"/>
      <c r="AJ27" s="595"/>
      <c r="AK27" s="595"/>
      <c r="AL27" s="609"/>
      <c r="AM27" s="609"/>
      <c r="AN27" s="415"/>
      <c r="AO27" s="415"/>
      <c r="AP27" s="415"/>
      <c r="AQ27" s="415"/>
      <c r="AR27" s="414"/>
      <c r="AS27" s="430"/>
      <c r="AT27" s="431"/>
      <c r="AU27" s="482"/>
      <c r="AV27" s="482"/>
      <c r="AW27" s="482"/>
      <c r="AX27" s="494"/>
      <c r="AY27" s="494"/>
      <c r="BD27" s="430"/>
      <c r="BE27" s="431"/>
      <c r="BF27" s="482"/>
      <c r="BG27" s="482"/>
      <c r="BH27" s="482"/>
      <c r="BI27" s="494"/>
      <c r="BJ27" s="494"/>
      <c r="BN27" s="415"/>
    </row>
    <row r="28" ht="39.75" customHeight="1">
      <c r="A28" s="603"/>
      <c r="B28" s="603"/>
      <c r="C28" s="603"/>
      <c r="D28" s="603"/>
      <c r="E28" s="603"/>
      <c r="F28" s="603"/>
      <c r="G28" s="603"/>
      <c r="H28" s="603"/>
      <c r="I28" s="603"/>
      <c r="J28" s="603"/>
      <c r="K28" s="603"/>
      <c r="L28" s="603"/>
      <c r="M28" s="603"/>
      <c r="N28" s="603"/>
      <c r="O28" s="603"/>
      <c r="P28" s="603"/>
      <c r="Q28" s="603"/>
      <c r="R28" s="592"/>
      <c r="S28" s="448"/>
      <c r="T28" s="448"/>
      <c r="U28" s="413"/>
      <c r="V28" s="413"/>
      <c r="W28" s="413"/>
      <c r="X28" s="413"/>
      <c r="Y28" s="413"/>
      <c r="Z28" s="413"/>
      <c r="AA28" s="413"/>
      <c r="AB28" s="413"/>
      <c r="AC28" s="413"/>
      <c r="AD28" s="414"/>
      <c r="AE28" s="415"/>
      <c r="AF28" s="415"/>
      <c r="AG28" s="596" t="s">
        <v>199</v>
      </c>
      <c r="AH28" s="596" t="s">
        <v>200</v>
      </c>
      <c r="AI28" s="596" t="s">
        <v>169</v>
      </c>
      <c r="AJ28" s="596" t="s">
        <v>201</v>
      </c>
      <c r="AK28" s="596" t="s">
        <v>202</v>
      </c>
      <c r="AL28" s="606"/>
      <c r="AM28" s="606"/>
      <c r="AN28" s="415"/>
      <c r="AO28" s="415"/>
      <c r="AP28" s="415"/>
      <c r="AQ28" s="415"/>
      <c r="AR28" s="414"/>
      <c r="AS28" s="439"/>
      <c r="AT28" s="439"/>
      <c r="BD28" s="439"/>
      <c r="BE28" s="439"/>
      <c r="BN28" s="415"/>
    </row>
    <row r="29" ht="39.75" customHeight="1">
      <c r="A29" s="603"/>
      <c r="B29" s="603"/>
      <c r="C29" s="603"/>
      <c r="D29" s="603"/>
      <c r="E29" s="603"/>
      <c r="F29" s="603"/>
      <c r="G29" s="603"/>
      <c r="H29" s="603"/>
      <c r="I29" s="603"/>
      <c r="J29" s="603"/>
      <c r="K29" s="603"/>
      <c r="L29" s="603"/>
      <c r="M29" s="603"/>
      <c r="N29" s="603"/>
      <c r="O29" s="603"/>
      <c r="P29" s="603"/>
      <c r="Q29" s="603"/>
      <c r="R29" s="592"/>
      <c r="S29" s="448"/>
      <c r="T29" s="449"/>
      <c r="U29" s="413"/>
      <c r="V29" s="413"/>
      <c r="W29" s="413"/>
      <c r="X29" s="413"/>
      <c r="Y29" s="413"/>
      <c r="Z29" s="413"/>
      <c r="AA29" s="413"/>
      <c r="AB29" s="413"/>
      <c r="AC29" s="413"/>
      <c r="AD29" s="414"/>
      <c r="AE29" s="415"/>
      <c r="AF29" s="415"/>
      <c r="AG29" s="597"/>
      <c r="AH29" s="597"/>
      <c r="AI29" s="597"/>
      <c r="AJ29" s="597"/>
      <c r="AK29" s="597"/>
      <c r="AL29" s="607"/>
      <c r="AM29" s="607"/>
      <c r="AN29" s="415"/>
      <c r="AO29" s="415"/>
      <c r="AP29" s="415"/>
      <c r="AQ29" s="415"/>
      <c r="AR29" s="414"/>
      <c r="AS29" s="423" t="s">
        <v>183</v>
      </c>
      <c r="AT29" s="483" t="s">
        <v>184</v>
      </c>
      <c r="BD29" s="423" t="s">
        <v>183</v>
      </c>
      <c r="BE29" s="483" t="s">
        <v>184</v>
      </c>
      <c r="BN29" s="415"/>
    </row>
    <row r="30" ht="39.75" customHeight="1">
      <c r="A30" s="603"/>
      <c r="B30" s="603"/>
      <c r="C30" s="603"/>
      <c r="D30" s="603"/>
      <c r="E30" s="603"/>
      <c r="F30" s="603"/>
      <c r="G30" s="603"/>
      <c r="H30" s="603"/>
      <c r="I30" s="603"/>
      <c r="J30" s="603"/>
      <c r="K30" s="603"/>
      <c r="L30" s="603"/>
      <c r="M30" s="603"/>
      <c r="N30" s="603"/>
      <c r="O30" s="603"/>
      <c r="P30" s="603"/>
      <c r="Q30" s="603"/>
      <c r="R30" s="592"/>
      <c r="S30" s="440" t="s">
        <v>203</v>
      </c>
      <c r="T30" s="450"/>
      <c r="U30" s="413"/>
      <c r="V30" s="413"/>
      <c r="W30" s="413"/>
      <c r="X30" s="413"/>
      <c r="Y30" s="413"/>
      <c r="Z30" s="413"/>
      <c r="AA30" s="413"/>
      <c r="AB30" s="413"/>
      <c r="AC30" s="413"/>
      <c r="AD30" s="414"/>
      <c r="AE30" s="415"/>
      <c r="AF30" s="415"/>
      <c r="AG30" s="415"/>
      <c r="AH30" s="415"/>
      <c r="AI30" s="465"/>
      <c r="AJ30" s="465"/>
      <c r="AK30" s="415"/>
      <c r="AL30" s="415"/>
      <c r="AM30" s="415"/>
      <c r="AN30" s="415"/>
      <c r="AO30" s="415"/>
      <c r="AP30" s="415"/>
      <c r="AQ30" s="415"/>
      <c r="AR30" s="414"/>
      <c r="AS30" s="423" t="s">
        <v>185</v>
      </c>
      <c r="AT30" s="483" t="s">
        <v>186</v>
      </c>
      <c r="AV30" s="484"/>
      <c r="AW30" s="485"/>
      <c r="AX30" s="485"/>
      <c r="AY30" s="485"/>
      <c r="AZ30" s="485"/>
      <c r="BD30" s="423" t="s">
        <v>185</v>
      </c>
      <c r="BE30" s="483" t="s">
        <v>186</v>
      </c>
      <c r="BG30" s="484"/>
      <c r="BH30" s="485"/>
      <c r="BI30" s="485"/>
      <c r="BJ30" s="485"/>
      <c r="BK30" s="485"/>
      <c r="BN30" s="415"/>
    </row>
    <row r="31" ht="39.75" customHeight="1">
      <c r="A31" s="603"/>
      <c r="B31" s="603"/>
      <c r="C31" s="603"/>
      <c r="D31" s="603"/>
      <c r="E31" s="603"/>
      <c r="F31" s="603"/>
      <c r="G31" s="603"/>
      <c r="H31" s="603"/>
      <c r="I31" s="603"/>
      <c r="J31" s="603"/>
      <c r="K31" s="603"/>
      <c r="L31" s="603"/>
      <c r="M31" s="603"/>
      <c r="N31" s="603"/>
      <c r="O31" s="603"/>
      <c r="P31" s="603"/>
      <c r="Q31" s="603"/>
      <c r="R31" s="592"/>
      <c r="S31" s="440" t="s">
        <v>204</v>
      </c>
      <c r="T31" s="450"/>
      <c r="U31" s="451" t="s">
        <v>186</v>
      </c>
      <c r="V31" s="413"/>
      <c r="W31" s="413"/>
      <c r="X31" s="452">
        <v>800</v>
      </c>
      <c r="Y31" s="413"/>
      <c r="Z31" s="413"/>
      <c r="AA31" s="413"/>
      <c r="AB31" s="413"/>
      <c r="AC31" s="413"/>
      <c r="AD31" s="414"/>
      <c r="AE31" s="620" t="s">
        <v>205</v>
      </c>
      <c r="AF31" s="620"/>
      <c r="AG31" s="620"/>
      <c r="AH31" s="620"/>
      <c r="AI31" s="620"/>
      <c r="AJ31" s="620"/>
      <c r="AK31" s="620"/>
      <c r="AL31" s="620"/>
      <c r="AM31" s="620"/>
      <c r="AN31" s="620"/>
      <c r="AO31" s="620"/>
      <c r="AP31" s="620"/>
      <c r="AQ31" s="415"/>
      <c r="AR31" s="414"/>
      <c r="AS31" s="436"/>
      <c r="AT31" s="437"/>
      <c r="AV31" s="485"/>
      <c r="AW31" s="485"/>
      <c r="AX31" s="485"/>
      <c r="AY31" s="485"/>
      <c r="AZ31" s="485"/>
      <c r="BA31" s="485"/>
      <c r="BD31" s="436"/>
      <c r="BE31" s="437"/>
      <c r="BG31" s="485"/>
      <c r="BH31" s="485"/>
      <c r="BI31" s="485"/>
      <c r="BJ31" s="485"/>
      <c r="BK31" s="485"/>
      <c r="BL31" s="485"/>
      <c r="BN31" s="415"/>
    </row>
    <row r="32" ht="39.75" customHeight="1">
      <c r="A32" s="603"/>
      <c r="B32" s="603"/>
      <c r="C32" s="603"/>
      <c r="D32" s="603"/>
      <c r="E32" s="603"/>
      <c r="F32" s="603"/>
      <c r="G32" s="603"/>
      <c r="H32" s="603"/>
      <c r="I32" s="603"/>
      <c r="J32" s="603"/>
      <c r="K32" s="603"/>
      <c r="L32" s="603"/>
      <c r="M32" s="603"/>
      <c r="N32" s="603"/>
      <c r="O32" s="603"/>
      <c r="P32" s="603"/>
      <c r="Q32" s="603"/>
      <c r="R32" s="592"/>
      <c r="S32" s="440" t="s">
        <v>188</v>
      </c>
      <c r="T32" s="453" t="s">
        <v>193</v>
      </c>
      <c r="U32" s="454"/>
      <c r="V32" s="454"/>
      <c r="W32" s="454"/>
      <c r="X32" s="454"/>
      <c r="Y32" s="454"/>
      <c r="Z32" s="454"/>
      <c r="AA32" s="454"/>
      <c r="AB32" s="454"/>
      <c r="AC32" s="454"/>
      <c r="AD32" s="414"/>
      <c r="AE32" s="415"/>
      <c r="AF32" s="463"/>
      <c r="AG32" s="463"/>
      <c r="AH32" s="463"/>
      <c r="AI32" s="463"/>
      <c r="AJ32" s="463"/>
      <c r="AK32" s="463"/>
      <c r="AL32" s="463"/>
      <c r="AM32" s="463"/>
      <c r="AN32" s="463"/>
      <c r="AO32" s="463"/>
      <c r="AP32" s="463"/>
      <c r="AQ32" s="415"/>
      <c r="AR32" s="414"/>
      <c r="AS32" s="438" t="s">
        <v>188</v>
      </c>
      <c r="AT32" s="434" t="s">
        <v>193</v>
      </c>
      <c r="BA32" s="484"/>
      <c r="BD32" s="438" t="s">
        <v>188</v>
      </c>
      <c r="BE32" s="434" t="s">
        <v>192</v>
      </c>
      <c r="BL32" s="484"/>
      <c r="BN32" s="415"/>
    </row>
    <row r="33" ht="39.75" customHeight="1">
      <c r="A33" s="603"/>
      <c r="B33" s="603"/>
      <c r="C33" s="603"/>
      <c r="D33" s="603"/>
      <c r="E33" s="603"/>
      <c r="F33" s="603"/>
      <c r="G33" s="603"/>
      <c r="H33" s="603"/>
      <c r="I33" s="603"/>
      <c r="J33" s="603"/>
      <c r="K33" s="603"/>
      <c r="L33" s="603"/>
      <c r="M33" s="603"/>
      <c r="N33" s="603"/>
      <c r="O33" s="603"/>
      <c r="P33" s="603"/>
      <c r="Q33" s="603"/>
      <c r="R33" s="592"/>
      <c r="S33" s="440" t="s">
        <v>189</v>
      </c>
      <c r="T33" s="455"/>
      <c r="U33" s="454"/>
      <c r="V33" s="621"/>
      <c r="W33" s="621"/>
      <c r="X33" s="456"/>
      <c r="Y33" s="454"/>
      <c r="Z33" s="454"/>
      <c r="AA33" s="453">
        <v>1200</v>
      </c>
      <c r="AB33" s="454"/>
      <c r="AC33" s="454"/>
      <c r="AD33" s="414"/>
      <c r="AE33" s="605"/>
      <c r="AF33" s="605"/>
      <c r="AG33" s="605"/>
      <c r="AH33" s="605"/>
      <c r="AI33" s="605"/>
      <c r="AJ33" s="605"/>
      <c r="AK33" s="605"/>
      <c r="AL33" s="605"/>
      <c r="AM33" s="605"/>
      <c r="AN33" s="605"/>
      <c r="AO33" s="605"/>
      <c r="AP33" s="605"/>
      <c r="AQ33" s="605"/>
      <c r="AR33" s="414"/>
      <c r="AS33" s="438" t="s">
        <v>189</v>
      </c>
      <c r="AT33" s="438">
        <v>400</v>
      </c>
      <c r="BA33" s="0" t="s">
        <v>190</v>
      </c>
      <c r="BD33" s="438" t="s">
        <v>189</v>
      </c>
      <c r="BE33" s="438">
        <v>370</v>
      </c>
      <c r="BL33" s="0" t="s">
        <v>190</v>
      </c>
      <c r="BN33" s="415"/>
    </row>
    <row r="34" ht="40.5" customHeight="1">
      <c r="A34" s="603"/>
      <c r="B34" s="603"/>
      <c r="C34" s="603"/>
      <c r="D34" s="603"/>
      <c r="E34" s="603"/>
      <c r="F34" s="603"/>
      <c r="G34" s="603"/>
      <c r="H34" s="603"/>
      <c r="I34" s="603"/>
      <c r="J34" s="603"/>
      <c r="K34" s="603"/>
      <c r="L34" s="603"/>
      <c r="M34" s="603"/>
      <c r="N34" s="603"/>
      <c r="O34" s="603"/>
      <c r="P34" s="603"/>
      <c r="Q34" s="603"/>
      <c r="R34" s="592"/>
      <c r="S34" s="440" t="s">
        <v>191</v>
      </c>
      <c r="T34" s="455"/>
      <c r="U34" s="454"/>
      <c r="V34" s="454"/>
      <c r="W34" s="454"/>
      <c r="X34" s="456"/>
      <c r="Y34" s="454"/>
      <c r="Z34" s="454"/>
      <c r="AA34" s="454"/>
      <c r="AB34" s="454"/>
      <c r="AC34" s="454"/>
      <c r="AD34" s="414"/>
      <c r="AE34" s="605"/>
      <c r="AF34" s="605"/>
      <c r="AG34" s="605"/>
      <c r="AH34" s="605"/>
      <c r="AI34" s="605"/>
      <c r="AJ34" s="605"/>
      <c r="AK34" s="605"/>
      <c r="AL34" s="605"/>
      <c r="AM34" s="605"/>
      <c r="AN34" s="605"/>
      <c r="AO34" s="605"/>
      <c r="AP34" s="605"/>
      <c r="AQ34" s="605"/>
      <c r="AR34" s="414"/>
      <c r="AS34" s="438" t="s">
        <v>191</v>
      </c>
      <c r="AT34" s="438">
        <v>500</v>
      </c>
      <c r="AU34" s="486"/>
      <c r="AZ34" s="582"/>
      <c r="BA34" s="582"/>
      <c r="BB34" s="582"/>
      <c r="BD34" s="438" t="s">
        <v>191</v>
      </c>
      <c r="BE34" s="438">
        <v>362</v>
      </c>
      <c r="BF34" s="486"/>
      <c r="BK34" s="582"/>
      <c r="BL34" s="582"/>
      <c r="BM34" s="582"/>
      <c r="BN34" s="415"/>
    </row>
    <row r="35" ht="41.25" customHeight="1">
      <c r="A35" s="603"/>
      <c r="B35" s="603"/>
      <c r="C35" s="603"/>
      <c r="D35" s="603"/>
      <c r="E35" s="603"/>
      <c r="F35" s="603"/>
      <c r="G35" s="603"/>
      <c r="H35" s="603"/>
      <c r="I35" s="603"/>
      <c r="J35" s="603"/>
      <c r="K35" s="603"/>
      <c r="L35" s="603"/>
      <c r="M35" s="603"/>
      <c r="N35" s="603"/>
      <c r="O35" s="603"/>
      <c r="P35" s="603"/>
      <c r="Q35" s="603"/>
      <c r="R35" s="592"/>
      <c r="S35" s="415"/>
      <c r="T35" s="415"/>
      <c r="U35" s="454"/>
      <c r="V35" s="457"/>
      <c r="W35" s="457"/>
      <c r="X35" s="457"/>
      <c r="Y35" s="454"/>
      <c r="Z35" s="454"/>
      <c r="AA35" s="454"/>
      <c r="AB35" s="454"/>
      <c r="AC35" s="454"/>
      <c r="AD35" s="414"/>
      <c r="AE35" s="605"/>
      <c r="AF35" s="605"/>
      <c r="AG35" s="605"/>
      <c r="AH35" s="605"/>
      <c r="AI35" s="605"/>
      <c r="AJ35" s="605"/>
      <c r="AK35" s="605"/>
      <c r="AL35" s="605"/>
      <c r="AM35" s="605"/>
      <c r="AN35" s="605"/>
      <c r="AO35" s="605"/>
      <c r="AP35" s="605"/>
      <c r="AQ35" s="605"/>
      <c r="AR35" s="414"/>
      <c r="AS35" s="415"/>
      <c r="AT35" s="415"/>
      <c r="BD35" s="415"/>
      <c r="BE35" s="415"/>
      <c r="BN35" s="415"/>
    </row>
    <row r="36" ht="41.25" customHeight="1">
      <c r="A36" s="603"/>
      <c r="B36" s="603"/>
      <c r="C36" s="603"/>
      <c r="D36" s="603"/>
      <c r="E36" s="603"/>
      <c r="F36" s="603"/>
      <c r="G36" s="603"/>
      <c r="H36" s="603"/>
      <c r="I36" s="603"/>
      <c r="J36" s="603"/>
      <c r="K36" s="603"/>
      <c r="L36" s="603"/>
      <c r="M36" s="603"/>
      <c r="N36" s="603"/>
      <c r="O36" s="603"/>
      <c r="P36" s="603"/>
      <c r="Q36" s="603"/>
      <c r="R36" s="592"/>
      <c r="S36" s="415"/>
      <c r="T36" s="415"/>
      <c r="U36" s="454"/>
      <c r="V36" s="454"/>
      <c r="W36" s="454"/>
      <c r="X36" s="454"/>
      <c r="Y36" s="454"/>
      <c r="Z36" s="454"/>
      <c r="AA36" s="454"/>
      <c r="AB36" s="454"/>
      <c r="AC36" s="464" t="s">
        <v>206</v>
      </c>
      <c r="AD36" s="414"/>
      <c r="AE36" s="605"/>
      <c r="AF36" s="605"/>
      <c r="AG36" s="605"/>
      <c r="AH36" s="605"/>
      <c r="AI36" s="605"/>
      <c r="AJ36" s="605"/>
      <c r="AK36" s="605"/>
      <c r="AL36" s="605"/>
      <c r="AM36" s="605"/>
      <c r="AN36" s="605"/>
      <c r="AO36" s="605"/>
      <c r="AP36" s="605"/>
      <c r="AQ36" s="605"/>
      <c r="AR36" s="414"/>
      <c r="AS36" s="415"/>
      <c r="AT36" s="415"/>
      <c r="BA36" s="493">
        <f>AT33</f>
        <v>400</v>
      </c>
      <c r="BD36" s="415"/>
      <c r="BE36" s="415"/>
      <c r="BN36" s="415"/>
    </row>
    <row r="37" ht="41.25" customHeight="1">
      <c r="A37" s="603"/>
      <c r="B37" s="603"/>
      <c r="C37" s="603"/>
      <c r="D37" s="603"/>
      <c r="E37" s="603"/>
      <c r="F37" s="603"/>
      <c r="G37" s="603"/>
      <c r="H37" s="603"/>
      <c r="I37" s="603"/>
      <c r="J37" s="603"/>
      <c r="K37" s="603"/>
      <c r="L37" s="603"/>
      <c r="M37" s="603"/>
      <c r="N37" s="603"/>
      <c r="O37" s="603"/>
      <c r="P37" s="603"/>
      <c r="Q37" s="603"/>
      <c r="R37" s="592"/>
      <c r="S37" s="415"/>
      <c r="T37" s="415"/>
      <c r="U37" s="615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OK</v>
      </c>
      <c r="V37" s="615"/>
      <c r="W37" s="615"/>
      <c r="X37" s="615"/>
      <c r="Y37" s="615"/>
      <c r="Z37" s="615"/>
      <c r="AA37" s="615"/>
      <c r="AB37" s="615"/>
      <c r="AC37" s="615"/>
      <c r="AD37" s="414"/>
      <c r="AE37" s="605"/>
      <c r="AF37" s="605"/>
      <c r="AG37" s="605"/>
      <c r="AH37" s="605"/>
      <c r="AI37" s="605"/>
      <c r="AJ37" s="605"/>
      <c r="AK37" s="605"/>
      <c r="AL37" s="605"/>
      <c r="AM37" s="605"/>
      <c r="AN37" s="605"/>
      <c r="AO37" s="605"/>
      <c r="AP37" s="605"/>
      <c r="AQ37" s="605"/>
      <c r="AR37" s="414"/>
      <c r="AS37" s="585">
        <f>('بيرسا و لوفرز'!F24+'بيرسا و لوفرز'!V55+'بيرسا و لوفرز'!V63)*1.35</f>
        <v>217503.90000000002</v>
      </c>
      <c r="AT37" s="586"/>
      <c r="BD37" s="585">
        <f>('بيرسا و لوفرز'!F97+'بيرسا و لوفرز'!V126+'بيرسا و لوفرز'!V134)*1.35</f>
        <v>181242.90000000002</v>
      </c>
      <c r="BE37" s="586"/>
      <c r="BN37" s="415"/>
    </row>
    <row r="38" ht="41.25" customHeight="1">
      <c r="A38" s="604"/>
      <c r="B38" s="604"/>
      <c r="C38" s="604"/>
      <c r="D38" s="604"/>
      <c r="E38" s="604"/>
      <c r="F38" s="604"/>
      <c r="G38" s="604"/>
      <c r="H38" s="604"/>
      <c r="I38" s="604"/>
      <c r="J38" s="604"/>
      <c r="K38" s="604"/>
      <c r="L38" s="604"/>
      <c r="M38" s="604"/>
      <c r="N38" s="604"/>
      <c r="O38" s="604"/>
      <c r="P38" s="604"/>
      <c r="Q38" s="604"/>
      <c r="R38" s="592"/>
      <c r="S38" s="415"/>
      <c r="T38" s="415"/>
      <c r="U38" s="415"/>
      <c r="V38" s="415"/>
      <c r="W38" s="415"/>
      <c r="X38" s="415"/>
      <c r="Y38" s="415"/>
      <c r="Z38" s="415"/>
      <c r="AA38" s="415"/>
      <c r="AB38" s="415"/>
      <c r="AC38" s="415"/>
      <c r="AD38" s="414"/>
      <c r="AE38" s="605"/>
      <c r="AF38" s="605"/>
      <c r="AG38" s="605"/>
      <c r="AH38" s="605"/>
      <c r="AI38" s="605"/>
      <c r="AJ38" s="605"/>
      <c r="AK38" s="605"/>
      <c r="AL38" s="605"/>
      <c r="AM38" s="605"/>
      <c r="AN38" s="605"/>
      <c r="AO38" s="605"/>
      <c r="AP38" s="605"/>
      <c r="AQ38" s="605"/>
      <c r="AR38" s="414"/>
      <c r="AS38" s="585">
        <f>AS37/(AT34*AT33/10000)</f>
        <v>10875.195000000002</v>
      </c>
      <c r="AT38" s="586"/>
      <c r="BD38" s="585">
        <f>BD37/(BE33*BE34/10000)</f>
        <v>13531.648499328059</v>
      </c>
      <c r="BE38" s="586"/>
      <c r="BK38" s="493">
        <f>BE33</f>
        <v>370</v>
      </c>
      <c r="BN38" s="415"/>
    </row>
    <row r="39" ht="41.25" customHeight="1">
      <c r="A39" s="604"/>
      <c r="B39" s="604"/>
      <c r="C39" s="604"/>
      <c r="D39" s="604"/>
      <c r="E39" s="604"/>
      <c r="F39" s="604"/>
      <c r="G39" s="604"/>
      <c r="H39" s="604"/>
      <c r="I39" s="604"/>
      <c r="J39" s="604"/>
      <c r="K39" s="604"/>
      <c r="L39" s="604"/>
      <c r="M39" s="604"/>
      <c r="N39" s="604"/>
      <c r="O39" s="604"/>
      <c r="P39" s="604"/>
      <c r="Q39" s="604"/>
      <c r="R39" s="592"/>
      <c r="S39" s="604"/>
      <c r="T39" s="604"/>
      <c r="U39" s="604"/>
      <c r="V39" s="604"/>
      <c r="W39" s="604"/>
      <c r="X39" s="604"/>
      <c r="Y39" s="604"/>
      <c r="Z39" s="604"/>
      <c r="AA39" s="604"/>
      <c r="AB39" s="604"/>
      <c r="AC39" s="604"/>
      <c r="AD39" s="414"/>
      <c r="AE39" s="415"/>
      <c r="AF39" s="415"/>
      <c r="AG39" s="415"/>
      <c r="AH39" s="415"/>
      <c r="AI39" s="415"/>
      <c r="AJ39" s="465"/>
      <c r="AK39" s="465"/>
      <c r="AL39" s="415"/>
      <c r="AM39" s="415"/>
      <c r="AN39" s="415"/>
      <c r="AO39" s="415"/>
      <c r="AP39" s="415"/>
      <c r="AQ39" s="415"/>
      <c r="AR39" s="414"/>
      <c r="AS39" s="415"/>
      <c r="AT39" s="415"/>
      <c r="AU39" s="415"/>
      <c r="AV39" s="415"/>
      <c r="AW39" s="415"/>
      <c r="AX39" s="415"/>
      <c r="AY39" s="415"/>
      <c r="AZ39" s="415"/>
      <c r="BA39" s="415"/>
      <c r="BB39" s="415"/>
      <c r="BD39" s="415"/>
      <c r="BE39" s="415"/>
      <c r="BF39" s="415"/>
      <c r="BG39" s="415"/>
      <c r="BH39" s="415"/>
      <c r="BI39" s="415"/>
      <c r="BJ39" s="415"/>
      <c r="BK39" s="415"/>
      <c r="BL39" s="415"/>
      <c r="BM39" s="415"/>
      <c r="BN39" s="415"/>
    </row>
    <row r="40" ht="30.75" customHeight="1">
      <c r="A40" s="604"/>
      <c r="B40" s="604"/>
      <c r="C40" s="604"/>
      <c r="D40" s="604"/>
      <c r="E40" s="604"/>
      <c r="F40" s="604"/>
      <c r="G40" s="604"/>
      <c r="H40" s="604"/>
      <c r="I40" s="604"/>
      <c r="J40" s="604"/>
      <c r="K40" s="604"/>
      <c r="L40" s="604"/>
      <c r="M40" s="604"/>
      <c r="N40" s="604"/>
      <c r="O40" s="604"/>
      <c r="P40" s="604"/>
      <c r="Q40" s="604"/>
      <c r="R40" s="592"/>
      <c r="S40" s="604"/>
      <c r="T40" s="604"/>
      <c r="U40" s="604"/>
      <c r="V40" s="604"/>
      <c r="W40" s="604"/>
      <c r="X40" s="604"/>
      <c r="Y40" s="604"/>
      <c r="Z40" s="604"/>
      <c r="AA40" s="604"/>
      <c r="AB40" s="604"/>
      <c r="AC40" s="604"/>
      <c r="AD40" s="414"/>
      <c r="AE40" s="415"/>
      <c r="AF40" s="415"/>
      <c r="AG40" s="415"/>
      <c r="AH40" s="415"/>
      <c r="AI40" s="415"/>
      <c r="AJ40" s="415"/>
      <c r="AK40" s="415"/>
      <c r="AL40" s="415"/>
      <c r="AM40" s="415"/>
      <c r="AN40" s="415"/>
      <c r="AO40" s="415"/>
      <c r="AP40" s="415"/>
      <c r="AQ40" s="415"/>
      <c r="AR40" s="414"/>
      <c r="AS40" s="415"/>
      <c r="AT40" s="415"/>
      <c r="AU40" s="415"/>
      <c r="AV40" s="415"/>
      <c r="AW40" s="415"/>
      <c r="AX40" s="415"/>
      <c r="AY40" s="415"/>
      <c r="AZ40" s="415"/>
      <c r="BA40" s="415"/>
      <c r="BB40" s="415"/>
      <c r="BD40" s="415"/>
      <c r="BE40" s="415"/>
      <c r="BF40" s="415"/>
      <c r="BG40" s="415"/>
      <c r="BH40" s="415"/>
      <c r="BI40" s="415"/>
      <c r="BJ40" s="415"/>
      <c r="BK40" s="415"/>
      <c r="BL40" s="415"/>
      <c r="BM40" s="415"/>
      <c r="BN40" s="415"/>
    </row>
    <row r="41" ht="42" customHeight="1">
      <c r="A41" s="604"/>
      <c r="B41" s="604"/>
      <c r="C41" s="604"/>
      <c r="D41" s="604"/>
      <c r="E41" s="604"/>
      <c r="F41" s="604"/>
      <c r="G41" s="604"/>
      <c r="H41" s="604"/>
      <c r="I41" s="604"/>
      <c r="J41" s="604"/>
      <c r="K41" s="604"/>
      <c r="L41" s="604"/>
      <c r="M41" s="604"/>
      <c r="N41" s="604"/>
      <c r="O41" s="604"/>
      <c r="P41" s="604"/>
      <c r="Q41" s="604"/>
      <c r="R41" s="592"/>
      <c r="S41" s="604"/>
      <c r="T41" s="604"/>
      <c r="U41" s="604"/>
      <c r="V41" s="604"/>
      <c r="W41" s="604"/>
      <c r="X41" s="604"/>
      <c r="Y41" s="604"/>
      <c r="Z41" s="604"/>
      <c r="AA41" s="604"/>
      <c r="AB41" s="604"/>
      <c r="AC41" s="604"/>
      <c r="AD41" s="414"/>
      <c r="AE41" s="601" t="s">
        <v>207</v>
      </c>
      <c r="AF41" s="601"/>
      <c r="AG41" s="601"/>
      <c r="AH41" s="601"/>
      <c r="AI41" s="601"/>
      <c r="AJ41" s="601"/>
      <c r="AK41" s="601"/>
      <c r="AL41" s="601"/>
      <c r="AM41" s="601"/>
      <c r="AN41" s="601"/>
      <c r="AO41" s="601"/>
      <c r="AP41" s="601"/>
      <c r="AQ41" s="601"/>
      <c r="AR41" s="414"/>
      <c r="AS41" s="587" t="s">
        <v>208</v>
      </c>
      <c r="AT41" s="587"/>
      <c r="AU41" s="587"/>
      <c r="AW41" s="485"/>
      <c r="BD41" s="416" t="s">
        <v>209</v>
      </c>
      <c r="BE41" s="416"/>
      <c r="BF41" s="416"/>
      <c r="BH41" s="485"/>
      <c r="BN41" s="415"/>
    </row>
    <row r="42" ht="42" customHeight="1">
      <c r="A42" s="604"/>
      <c r="B42" s="604"/>
      <c r="C42" s="604"/>
      <c r="D42" s="604"/>
      <c r="E42" s="604"/>
      <c r="F42" s="604"/>
      <c r="G42" s="604"/>
      <c r="H42" s="604"/>
      <c r="I42" s="604"/>
      <c r="J42" s="604"/>
      <c r="K42" s="604"/>
      <c r="L42" s="604"/>
      <c r="M42" s="604"/>
      <c r="N42" s="604"/>
      <c r="O42" s="604"/>
      <c r="P42" s="604"/>
      <c r="Q42" s="604"/>
      <c r="R42" s="592"/>
      <c r="S42" s="590" t="s">
        <v>210</v>
      </c>
      <c r="T42" s="591"/>
      <c r="U42" s="458"/>
      <c r="V42" s="458"/>
      <c r="W42" s="458"/>
      <c r="X42" s="458"/>
      <c r="Y42" s="458"/>
      <c r="Z42" s="458"/>
      <c r="AA42" s="458"/>
      <c r="AB42" s="458"/>
      <c r="AC42" s="458"/>
      <c r="AD42" s="414"/>
      <c r="AE42" s="601"/>
      <c r="AF42" s="601"/>
      <c r="AG42" s="601"/>
      <c r="AH42" s="601"/>
      <c r="AI42" s="601"/>
      <c r="AJ42" s="601"/>
      <c r="AK42" s="601"/>
      <c r="AL42" s="601"/>
      <c r="AM42" s="601"/>
      <c r="AN42" s="601"/>
      <c r="AO42" s="601"/>
      <c r="AP42" s="601"/>
      <c r="AQ42" s="601"/>
      <c r="AR42" s="414"/>
      <c r="AS42" s="472" t="s">
        <v>163</v>
      </c>
      <c r="AT42" s="473">
        <f>'بيرسا و لوفرز'!BM68</f>
        <v>197816.645</v>
      </c>
      <c r="AU42" s="480"/>
      <c r="BD42" s="472" t="s">
        <v>163</v>
      </c>
      <c r="BE42" s="473">
        <f>'بيرسا و لوفرز'!BM139</f>
        <v>205312.01166666666</v>
      </c>
      <c r="BF42" s="480"/>
      <c r="BN42" s="415"/>
    </row>
    <row r="43" ht="42" customHeight="1">
      <c r="A43" s="603" t="s">
        <v>211</v>
      </c>
      <c r="B43" s="603"/>
      <c r="C43" s="603"/>
      <c r="D43" s="603"/>
      <c r="E43" s="603"/>
      <c r="F43" s="603"/>
      <c r="G43" s="603"/>
      <c r="H43" s="603"/>
      <c r="I43" s="603"/>
      <c r="J43" s="603"/>
      <c r="K43" s="603"/>
      <c r="L43" s="603"/>
      <c r="M43" s="603"/>
      <c r="N43" s="603"/>
      <c r="O43" s="603"/>
      <c r="P43" s="603"/>
      <c r="Q43" s="603"/>
      <c r="R43" s="592"/>
      <c r="S43" s="442" t="s">
        <v>163</v>
      </c>
      <c r="T43" s="443">
        <f>'شماسي و كانتليفر'!N51</f>
        <v>68520.400000000009</v>
      </c>
      <c r="U43" s="458"/>
      <c r="V43" s="458"/>
      <c r="W43" s="458"/>
      <c r="X43" s="458"/>
      <c r="Y43" s="458"/>
      <c r="Z43" s="458"/>
      <c r="AA43" s="458"/>
      <c r="AB43" s="458"/>
      <c r="AC43" s="458"/>
      <c r="AD43" s="414"/>
      <c r="AE43" s="601"/>
      <c r="AF43" s="601"/>
      <c r="AG43" s="601"/>
      <c r="AH43" s="601"/>
      <c r="AI43" s="601"/>
      <c r="AJ43" s="601"/>
      <c r="AK43" s="601"/>
      <c r="AL43" s="601"/>
      <c r="AM43" s="601"/>
      <c r="AN43" s="601"/>
      <c r="AO43" s="601"/>
      <c r="AP43" s="601"/>
      <c r="AQ43" s="601"/>
      <c r="AR43" s="414"/>
      <c r="AS43" s="472" t="s">
        <v>127</v>
      </c>
      <c r="AT43" s="474">
        <f>AT42/(AT53*AT54/10000)</f>
        <v>9890.83225</v>
      </c>
      <c r="AU43" s="480"/>
      <c r="AV43" s="481"/>
      <c r="BD43" s="472" t="s">
        <v>127</v>
      </c>
      <c r="BE43" s="474">
        <f>BE42/(BE53*BE54/10000)</f>
        <v>10265.600583333333</v>
      </c>
      <c r="BF43" s="480"/>
      <c r="BG43" s="481"/>
      <c r="BN43" s="415"/>
    </row>
    <row r="44" ht="42" customHeight="1">
      <c r="A44" s="603"/>
      <c r="B44" s="603"/>
      <c r="C44" s="603"/>
      <c r="D44" s="603"/>
      <c r="E44" s="603"/>
      <c r="F44" s="603"/>
      <c r="G44" s="603"/>
      <c r="H44" s="603"/>
      <c r="I44" s="603"/>
      <c r="J44" s="603"/>
      <c r="K44" s="603"/>
      <c r="L44" s="603"/>
      <c r="M44" s="603"/>
      <c r="N44" s="603"/>
      <c r="O44" s="603"/>
      <c r="P44" s="603"/>
      <c r="Q44" s="603"/>
      <c r="R44" s="592"/>
      <c r="S44" s="444" t="s">
        <v>127</v>
      </c>
      <c r="T44" s="443">
        <f>T43/T51</f>
        <v>2740.8160000000003</v>
      </c>
      <c r="U44" s="458"/>
      <c r="V44" s="458"/>
      <c r="W44" s="458"/>
      <c r="X44" s="458"/>
      <c r="Y44" s="602"/>
      <c r="Z44" s="602"/>
      <c r="AA44" s="458"/>
      <c r="AB44" s="458"/>
      <c r="AC44" s="458"/>
      <c r="AD44" s="414"/>
      <c r="AE44" s="601"/>
      <c r="AF44" s="601"/>
      <c r="AG44" s="601"/>
      <c r="AH44" s="601"/>
      <c r="AI44" s="601"/>
      <c r="AJ44" s="601"/>
      <c r="AK44" s="601"/>
      <c r="AL44" s="601"/>
      <c r="AM44" s="601"/>
      <c r="AN44" s="601"/>
      <c r="AO44" s="601"/>
      <c r="AP44" s="601"/>
      <c r="AQ44" s="601"/>
      <c r="AR44" s="414"/>
      <c r="AS44" s="426" t="s">
        <v>164</v>
      </c>
      <c r="AT44" s="424" t="s">
        <v>44</v>
      </c>
      <c r="BD44" s="426" t="s">
        <v>164</v>
      </c>
      <c r="BE44" s="424" t="s">
        <v>38</v>
      </c>
      <c r="BN44" s="415"/>
    </row>
    <row r="45" ht="42" customHeight="1">
      <c r="A45" s="603"/>
      <c r="B45" s="603"/>
      <c r="C45" s="603"/>
      <c r="D45" s="603"/>
      <c r="E45" s="603"/>
      <c r="F45" s="603"/>
      <c r="G45" s="603"/>
      <c r="H45" s="603"/>
      <c r="I45" s="603"/>
      <c r="J45" s="603"/>
      <c r="K45" s="603"/>
      <c r="L45" s="603"/>
      <c r="M45" s="603"/>
      <c r="N45" s="603"/>
      <c r="O45" s="603"/>
      <c r="P45" s="603"/>
      <c r="Q45" s="603"/>
      <c r="R45" s="592"/>
      <c r="S45" s="440" t="s">
        <v>164</v>
      </c>
      <c r="T45" s="441" t="s">
        <v>21</v>
      </c>
      <c r="U45" s="458"/>
      <c r="V45" s="458"/>
      <c r="W45" s="458"/>
      <c r="X45" s="458"/>
      <c r="Y45" s="602"/>
      <c r="Z45" s="602"/>
      <c r="AA45" s="458"/>
      <c r="AB45" s="458"/>
      <c r="AC45" s="458"/>
      <c r="AD45" s="414"/>
      <c r="AE45" s="601"/>
      <c r="AF45" s="601"/>
      <c r="AG45" s="601"/>
      <c r="AH45" s="601"/>
      <c r="AI45" s="601"/>
      <c r="AJ45" s="601"/>
      <c r="AK45" s="601"/>
      <c r="AL45" s="601"/>
      <c r="AM45" s="601"/>
      <c r="AN45" s="601"/>
      <c r="AO45" s="601"/>
      <c r="AP45" s="601"/>
      <c r="AQ45" s="601"/>
      <c r="AR45" s="414"/>
      <c r="AS45" s="426" t="s">
        <v>165</v>
      </c>
      <c r="AT45" s="427" t="s">
        <v>166</v>
      </c>
      <c r="AZ45" s="493">
        <f>AT53</f>
        <v>500</v>
      </c>
      <c r="BD45" s="426" t="s">
        <v>165</v>
      </c>
      <c r="BE45" s="427" t="s">
        <v>166</v>
      </c>
      <c r="BN45" s="415"/>
    </row>
    <row r="46" ht="42" customHeight="1">
      <c r="A46" s="603"/>
      <c r="B46" s="603"/>
      <c r="C46" s="603"/>
      <c r="D46" s="603"/>
      <c r="E46" s="603"/>
      <c r="F46" s="603"/>
      <c r="G46" s="603"/>
      <c r="H46" s="603"/>
      <c r="I46" s="603"/>
      <c r="J46" s="603"/>
      <c r="K46" s="603"/>
      <c r="L46" s="603"/>
      <c r="M46" s="603"/>
      <c r="N46" s="603"/>
      <c r="O46" s="603"/>
      <c r="P46" s="603"/>
      <c r="Q46" s="603"/>
      <c r="R46" s="592"/>
      <c r="S46" s="445" t="s">
        <v>165</v>
      </c>
      <c r="T46" s="446" t="s">
        <v>166</v>
      </c>
      <c r="U46" s="458"/>
      <c r="V46" s="458"/>
      <c r="W46" s="458"/>
      <c r="X46" s="458"/>
      <c r="Y46" s="602"/>
      <c r="Z46" s="602"/>
      <c r="AA46" s="458"/>
      <c r="AB46" s="458"/>
      <c r="AC46" s="458"/>
      <c r="AD46" s="414"/>
      <c r="AE46" s="601"/>
      <c r="AF46" s="601"/>
      <c r="AG46" s="601"/>
      <c r="AH46" s="601"/>
      <c r="AI46" s="601"/>
      <c r="AJ46" s="601"/>
      <c r="AK46" s="601"/>
      <c r="AL46" s="601"/>
      <c r="AM46" s="601"/>
      <c r="AN46" s="601"/>
      <c r="AO46" s="601"/>
      <c r="AP46" s="601"/>
      <c r="AQ46" s="601"/>
      <c r="AR46" s="414"/>
      <c r="AS46" s="428" t="s">
        <v>168</v>
      </c>
      <c r="AT46" s="429" t="s">
        <v>177</v>
      </c>
      <c r="AX46" s="493">
        <f>AT54</f>
        <v>400</v>
      </c>
      <c r="BD46" s="428" t="s">
        <v>168</v>
      </c>
      <c r="BE46" s="429" t="s">
        <v>177</v>
      </c>
      <c r="BI46" s="493">
        <f>BE54</f>
        <v>400</v>
      </c>
      <c r="BM46" s="493">
        <f>BE53</f>
        <v>500</v>
      </c>
      <c r="BN46" s="415"/>
    </row>
    <row r="47" ht="42" customHeight="1">
      <c r="A47" s="603"/>
      <c r="B47" s="603"/>
      <c r="C47" s="603"/>
      <c r="D47" s="603"/>
      <c r="E47" s="603"/>
      <c r="F47" s="603"/>
      <c r="G47" s="603"/>
      <c r="H47" s="603"/>
      <c r="I47" s="603"/>
      <c r="J47" s="603"/>
      <c r="K47" s="603"/>
      <c r="L47" s="603"/>
      <c r="M47" s="603"/>
      <c r="N47" s="603"/>
      <c r="O47" s="603"/>
      <c r="P47" s="603"/>
      <c r="Q47" s="603"/>
      <c r="R47" s="592"/>
      <c r="S47" s="440" t="s">
        <v>212</v>
      </c>
      <c r="T47" s="447">
        <f>ROUNDUP(T54/500,0)</f>
        <v>1</v>
      </c>
      <c r="U47" s="458"/>
      <c r="V47" s="458"/>
      <c r="W47" s="458"/>
      <c r="X47" s="458"/>
      <c r="Y47" s="458"/>
      <c r="Z47" s="458"/>
      <c r="AA47" s="458"/>
      <c r="AB47" s="458"/>
      <c r="AC47" s="458"/>
      <c r="AD47" s="414"/>
      <c r="AE47" s="601"/>
      <c r="AF47" s="601"/>
      <c r="AG47" s="601"/>
      <c r="AH47" s="601"/>
      <c r="AI47" s="601"/>
      <c r="AJ47" s="601"/>
      <c r="AK47" s="601"/>
      <c r="AL47" s="601"/>
      <c r="AM47" s="601"/>
      <c r="AN47" s="601"/>
      <c r="AO47" s="601"/>
      <c r="AP47" s="601"/>
      <c r="AQ47" s="601"/>
      <c r="AR47" s="414"/>
      <c r="AS47" s="430"/>
      <c r="AT47" s="431"/>
      <c r="AU47" s="482"/>
      <c r="AV47" s="482"/>
      <c r="AW47" s="482"/>
      <c r="AX47" s="494"/>
      <c r="AY47" s="494"/>
      <c r="BD47" s="430"/>
      <c r="BE47" s="431"/>
      <c r="BF47" s="482"/>
      <c r="BG47" s="482"/>
      <c r="BH47" s="482"/>
      <c r="BI47" s="494"/>
      <c r="BJ47" s="494"/>
      <c r="BN47" s="415"/>
    </row>
    <row r="48" ht="42" customHeight="1">
      <c r="A48" s="603"/>
      <c r="B48" s="603"/>
      <c r="C48" s="603"/>
      <c r="D48" s="603"/>
      <c r="E48" s="603"/>
      <c r="F48" s="603"/>
      <c r="G48" s="603"/>
      <c r="H48" s="603"/>
      <c r="I48" s="603"/>
      <c r="J48" s="603"/>
      <c r="K48" s="603"/>
      <c r="L48" s="603"/>
      <c r="M48" s="603"/>
      <c r="N48" s="603"/>
      <c r="O48" s="603"/>
      <c r="P48" s="603"/>
      <c r="Q48" s="603"/>
      <c r="R48" s="592"/>
      <c r="S48" s="448"/>
      <c r="T48" s="449"/>
      <c r="U48" s="458"/>
      <c r="V48" s="458"/>
      <c r="W48" s="458"/>
      <c r="X48" s="458"/>
      <c r="Y48" s="458"/>
      <c r="Z48" s="458"/>
      <c r="AA48" s="458"/>
      <c r="AB48" s="458"/>
      <c r="AC48" s="458"/>
      <c r="AD48" s="414"/>
      <c r="AE48" s="601"/>
      <c r="AF48" s="601"/>
      <c r="AG48" s="601"/>
      <c r="AH48" s="601"/>
      <c r="AI48" s="601"/>
      <c r="AJ48" s="601"/>
      <c r="AK48" s="601"/>
      <c r="AL48" s="601"/>
      <c r="AM48" s="601"/>
      <c r="AN48" s="601"/>
      <c r="AO48" s="601"/>
      <c r="AP48" s="601"/>
      <c r="AQ48" s="601"/>
      <c r="AR48" s="414"/>
      <c r="AS48" s="439"/>
      <c r="AT48" s="439"/>
      <c r="BD48" s="439"/>
      <c r="BE48" s="439"/>
      <c r="BN48" s="415"/>
    </row>
    <row r="49" ht="42" customHeight="1">
      <c r="A49" s="603"/>
      <c r="B49" s="603"/>
      <c r="C49" s="603"/>
      <c r="D49" s="603"/>
      <c r="E49" s="603"/>
      <c r="F49" s="603"/>
      <c r="G49" s="603"/>
      <c r="H49" s="603"/>
      <c r="I49" s="603"/>
      <c r="J49" s="603"/>
      <c r="K49" s="603"/>
      <c r="L49" s="603"/>
      <c r="M49" s="603"/>
      <c r="N49" s="603"/>
      <c r="O49" s="603"/>
      <c r="P49" s="603"/>
      <c r="Q49" s="603"/>
      <c r="R49" s="592"/>
      <c r="S49" s="448"/>
      <c r="T49" s="448"/>
      <c r="U49" s="458"/>
      <c r="V49" s="458"/>
      <c r="W49" s="458"/>
      <c r="X49" s="458"/>
      <c r="Y49" s="458"/>
      <c r="Z49" s="458"/>
      <c r="AA49" s="458"/>
      <c r="AB49" s="458"/>
      <c r="AC49" s="458"/>
      <c r="AD49" s="414"/>
      <c r="AE49" s="601"/>
      <c r="AF49" s="601"/>
      <c r="AG49" s="601"/>
      <c r="AH49" s="601"/>
      <c r="AI49" s="601"/>
      <c r="AJ49" s="601"/>
      <c r="AK49" s="601"/>
      <c r="AL49" s="601"/>
      <c r="AM49" s="601"/>
      <c r="AN49" s="601"/>
      <c r="AO49" s="601"/>
      <c r="AP49" s="601"/>
      <c r="AQ49" s="601"/>
      <c r="AR49" s="414"/>
      <c r="AS49" s="423" t="s">
        <v>183</v>
      </c>
      <c r="AT49" s="483" t="s">
        <v>184</v>
      </c>
      <c r="BD49" s="423" t="s">
        <v>183</v>
      </c>
      <c r="BE49" s="483" t="s">
        <v>184</v>
      </c>
      <c r="BN49" s="415"/>
    </row>
    <row r="50" ht="42" customHeight="1">
      <c r="A50" s="603"/>
      <c r="B50" s="603"/>
      <c r="C50" s="603"/>
      <c r="D50" s="603"/>
      <c r="E50" s="603"/>
      <c r="F50" s="603"/>
      <c r="G50" s="603"/>
      <c r="H50" s="603"/>
      <c r="I50" s="603"/>
      <c r="J50" s="603"/>
      <c r="K50" s="603"/>
      <c r="L50" s="603"/>
      <c r="M50" s="603"/>
      <c r="N50" s="603"/>
      <c r="O50" s="603"/>
      <c r="P50" s="603"/>
      <c r="Q50" s="603"/>
      <c r="R50" s="592"/>
      <c r="S50" s="448"/>
      <c r="T50" s="449"/>
      <c r="U50" s="458"/>
      <c r="V50" s="458"/>
      <c r="W50" s="458"/>
      <c r="X50" s="458"/>
      <c r="Y50" s="458"/>
      <c r="Z50" s="458"/>
      <c r="AA50" s="458"/>
      <c r="AB50" s="458"/>
      <c r="AC50" s="458"/>
      <c r="AD50" s="414"/>
      <c r="AE50" s="601"/>
      <c r="AF50" s="601"/>
      <c r="AG50" s="601"/>
      <c r="AH50" s="601"/>
      <c r="AI50" s="601"/>
      <c r="AJ50" s="601"/>
      <c r="AK50" s="601"/>
      <c r="AL50" s="601"/>
      <c r="AM50" s="601"/>
      <c r="AN50" s="601"/>
      <c r="AO50" s="601"/>
      <c r="AP50" s="601"/>
      <c r="AQ50" s="601"/>
      <c r="AR50" s="414"/>
      <c r="AS50" s="423" t="s">
        <v>185</v>
      </c>
      <c r="AT50" s="483" t="s">
        <v>186</v>
      </c>
      <c r="AV50" s="484"/>
      <c r="AW50" s="485"/>
      <c r="AX50" s="485"/>
      <c r="AY50" s="485"/>
      <c r="AZ50" s="485"/>
      <c r="BD50" s="423" t="s">
        <v>185</v>
      </c>
      <c r="BE50" s="483" t="s">
        <v>186</v>
      </c>
      <c r="BG50" s="484"/>
      <c r="BH50" s="485"/>
      <c r="BI50" s="485"/>
      <c r="BJ50" s="485"/>
      <c r="BK50" s="485"/>
      <c r="BN50" s="415"/>
    </row>
    <row r="51" ht="42" customHeight="1">
      <c r="A51" s="603"/>
      <c r="B51" s="603"/>
      <c r="C51" s="603"/>
      <c r="D51" s="603"/>
      <c r="E51" s="603"/>
      <c r="F51" s="603"/>
      <c r="G51" s="603"/>
      <c r="H51" s="603"/>
      <c r="I51" s="603"/>
      <c r="J51" s="603"/>
      <c r="K51" s="603"/>
      <c r="L51" s="603"/>
      <c r="M51" s="603"/>
      <c r="N51" s="603"/>
      <c r="O51" s="603"/>
      <c r="P51" s="603"/>
      <c r="Q51" s="603"/>
      <c r="R51" s="592"/>
      <c r="S51" s="440" t="s">
        <v>213</v>
      </c>
      <c r="T51" s="453">
        <f>IF((T52="double"),(T54*T55/5000),(T54*T55/10000))</f>
        <v>25</v>
      </c>
      <c r="U51" s="458"/>
      <c r="V51" s="458"/>
      <c r="W51" s="458"/>
      <c r="X51" s="458"/>
      <c r="Y51" s="458"/>
      <c r="Z51" s="458"/>
      <c r="AA51" s="458"/>
      <c r="AB51" s="458"/>
      <c r="AC51" s="458"/>
      <c r="AD51" s="414"/>
      <c r="AE51" s="601"/>
      <c r="AF51" s="601"/>
      <c r="AG51" s="601"/>
      <c r="AH51" s="601"/>
      <c r="AI51" s="601"/>
      <c r="AJ51" s="601"/>
      <c r="AK51" s="601"/>
      <c r="AL51" s="601"/>
      <c r="AM51" s="601"/>
      <c r="AN51" s="601"/>
      <c r="AO51" s="601"/>
      <c r="AP51" s="601"/>
      <c r="AQ51" s="601"/>
      <c r="AR51" s="414"/>
      <c r="AS51" s="436"/>
      <c r="AT51" s="437"/>
      <c r="AV51" s="485"/>
      <c r="AW51" s="485"/>
      <c r="AX51" s="485"/>
      <c r="AY51" s="485"/>
      <c r="AZ51" s="485"/>
      <c r="BA51" s="485"/>
      <c r="BD51" s="436"/>
      <c r="BE51" s="437"/>
      <c r="BG51" s="485"/>
      <c r="BH51" s="485"/>
      <c r="BI51" s="485"/>
      <c r="BJ51" s="485"/>
      <c r="BK51" s="485"/>
      <c r="BL51" s="485"/>
      <c r="BN51" s="415"/>
    </row>
    <row r="52" ht="42" customHeight="1">
      <c r="A52" s="603"/>
      <c r="B52" s="603"/>
      <c r="C52" s="603"/>
      <c r="D52" s="603"/>
      <c r="E52" s="603"/>
      <c r="F52" s="603"/>
      <c r="G52" s="603"/>
      <c r="H52" s="603"/>
      <c r="I52" s="603"/>
      <c r="J52" s="603"/>
      <c r="K52" s="603"/>
      <c r="L52" s="603"/>
      <c r="M52" s="603"/>
      <c r="N52" s="603"/>
      <c r="O52" s="603"/>
      <c r="P52" s="603"/>
      <c r="Q52" s="603"/>
      <c r="R52" s="592"/>
      <c r="S52" s="440" t="s">
        <v>214</v>
      </c>
      <c r="T52" s="459" t="s">
        <v>215</v>
      </c>
      <c r="U52" s="458"/>
      <c r="V52" s="458"/>
      <c r="W52" s="458"/>
      <c r="X52" s="458"/>
      <c r="Y52" s="458"/>
      <c r="Z52" s="458"/>
      <c r="AA52" s="458"/>
      <c r="AB52" s="458"/>
      <c r="AC52" s="458"/>
      <c r="AD52" s="414"/>
      <c r="AE52" s="601"/>
      <c r="AF52" s="601"/>
      <c r="AG52" s="601"/>
      <c r="AH52" s="601"/>
      <c r="AI52" s="601"/>
      <c r="AJ52" s="601"/>
      <c r="AK52" s="601"/>
      <c r="AL52" s="601"/>
      <c r="AM52" s="601"/>
      <c r="AN52" s="601"/>
      <c r="AO52" s="601"/>
      <c r="AP52" s="601"/>
      <c r="AQ52" s="601"/>
      <c r="AR52" s="414"/>
      <c r="AS52" s="438" t="s">
        <v>188</v>
      </c>
      <c r="AT52" s="434" t="s">
        <v>193</v>
      </c>
      <c r="BA52" s="484"/>
      <c r="BD52" s="438" t="s">
        <v>188</v>
      </c>
      <c r="BE52" s="434" t="s">
        <v>193</v>
      </c>
      <c r="BL52" s="484"/>
      <c r="BN52" s="415"/>
    </row>
    <row r="53" ht="42" customHeight="1">
      <c r="A53" s="603"/>
      <c r="B53" s="603"/>
      <c r="C53" s="603"/>
      <c r="D53" s="603"/>
      <c r="E53" s="603"/>
      <c r="F53" s="603"/>
      <c r="G53" s="603"/>
      <c r="H53" s="603"/>
      <c r="I53" s="603"/>
      <c r="J53" s="603"/>
      <c r="K53" s="603"/>
      <c r="L53" s="603"/>
      <c r="M53" s="603"/>
      <c r="N53" s="603"/>
      <c r="O53" s="603"/>
      <c r="P53" s="603"/>
      <c r="Q53" s="603"/>
      <c r="R53" s="592"/>
      <c r="S53" s="440" t="s">
        <v>188</v>
      </c>
      <c r="T53" s="453" t="s">
        <v>192</v>
      </c>
      <c r="U53" s="458"/>
      <c r="V53" s="458"/>
      <c r="W53" s="458"/>
      <c r="X53" s="458"/>
      <c r="Y53" s="458"/>
      <c r="Z53" s="458"/>
      <c r="AA53" s="458"/>
      <c r="AB53" s="458"/>
      <c r="AC53" s="460">
        <f>T55</f>
        <v>500</v>
      </c>
      <c r="AD53" s="414"/>
      <c r="AE53" s="601"/>
      <c r="AF53" s="601"/>
      <c r="AG53" s="601"/>
      <c r="AH53" s="601"/>
      <c r="AI53" s="601"/>
      <c r="AJ53" s="601"/>
      <c r="AK53" s="601"/>
      <c r="AL53" s="601"/>
      <c r="AM53" s="601"/>
      <c r="AN53" s="601"/>
      <c r="AO53" s="601"/>
      <c r="AP53" s="601"/>
      <c r="AQ53" s="601"/>
      <c r="AR53" s="414"/>
      <c r="AS53" s="438" t="s">
        <v>189</v>
      </c>
      <c r="AT53" s="438">
        <v>500</v>
      </c>
      <c r="BA53" s="0" t="s">
        <v>190</v>
      </c>
      <c r="BD53" s="438" t="s">
        <v>189</v>
      </c>
      <c r="BE53" s="438">
        <v>500</v>
      </c>
      <c r="BL53" s="0" t="s">
        <v>190</v>
      </c>
      <c r="BN53" s="415"/>
    </row>
    <row r="54" ht="42" customHeight="1">
      <c r="A54" s="603"/>
      <c r="B54" s="603"/>
      <c r="C54" s="603"/>
      <c r="D54" s="603"/>
      <c r="E54" s="603"/>
      <c r="F54" s="603"/>
      <c r="G54" s="603"/>
      <c r="H54" s="603"/>
      <c r="I54" s="603"/>
      <c r="J54" s="603"/>
      <c r="K54" s="603"/>
      <c r="L54" s="603"/>
      <c r="M54" s="603"/>
      <c r="N54" s="603"/>
      <c r="O54" s="603"/>
      <c r="P54" s="603"/>
      <c r="Q54" s="603"/>
      <c r="R54" s="592"/>
      <c r="S54" s="440" t="s">
        <v>189</v>
      </c>
      <c r="T54" s="455">
        <v>500</v>
      </c>
      <c r="U54" s="458"/>
      <c r="V54" s="458"/>
      <c r="W54" s="458"/>
      <c r="X54" s="458"/>
      <c r="Y54" s="458"/>
      <c r="Z54" s="458"/>
      <c r="AA54" s="458"/>
      <c r="AC54" s="458"/>
      <c r="AD54" s="414"/>
      <c r="AE54" s="601"/>
      <c r="AF54" s="601"/>
      <c r="AG54" s="601"/>
      <c r="AH54" s="601"/>
      <c r="AI54" s="601"/>
      <c r="AJ54" s="601"/>
      <c r="AK54" s="601"/>
      <c r="AL54" s="601"/>
      <c r="AM54" s="601"/>
      <c r="AN54" s="601"/>
      <c r="AO54" s="601"/>
      <c r="AP54" s="601"/>
      <c r="AQ54" s="601"/>
      <c r="AR54" s="414"/>
      <c r="AS54" s="438" t="s">
        <v>191</v>
      </c>
      <c r="AT54" s="438">
        <v>400</v>
      </c>
      <c r="AU54" s="486"/>
      <c r="AZ54" s="582"/>
      <c r="BA54" s="582"/>
      <c r="BB54" s="582"/>
      <c r="BD54" s="438" t="s">
        <v>191</v>
      </c>
      <c r="BE54" s="438">
        <v>400</v>
      </c>
      <c r="BF54" s="486"/>
      <c r="BK54" s="582"/>
      <c r="BL54" s="582"/>
      <c r="BM54" s="582"/>
      <c r="BN54" s="415"/>
    </row>
    <row r="55" ht="42" customHeight="1">
      <c r="A55" s="603"/>
      <c r="B55" s="603"/>
      <c r="C55" s="603"/>
      <c r="D55" s="603"/>
      <c r="E55" s="603"/>
      <c r="F55" s="603"/>
      <c r="G55" s="603"/>
      <c r="H55" s="603"/>
      <c r="I55" s="603"/>
      <c r="J55" s="603"/>
      <c r="K55" s="603"/>
      <c r="L55" s="603"/>
      <c r="M55" s="603"/>
      <c r="N55" s="603"/>
      <c r="O55" s="603"/>
      <c r="P55" s="603"/>
      <c r="Q55" s="603"/>
      <c r="R55" s="592"/>
      <c r="S55" s="440" t="s">
        <v>191</v>
      </c>
      <c r="T55" s="455">
        <v>500</v>
      </c>
      <c r="U55" s="458"/>
      <c r="V55" s="458"/>
      <c r="W55" s="458"/>
      <c r="X55" s="458"/>
      <c r="Y55" s="458"/>
      <c r="Z55" s="458"/>
      <c r="AA55" s="458"/>
      <c r="AC55" s="458"/>
      <c r="AD55" s="414"/>
      <c r="AE55" s="601"/>
      <c r="AF55" s="601"/>
      <c r="AG55" s="601"/>
      <c r="AH55" s="601"/>
      <c r="AI55" s="601"/>
      <c r="AJ55" s="601"/>
      <c r="AK55" s="601"/>
      <c r="AL55" s="601"/>
      <c r="AM55" s="601"/>
      <c r="AN55" s="601"/>
      <c r="AO55" s="601"/>
      <c r="AP55" s="601"/>
      <c r="AQ55" s="601"/>
      <c r="AR55" s="414"/>
      <c r="AS55" s="415"/>
      <c r="AT55" s="415"/>
      <c r="BD55" s="415"/>
      <c r="BE55" s="415"/>
      <c r="BN55" s="415"/>
    </row>
    <row r="56" ht="42" customHeight="1">
      <c r="A56" s="603"/>
      <c r="B56" s="603"/>
      <c r="C56" s="603"/>
      <c r="D56" s="603"/>
      <c r="E56" s="603"/>
      <c r="F56" s="603"/>
      <c r="G56" s="603"/>
      <c r="H56" s="603"/>
      <c r="I56" s="603"/>
      <c r="J56" s="603"/>
      <c r="K56" s="603"/>
      <c r="L56" s="603"/>
      <c r="M56" s="603"/>
      <c r="N56" s="603"/>
      <c r="O56" s="603"/>
      <c r="P56" s="603"/>
      <c r="Q56" s="603"/>
      <c r="R56" s="592"/>
      <c r="S56" s="458"/>
      <c r="T56" s="458"/>
      <c r="U56" s="458"/>
      <c r="V56" s="458"/>
      <c r="W56" s="460">
        <f>T54</f>
        <v>500</v>
      </c>
      <c r="X56" s="458"/>
      <c r="Y56" s="458"/>
      <c r="Z56" s="458"/>
      <c r="AA56" s="458"/>
      <c r="AB56" s="458"/>
      <c r="AC56" s="458"/>
      <c r="AD56" s="414"/>
      <c r="AE56" s="601"/>
      <c r="AF56" s="601"/>
      <c r="AG56" s="601"/>
      <c r="AH56" s="601"/>
      <c r="AI56" s="601"/>
      <c r="AJ56" s="601"/>
      <c r="AK56" s="601"/>
      <c r="AL56" s="601"/>
      <c r="AM56" s="601"/>
      <c r="AN56" s="601"/>
      <c r="AO56" s="601"/>
      <c r="AP56" s="601"/>
      <c r="AQ56" s="601"/>
      <c r="AR56" s="414"/>
      <c r="AS56" s="415"/>
      <c r="AT56" s="415"/>
      <c r="BD56" s="415"/>
      <c r="BE56" s="415"/>
      <c r="BN56" s="415"/>
    </row>
    <row r="57" ht="42" customHeight="1">
      <c r="A57" s="603"/>
      <c r="B57" s="603"/>
      <c r="C57" s="603"/>
      <c r="D57" s="603"/>
      <c r="E57" s="603"/>
      <c r="F57" s="603"/>
      <c r="G57" s="603"/>
      <c r="H57" s="603"/>
      <c r="I57" s="603"/>
      <c r="J57" s="603"/>
      <c r="K57" s="603"/>
      <c r="L57" s="603"/>
      <c r="M57" s="603"/>
      <c r="N57" s="603"/>
      <c r="O57" s="603"/>
      <c r="P57" s="603"/>
      <c r="Q57" s="603"/>
      <c r="R57" s="592"/>
      <c r="S57" s="458"/>
      <c r="T57" s="458"/>
      <c r="U57" s="458"/>
      <c r="V57" s="458"/>
      <c r="W57" s="458"/>
      <c r="X57" s="458"/>
      <c r="Y57" s="458"/>
      <c r="Z57" s="458"/>
      <c r="AA57" s="458"/>
      <c r="AC57" s="458"/>
      <c r="AD57" s="414"/>
      <c r="AE57" s="601"/>
      <c r="AF57" s="601"/>
      <c r="AG57" s="601"/>
      <c r="AH57" s="601"/>
      <c r="AI57" s="601"/>
      <c r="AJ57" s="601"/>
      <c r="AK57" s="601"/>
      <c r="AL57" s="601"/>
      <c r="AM57" s="601"/>
      <c r="AN57" s="601"/>
      <c r="AO57" s="601"/>
      <c r="AP57" s="601"/>
      <c r="AQ57" s="601"/>
      <c r="AR57" s="414"/>
      <c r="AS57" s="583">
        <f>('بيرسا و لوفرز'!BA14+'بيرسا و لوفرز'!BP62+'بيرسا و لوفرز'!BQ54)*1.35</f>
        <v>139443.52500000002</v>
      </c>
      <c r="AT57" s="584"/>
      <c r="BD57" s="583">
        <f>('بيرسا و لوفرز'!BA85+'بيرسا و لوفرز'!BP133+'بيرسا و لوفرز'!BQ125)*1.35</f>
        <v>139443.52500000002</v>
      </c>
      <c r="BE57" s="584"/>
      <c r="BN57" s="415"/>
    </row>
    <row r="58" ht="42" customHeight="1">
      <c r="A58" s="603"/>
      <c r="B58" s="603"/>
      <c r="C58" s="603"/>
      <c r="D58" s="603"/>
      <c r="E58" s="603"/>
      <c r="F58" s="603"/>
      <c r="G58" s="603"/>
      <c r="H58" s="603"/>
      <c r="I58" s="603"/>
      <c r="J58" s="603"/>
      <c r="K58" s="603"/>
      <c r="L58" s="603"/>
      <c r="M58" s="603"/>
      <c r="N58" s="603"/>
      <c r="O58" s="603"/>
      <c r="P58" s="603"/>
      <c r="Q58" s="603"/>
      <c r="R58" s="592"/>
      <c r="S58" s="458"/>
      <c r="T58" s="458"/>
      <c r="U58" s="458"/>
      <c r="V58" s="458"/>
      <c r="Y58" s="458"/>
      <c r="Z58" s="458"/>
      <c r="AA58" s="458"/>
      <c r="AB58" s="458"/>
      <c r="AC58" s="458"/>
      <c r="AD58" s="414"/>
      <c r="AE58" s="601"/>
      <c r="AF58" s="601"/>
      <c r="AG58" s="601"/>
      <c r="AH58" s="601"/>
      <c r="AI58" s="601"/>
      <c r="AJ58" s="601"/>
      <c r="AK58" s="601"/>
      <c r="AL58" s="601"/>
      <c r="AM58" s="601"/>
      <c r="AN58" s="601"/>
      <c r="AO58" s="601"/>
      <c r="AP58" s="601"/>
      <c r="AQ58" s="601"/>
      <c r="AR58" s="414"/>
      <c r="AS58" s="588">
        <f>AS57/(AT53*AT54/10000)</f>
        <v>6972.1762500000013</v>
      </c>
      <c r="AT58" s="589"/>
      <c r="BD58" s="588">
        <f>BD57/(BE53*BE54/10000)</f>
        <v>6972.1762500000013</v>
      </c>
      <c r="BE58" s="589"/>
      <c r="BN58" s="415"/>
    </row>
    <row r="59" ht="39" customHeight="1">
      <c r="A59" s="603"/>
      <c r="B59" s="603"/>
      <c r="C59" s="603"/>
      <c r="D59" s="603"/>
      <c r="E59" s="603"/>
      <c r="F59" s="603"/>
      <c r="G59" s="603"/>
      <c r="H59" s="603"/>
      <c r="I59" s="603"/>
      <c r="J59" s="603"/>
      <c r="K59" s="603"/>
      <c r="L59" s="603"/>
      <c r="M59" s="603"/>
      <c r="N59" s="603"/>
      <c r="O59" s="603"/>
      <c r="P59" s="603"/>
      <c r="Q59" s="603"/>
      <c r="R59" s="592"/>
      <c r="S59" s="415"/>
      <c r="T59" s="415"/>
      <c r="U59" s="415"/>
      <c r="V59" s="415"/>
      <c r="W59" s="415"/>
      <c r="X59" s="415"/>
      <c r="Y59" s="415"/>
      <c r="Z59" s="415"/>
      <c r="AA59" s="415"/>
      <c r="AB59" s="415"/>
      <c r="AC59" s="415"/>
      <c r="AD59" s="414"/>
      <c r="AE59" s="415"/>
      <c r="AF59" s="415"/>
      <c r="AG59" s="415"/>
      <c r="AH59" s="415"/>
      <c r="AI59" s="415"/>
      <c r="AJ59" s="415"/>
      <c r="AK59" s="415"/>
      <c r="AL59" s="415"/>
      <c r="AM59" s="415"/>
      <c r="AN59" s="415"/>
      <c r="AO59" s="415"/>
      <c r="AP59" s="415"/>
      <c r="AQ59" s="415"/>
      <c r="AR59" s="414"/>
      <c r="AS59" s="415"/>
      <c r="AT59" s="415"/>
      <c r="AU59" s="415"/>
      <c r="AV59" s="415"/>
      <c r="AW59" s="415"/>
      <c r="AX59" s="415"/>
      <c r="AY59" s="415"/>
      <c r="AZ59" s="415"/>
      <c r="BA59" s="415"/>
      <c r="BB59" s="415"/>
      <c r="BD59" s="415"/>
      <c r="BE59" s="415"/>
      <c r="BF59" s="415"/>
      <c r="BG59" s="415"/>
      <c r="BH59" s="415"/>
      <c r="BI59" s="415"/>
      <c r="BJ59" s="415"/>
      <c r="BK59" s="415"/>
      <c r="BL59" s="415"/>
      <c r="BM59" s="415"/>
      <c r="BN59" s="415"/>
    </row>
    <row r="60" ht="42" customHeight="1">
      <c r="A60" s="603" t="s">
        <v>216</v>
      </c>
      <c r="B60" s="603"/>
      <c r="C60" s="603"/>
      <c r="D60" s="603"/>
      <c r="E60" s="603"/>
      <c r="F60" s="603"/>
      <c r="G60" s="603"/>
      <c r="H60" s="603"/>
      <c r="I60" s="603"/>
      <c r="J60" s="603"/>
      <c r="K60" s="603"/>
      <c r="L60" s="603"/>
      <c r="M60" s="603"/>
      <c r="N60" s="603"/>
      <c r="O60" s="603"/>
      <c r="P60" s="603"/>
      <c r="Q60" s="603"/>
      <c r="R60" s="592"/>
      <c r="S60" s="590" t="s">
        <v>210</v>
      </c>
      <c r="T60" s="591"/>
      <c r="U60" s="458"/>
      <c r="V60" s="458"/>
      <c r="W60" s="458"/>
      <c r="X60" s="458"/>
      <c r="Y60" s="458"/>
      <c r="Z60" s="458"/>
      <c r="AA60" s="458"/>
      <c r="AB60" s="458"/>
      <c r="AC60" s="458"/>
      <c r="AD60" s="414"/>
      <c r="AR60" s="414"/>
      <c r="BN60" s="415"/>
    </row>
    <row r="61" ht="40.5" customHeight="1">
      <c r="A61" s="603"/>
      <c r="B61" s="603"/>
      <c r="C61" s="603"/>
      <c r="D61" s="603"/>
      <c r="E61" s="603"/>
      <c r="F61" s="603"/>
      <c r="G61" s="603"/>
      <c r="H61" s="603"/>
      <c r="I61" s="603"/>
      <c r="J61" s="603"/>
      <c r="K61" s="603"/>
      <c r="L61" s="603"/>
      <c r="M61" s="603"/>
      <c r="N61" s="603"/>
      <c r="O61" s="603"/>
      <c r="P61" s="603"/>
      <c r="Q61" s="603"/>
      <c r="R61" s="592"/>
      <c r="S61" s="442" t="s">
        <v>163</v>
      </c>
      <c r="T61" s="443">
        <f>'شماسي و كانتليفر'!N84</f>
        <v>86626.8</v>
      </c>
      <c r="U61" s="458"/>
      <c r="V61" s="458"/>
      <c r="W61" s="458"/>
      <c r="X61" s="458"/>
      <c r="Y61" s="458"/>
      <c r="Z61" s="458"/>
      <c r="AA61" s="458"/>
      <c r="AB61" s="458"/>
      <c r="AC61" s="458"/>
      <c r="AD61" s="414"/>
      <c r="AR61" s="414"/>
      <c r="BN61" s="415"/>
    </row>
    <row r="62" ht="40.5" customHeight="1">
      <c r="A62" s="603"/>
      <c r="B62" s="603"/>
      <c r="C62" s="603"/>
      <c r="D62" s="603"/>
      <c r="E62" s="603"/>
      <c r="F62" s="603"/>
      <c r="G62" s="603"/>
      <c r="H62" s="603"/>
      <c r="I62" s="603"/>
      <c r="J62" s="603"/>
      <c r="K62" s="603"/>
      <c r="L62" s="603"/>
      <c r="M62" s="603"/>
      <c r="N62" s="603"/>
      <c r="O62" s="603"/>
      <c r="P62" s="603"/>
      <c r="Q62" s="603"/>
      <c r="R62" s="592"/>
      <c r="S62" s="444" t="s">
        <v>127</v>
      </c>
      <c r="T62" s="443">
        <f>T61/T69</f>
        <v>3465.072</v>
      </c>
      <c r="U62" s="458"/>
      <c r="V62" s="458"/>
      <c r="W62" s="458"/>
      <c r="X62" s="458"/>
      <c r="Y62" s="602"/>
      <c r="Z62" s="602"/>
      <c r="AA62" s="458"/>
      <c r="AB62" s="458"/>
      <c r="AC62" s="458"/>
      <c r="AD62" s="414"/>
      <c r="AR62" s="414"/>
      <c r="BN62" s="415"/>
    </row>
    <row r="63" ht="40.5" customHeight="1">
      <c r="A63" s="603"/>
      <c r="B63" s="603"/>
      <c r="C63" s="603"/>
      <c r="D63" s="603"/>
      <c r="E63" s="603"/>
      <c r="F63" s="603"/>
      <c r="G63" s="603"/>
      <c r="H63" s="603"/>
      <c r="I63" s="603"/>
      <c r="J63" s="603"/>
      <c r="K63" s="603"/>
      <c r="L63" s="603"/>
      <c r="M63" s="603"/>
      <c r="N63" s="603"/>
      <c r="O63" s="603"/>
      <c r="P63" s="603"/>
      <c r="Q63" s="603"/>
      <c r="R63" s="592"/>
      <c r="S63" s="440" t="s">
        <v>164</v>
      </c>
      <c r="T63" s="441" t="s">
        <v>19</v>
      </c>
      <c r="U63" s="458"/>
      <c r="V63" s="458"/>
      <c r="W63" s="458"/>
      <c r="X63" s="458"/>
      <c r="Y63" s="602"/>
      <c r="Z63" s="602"/>
      <c r="AA63" s="458"/>
      <c r="AB63" s="458"/>
      <c r="AC63" s="458"/>
      <c r="AD63" s="414"/>
      <c r="AR63" s="414"/>
      <c r="BN63" s="415"/>
    </row>
    <row r="64" ht="40.5" customHeight="1">
      <c r="A64" s="603"/>
      <c r="B64" s="603"/>
      <c r="C64" s="603"/>
      <c r="D64" s="603"/>
      <c r="E64" s="603"/>
      <c r="F64" s="603"/>
      <c r="G64" s="603"/>
      <c r="H64" s="603"/>
      <c r="I64" s="603"/>
      <c r="J64" s="603"/>
      <c r="K64" s="603"/>
      <c r="L64" s="603"/>
      <c r="M64" s="603"/>
      <c r="N64" s="603"/>
      <c r="O64" s="603"/>
      <c r="P64" s="603"/>
      <c r="Q64" s="603"/>
      <c r="R64" s="592"/>
      <c r="S64" s="445" t="s">
        <v>165</v>
      </c>
      <c r="T64" s="446" t="s">
        <v>166</v>
      </c>
      <c r="U64" s="458"/>
      <c r="V64" s="458"/>
      <c r="W64" s="458"/>
      <c r="X64" s="458"/>
      <c r="Y64" s="602"/>
      <c r="Z64" s="602"/>
      <c r="AA64" s="458"/>
      <c r="AB64" s="458"/>
      <c r="AC64" s="458"/>
      <c r="AD64" s="414"/>
      <c r="AR64" s="414"/>
      <c r="BN64" s="415"/>
    </row>
    <row r="65" ht="40.5" customHeight="1">
      <c r="A65" s="603"/>
      <c r="B65" s="603"/>
      <c r="C65" s="603"/>
      <c r="D65" s="603"/>
      <c r="E65" s="603"/>
      <c r="F65" s="603"/>
      <c r="G65" s="603"/>
      <c r="H65" s="603"/>
      <c r="I65" s="603"/>
      <c r="J65" s="603"/>
      <c r="K65" s="603"/>
      <c r="L65" s="603"/>
      <c r="M65" s="603"/>
      <c r="N65" s="603"/>
      <c r="O65" s="603"/>
      <c r="P65" s="603"/>
      <c r="Q65" s="603"/>
      <c r="R65" s="592"/>
      <c r="S65" s="440" t="s">
        <v>212</v>
      </c>
      <c r="T65" s="447">
        <f>ROUNDUP(T72/500,0)</f>
        <v>1</v>
      </c>
      <c r="U65" s="458"/>
      <c r="V65" s="458"/>
      <c r="W65" s="458"/>
      <c r="X65" s="458"/>
      <c r="Y65" s="458"/>
      <c r="Z65" s="458"/>
      <c r="AA65" s="458"/>
      <c r="AB65" s="458"/>
      <c r="AC65" s="458"/>
      <c r="AD65" s="414"/>
      <c r="AR65" s="414"/>
      <c r="BN65" s="415"/>
    </row>
    <row r="66" ht="40.5" customHeight="1">
      <c r="A66" s="603"/>
      <c r="B66" s="603"/>
      <c r="C66" s="603"/>
      <c r="D66" s="603"/>
      <c r="E66" s="603"/>
      <c r="F66" s="603"/>
      <c r="G66" s="603"/>
      <c r="H66" s="603"/>
      <c r="I66" s="603"/>
      <c r="J66" s="603"/>
      <c r="K66" s="603"/>
      <c r="L66" s="603"/>
      <c r="M66" s="603"/>
      <c r="N66" s="603"/>
      <c r="O66" s="603"/>
      <c r="P66" s="603"/>
      <c r="Q66" s="603"/>
      <c r="R66" s="592"/>
      <c r="S66" s="448"/>
      <c r="T66" s="449"/>
      <c r="U66" s="458"/>
      <c r="V66" s="458"/>
      <c r="W66" s="458"/>
      <c r="X66" s="458"/>
      <c r="Y66" s="458"/>
      <c r="Z66" s="458"/>
      <c r="AA66" s="458"/>
      <c r="AB66" s="458"/>
      <c r="AC66" s="458"/>
      <c r="AD66" s="414"/>
      <c r="AR66" s="414"/>
      <c r="BN66" s="415"/>
    </row>
    <row r="67" ht="40.5" customHeight="1">
      <c r="A67" s="603"/>
      <c r="B67" s="603"/>
      <c r="C67" s="603"/>
      <c r="D67" s="603"/>
      <c r="E67" s="603"/>
      <c r="F67" s="603"/>
      <c r="G67" s="603"/>
      <c r="H67" s="603"/>
      <c r="I67" s="603"/>
      <c r="J67" s="603"/>
      <c r="K67" s="603"/>
      <c r="L67" s="603"/>
      <c r="M67" s="603"/>
      <c r="N67" s="603"/>
      <c r="O67" s="603"/>
      <c r="P67" s="603"/>
      <c r="Q67" s="603"/>
      <c r="R67" s="592"/>
      <c r="S67" s="448"/>
      <c r="T67" s="448"/>
      <c r="U67" s="458"/>
      <c r="V67" s="458"/>
      <c r="W67" s="458"/>
      <c r="X67" s="458"/>
      <c r="Y67" s="458"/>
      <c r="Z67" s="458"/>
      <c r="AA67" s="458"/>
      <c r="AB67" s="458"/>
      <c r="AC67" s="458"/>
      <c r="AD67" s="414"/>
      <c r="AR67" s="414"/>
      <c r="BN67" s="415"/>
    </row>
    <row r="68" ht="40.5" customHeight="1">
      <c r="A68" s="603"/>
      <c r="B68" s="603"/>
      <c r="C68" s="603"/>
      <c r="D68" s="603"/>
      <c r="E68" s="603"/>
      <c r="F68" s="603"/>
      <c r="G68" s="603"/>
      <c r="H68" s="603"/>
      <c r="I68" s="603"/>
      <c r="J68" s="603"/>
      <c r="K68" s="603"/>
      <c r="L68" s="603"/>
      <c r="M68" s="603"/>
      <c r="N68" s="603"/>
      <c r="O68" s="603"/>
      <c r="P68" s="603"/>
      <c r="Q68" s="603"/>
      <c r="R68" s="592"/>
      <c r="S68" s="448"/>
      <c r="T68" s="449"/>
      <c r="U68" s="458"/>
      <c r="V68" s="458"/>
      <c r="W68" s="458"/>
      <c r="X68" s="458"/>
      <c r="Y68" s="458"/>
      <c r="Z68" s="458"/>
      <c r="AA68" s="458"/>
      <c r="AB68" s="458"/>
      <c r="AC68" s="458"/>
      <c r="AD68" s="414"/>
      <c r="AR68" s="414"/>
      <c r="BN68" s="415"/>
    </row>
    <row r="69" ht="40.5" customHeight="1">
      <c r="A69" s="603"/>
      <c r="B69" s="603"/>
      <c r="C69" s="603"/>
      <c r="D69" s="603"/>
      <c r="E69" s="603"/>
      <c r="F69" s="603"/>
      <c r="G69" s="603"/>
      <c r="H69" s="603"/>
      <c r="I69" s="603"/>
      <c r="J69" s="603"/>
      <c r="K69" s="603"/>
      <c r="L69" s="603"/>
      <c r="M69" s="603"/>
      <c r="N69" s="603"/>
      <c r="O69" s="603"/>
      <c r="P69" s="603"/>
      <c r="Q69" s="603"/>
      <c r="R69" s="592"/>
      <c r="S69" s="440" t="s">
        <v>213</v>
      </c>
      <c r="T69" s="453">
        <f>IF((T70="double"),(T72*T73/5000),(T72*T73/10000))</f>
        <v>25</v>
      </c>
      <c r="U69" s="458"/>
      <c r="V69" s="458"/>
      <c r="W69" s="458"/>
      <c r="X69" s="458"/>
      <c r="Y69" s="458"/>
      <c r="Z69" s="458"/>
      <c r="AB69" s="458"/>
      <c r="AC69" s="458"/>
      <c r="AD69" s="414"/>
      <c r="AR69" s="414"/>
      <c r="BN69" s="415"/>
    </row>
    <row r="70" ht="40.5" customHeight="1">
      <c r="A70" s="603"/>
      <c r="B70" s="603"/>
      <c r="C70" s="603"/>
      <c r="D70" s="603"/>
      <c r="E70" s="603"/>
      <c r="F70" s="603"/>
      <c r="G70" s="603"/>
      <c r="H70" s="603"/>
      <c r="I70" s="603"/>
      <c r="J70" s="603"/>
      <c r="K70" s="603"/>
      <c r="L70" s="603"/>
      <c r="M70" s="603"/>
      <c r="N70" s="603"/>
      <c r="O70" s="603"/>
      <c r="P70" s="603"/>
      <c r="Q70" s="603"/>
      <c r="R70" s="592"/>
      <c r="S70" s="440" t="s">
        <v>214</v>
      </c>
      <c r="T70" s="459" t="s">
        <v>215</v>
      </c>
      <c r="U70" s="458"/>
      <c r="V70" s="458"/>
      <c r="W70" s="458"/>
      <c r="X70" s="458"/>
      <c r="Y70" s="458"/>
      <c r="Z70" s="458"/>
      <c r="AA70" s="458"/>
      <c r="AB70" s="458"/>
      <c r="AC70" s="458"/>
      <c r="AD70" s="414"/>
      <c r="AR70" s="414"/>
      <c r="BN70" s="415"/>
    </row>
    <row r="71" ht="40.5" customHeight="1">
      <c r="A71" s="603"/>
      <c r="B71" s="603"/>
      <c r="C71" s="603"/>
      <c r="D71" s="603"/>
      <c r="E71" s="603"/>
      <c r="F71" s="603"/>
      <c r="G71" s="603"/>
      <c r="H71" s="603"/>
      <c r="I71" s="603"/>
      <c r="J71" s="603"/>
      <c r="K71" s="603"/>
      <c r="L71" s="603"/>
      <c r="M71" s="603"/>
      <c r="N71" s="603"/>
      <c r="O71" s="603"/>
      <c r="P71" s="603"/>
      <c r="Q71" s="603"/>
      <c r="R71" s="592"/>
      <c r="S71" s="440" t="s">
        <v>188</v>
      </c>
      <c r="T71" s="453" t="s">
        <v>192</v>
      </c>
      <c r="U71" s="458"/>
      <c r="V71" s="458"/>
      <c r="W71" s="458"/>
      <c r="X71" s="458"/>
      <c r="Y71" s="458"/>
      <c r="Z71" s="458"/>
      <c r="AA71" s="458"/>
      <c r="AC71" s="460">
        <f>T73</f>
        <v>500</v>
      </c>
      <c r="AD71" s="414"/>
      <c r="AR71" s="414"/>
      <c r="BN71" s="415"/>
    </row>
    <row r="72" ht="40.5" customHeight="1">
      <c r="A72" s="603"/>
      <c r="B72" s="603"/>
      <c r="C72" s="603"/>
      <c r="D72" s="603"/>
      <c r="E72" s="603"/>
      <c r="F72" s="603"/>
      <c r="G72" s="603"/>
      <c r="H72" s="603"/>
      <c r="I72" s="603"/>
      <c r="J72" s="603"/>
      <c r="K72" s="603"/>
      <c r="L72" s="603"/>
      <c r="M72" s="603"/>
      <c r="N72" s="603"/>
      <c r="O72" s="603"/>
      <c r="P72" s="603"/>
      <c r="Q72" s="603"/>
      <c r="R72" s="592"/>
      <c r="S72" s="440" t="s">
        <v>189</v>
      </c>
      <c r="T72" s="455">
        <v>500</v>
      </c>
      <c r="U72" s="458"/>
      <c r="V72" s="458"/>
      <c r="W72" s="458"/>
      <c r="X72" s="458"/>
      <c r="Y72" s="458"/>
      <c r="Z72" s="458"/>
      <c r="AA72" s="458"/>
      <c r="AC72" s="458"/>
      <c r="AD72" s="414"/>
      <c r="AR72" s="414"/>
      <c r="BN72" s="415"/>
    </row>
    <row r="73" ht="40.5" customHeight="1">
      <c r="A73" s="603"/>
      <c r="B73" s="603"/>
      <c r="C73" s="603"/>
      <c r="D73" s="603"/>
      <c r="E73" s="603"/>
      <c r="F73" s="603"/>
      <c r="G73" s="603"/>
      <c r="H73" s="603"/>
      <c r="I73" s="603"/>
      <c r="J73" s="603"/>
      <c r="K73" s="603"/>
      <c r="L73" s="603"/>
      <c r="M73" s="603"/>
      <c r="N73" s="603"/>
      <c r="O73" s="603"/>
      <c r="P73" s="603"/>
      <c r="Q73" s="603"/>
      <c r="R73" s="592"/>
      <c r="S73" s="440" t="s">
        <v>191</v>
      </c>
      <c r="T73" s="455">
        <v>500</v>
      </c>
      <c r="U73" s="458"/>
      <c r="V73" s="458"/>
      <c r="X73" s="458"/>
      <c r="Y73" s="458"/>
      <c r="Z73" s="458"/>
      <c r="AA73" s="458"/>
      <c r="AC73" s="458"/>
      <c r="AD73" s="414"/>
      <c r="AR73" s="414"/>
      <c r="BN73" s="415"/>
    </row>
    <row r="74" ht="39.75" customHeight="1">
      <c r="A74" s="603"/>
      <c r="B74" s="603"/>
      <c r="C74" s="603"/>
      <c r="D74" s="603"/>
      <c r="E74" s="603"/>
      <c r="F74" s="603"/>
      <c r="G74" s="603"/>
      <c r="H74" s="603"/>
      <c r="I74" s="603"/>
      <c r="J74" s="603"/>
      <c r="K74" s="603"/>
      <c r="L74" s="603"/>
      <c r="M74" s="603"/>
      <c r="N74" s="603"/>
      <c r="O74" s="603"/>
      <c r="P74" s="603"/>
      <c r="Q74" s="603"/>
      <c r="R74" s="592"/>
      <c r="S74" s="458"/>
      <c r="T74" s="458"/>
      <c r="U74" s="458"/>
      <c r="V74" s="458"/>
      <c r="W74" s="458"/>
      <c r="X74" s="458"/>
      <c r="Y74" s="458"/>
      <c r="Z74" s="458"/>
      <c r="AA74" s="458"/>
      <c r="AB74" s="458"/>
      <c r="AC74" s="458"/>
      <c r="AD74" s="414"/>
      <c r="AR74" s="414"/>
      <c r="BN74" s="415"/>
    </row>
    <row r="75" ht="39.75" customHeight="1">
      <c r="A75" s="603"/>
      <c r="B75" s="603"/>
      <c r="C75" s="603"/>
      <c r="D75" s="603"/>
      <c r="E75" s="603"/>
      <c r="F75" s="603"/>
      <c r="G75" s="603"/>
      <c r="H75" s="603"/>
      <c r="I75" s="603"/>
      <c r="J75" s="603"/>
      <c r="K75" s="603"/>
      <c r="L75" s="603"/>
      <c r="M75" s="603"/>
      <c r="N75" s="603"/>
      <c r="O75" s="603"/>
      <c r="P75" s="603"/>
      <c r="Q75" s="603"/>
      <c r="R75" s="592"/>
      <c r="S75" s="458"/>
      <c r="T75" s="458"/>
      <c r="U75" s="458"/>
      <c r="V75" s="458"/>
      <c r="W75" s="460">
        <f>T72</f>
        <v>500</v>
      </c>
      <c r="X75" s="458"/>
      <c r="Y75" s="458"/>
      <c r="Z75" s="458"/>
      <c r="AA75" s="458"/>
      <c r="AC75" s="458"/>
      <c r="AD75" s="414"/>
      <c r="AR75" s="414"/>
      <c r="BN75" s="415"/>
    </row>
    <row r="76" ht="39.75" customHeight="1">
      <c r="A76" s="603"/>
      <c r="B76" s="603"/>
      <c r="C76" s="603"/>
      <c r="D76" s="603"/>
      <c r="E76" s="603"/>
      <c r="F76" s="603"/>
      <c r="G76" s="603"/>
      <c r="H76" s="603"/>
      <c r="I76" s="603"/>
      <c r="J76" s="603"/>
      <c r="K76" s="603"/>
      <c r="L76" s="603"/>
      <c r="M76" s="603"/>
      <c r="N76" s="603"/>
      <c r="O76" s="603"/>
      <c r="P76" s="603"/>
      <c r="Q76" s="603"/>
      <c r="R76" s="592"/>
      <c r="S76" s="458"/>
      <c r="T76" s="458"/>
      <c r="U76" s="458"/>
      <c r="V76" s="458"/>
      <c r="Y76" s="458"/>
      <c r="Z76" s="458"/>
      <c r="AA76" s="458"/>
      <c r="AB76" s="458"/>
      <c r="AC76" s="458"/>
      <c r="AD76" s="414"/>
      <c r="AR76" s="414"/>
      <c r="BN76" s="415"/>
    </row>
    <row r="77" ht="15" customHeight="1">
      <c r="A77" s="498"/>
      <c r="B77" s="498"/>
      <c r="C77" s="498"/>
      <c r="D77" s="498"/>
      <c r="E77" s="498"/>
      <c r="F77" s="498"/>
      <c r="G77" s="498"/>
      <c r="H77" s="498"/>
      <c r="I77" s="498"/>
      <c r="J77" s="498"/>
      <c r="K77" s="498"/>
      <c r="L77" s="498"/>
      <c r="M77" s="498"/>
      <c r="N77" s="498"/>
      <c r="O77" s="498"/>
      <c r="P77" s="498"/>
      <c r="Q77" s="498"/>
      <c r="R77" s="592"/>
      <c r="AD77" s="414"/>
      <c r="AR77" s="414"/>
      <c r="BN77" s="415"/>
    </row>
    <row r="78" ht="15" customHeight="1">
      <c r="A78" s="600" t="s">
        <v>217</v>
      </c>
      <c r="B78" s="600"/>
      <c r="C78" s="600"/>
      <c r="D78" s="600"/>
      <c r="E78" s="600"/>
      <c r="F78" s="600"/>
      <c r="G78" s="600"/>
      <c r="H78" s="600"/>
      <c r="I78" s="600"/>
      <c r="J78" s="600"/>
      <c r="K78" s="600"/>
      <c r="L78" s="600"/>
      <c r="M78" s="600"/>
      <c r="N78" s="600"/>
      <c r="O78" s="600"/>
      <c r="P78" s="600"/>
      <c r="Q78" s="600"/>
      <c r="R78" s="592"/>
      <c r="S78" s="499"/>
      <c r="T78" s="499"/>
      <c r="U78" s="499"/>
      <c r="V78" s="499"/>
      <c r="W78" s="499"/>
      <c r="X78" s="499"/>
      <c r="Y78" s="499"/>
      <c r="Z78" s="499"/>
      <c r="AA78" s="499"/>
      <c r="AB78" s="499"/>
      <c r="AC78" s="499"/>
      <c r="AD78" s="414"/>
      <c r="AR78" s="414"/>
      <c r="BN78" s="415"/>
    </row>
    <row r="79" ht="38.25" customHeight="1">
      <c r="A79" s="600"/>
      <c r="B79" s="600"/>
      <c r="C79" s="600"/>
      <c r="D79" s="600"/>
      <c r="E79" s="600"/>
      <c r="F79" s="600"/>
      <c r="G79" s="600"/>
      <c r="H79" s="600"/>
      <c r="I79" s="600"/>
      <c r="J79" s="600"/>
      <c r="K79" s="600"/>
      <c r="L79" s="600"/>
      <c r="M79" s="600"/>
      <c r="N79" s="600"/>
      <c r="O79" s="600"/>
      <c r="P79" s="600"/>
      <c r="Q79" s="600"/>
      <c r="R79" s="592"/>
      <c r="AC79" s="414"/>
      <c r="AQ79" s="414"/>
      <c r="BB79" s="414"/>
      <c r="BM79" s="415"/>
    </row>
    <row r="80" ht="38.25" customHeight="1">
      <c r="A80" s="600"/>
      <c r="B80" s="600"/>
      <c r="C80" s="600"/>
      <c r="D80" s="600"/>
      <c r="E80" s="600"/>
      <c r="F80" s="600"/>
      <c r="G80" s="600"/>
      <c r="H80" s="600"/>
      <c r="I80" s="600"/>
      <c r="J80" s="600"/>
      <c r="K80" s="600"/>
      <c r="L80" s="600"/>
      <c r="M80" s="600"/>
      <c r="N80" s="600"/>
      <c r="O80" s="600"/>
      <c r="P80" s="600"/>
      <c r="Q80" s="600"/>
      <c r="R80" s="592"/>
      <c r="AQ80" s="414"/>
      <c r="BB80" s="414"/>
      <c r="BM80" s="415"/>
    </row>
    <row r="81" ht="38.25" customHeight="1">
      <c r="A81" s="600"/>
      <c r="B81" s="600"/>
      <c r="C81" s="600"/>
      <c r="D81" s="600"/>
      <c r="E81" s="600"/>
      <c r="F81" s="600"/>
      <c r="G81" s="600"/>
      <c r="H81" s="600"/>
      <c r="I81" s="600"/>
      <c r="J81" s="600"/>
      <c r="K81" s="600"/>
      <c r="L81" s="600"/>
      <c r="M81" s="600"/>
      <c r="N81" s="600"/>
      <c r="O81" s="600"/>
      <c r="P81" s="600"/>
      <c r="Q81" s="600"/>
      <c r="R81" s="592"/>
      <c r="AQ81" s="414"/>
      <c r="BB81" s="414"/>
      <c r="BM81" s="415"/>
    </row>
    <row r="82" ht="38.25" customHeight="1">
      <c r="A82" s="600"/>
      <c r="B82" s="600"/>
      <c r="C82" s="600"/>
      <c r="D82" s="600"/>
      <c r="E82" s="600"/>
      <c r="F82" s="600"/>
      <c r="G82" s="600"/>
      <c r="H82" s="600"/>
      <c r="I82" s="600"/>
      <c r="J82" s="600"/>
      <c r="K82" s="600"/>
      <c r="L82" s="600"/>
      <c r="M82" s="600"/>
      <c r="N82" s="600"/>
      <c r="O82" s="600"/>
      <c r="P82" s="600"/>
      <c r="Q82" s="600"/>
      <c r="R82" s="592"/>
      <c r="AQ82" s="414"/>
      <c r="BB82" s="414"/>
      <c r="BM82" s="415"/>
    </row>
    <row r="83" ht="38.25" customHeight="1">
      <c r="A83" s="600"/>
      <c r="B83" s="600"/>
      <c r="C83" s="600"/>
      <c r="D83" s="600"/>
      <c r="E83" s="600"/>
      <c r="F83" s="600"/>
      <c r="G83" s="600"/>
      <c r="H83" s="600"/>
      <c r="I83" s="600"/>
      <c r="J83" s="600"/>
      <c r="K83" s="600"/>
      <c r="L83" s="600"/>
      <c r="M83" s="600"/>
      <c r="N83" s="600"/>
      <c r="O83" s="600"/>
      <c r="P83" s="600"/>
      <c r="Q83" s="600"/>
      <c r="R83" s="592"/>
      <c r="AQ83" s="414"/>
      <c r="BB83" s="414"/>
      <c r="BM83" s="415"/>
    </row>
    <row r="84" ht="38.25" customHeight="1">
      <c r="A84" s="600"/>
      <c r="B84" s="600"/>
      <c r="C84" s="600"/>
      <c r="D84" s="600"/>
      <c r="E84" s="600"/>
      <c r="F84" s="600"/>
      <c r="G84" s="600"/>
      <c r="H84" s="600"/>
      <c r="I84" s="600"/>
      <c r="J84" s="600"/>
      <c r="K84" s="600"/>
      <c r="L84" s="600"/>
      <c r="M84" s="600"/>
      <c r="N84" s="600"/>
      <c r="O84" s="600"/>
      <c r="P84" s="600"/>
      <c r="Q84" s="600"/>
      <c r="R84" s="592"/>
      <c r="AQ84" s="414"/>
      <c r="BB84" s="414"/>
      <c r="BM84" s="415"/>
    </row>
    <row r="85" ht="38.25" customHeight="1">
      <c r="A85" s="600"/>
      <c r="B85" s="600"/>
      <c r="C85" s="600"/>
      <c r="D85" s="600"/>
      <c r="E85" s="600"/>
      <c r="F85" s="600"/>
      <c r="G85" s="600"/>
      <c r="H85" s="600"/>
      <c r="I85" s="600"/>
      <c r="J85" s="600"/>
      <c r="K85" s="600"/>
      <c r="L85" s="600"/>
      <c r="M85" s="600"/>
      <c r="N85" s="600"/>
      <c r="O85" s="600"/>
      <c r="P85" s="600"/>
      <c r="Q85" s="600"/>
      <c r="R85" s="592"/>
      <c r="AQ85" s="414"/>
      <c r="BB85" s="414"/>
      <c r="BM85" s="415"/>
    </row>
    <row r="86" ht="38.25" customHeight="1">
      <c r="A86" s="600"/>
      <c r="B86" s="600"/>
      <c r="C86" s="600"/>
      <c r="D86" s="600"/>
      <c r="E86" s="600"/>
      <c r="F86" s="600"/>
      <c r="G86" s="600"/>
      <c r="H86" s="600"/>
      <c r="I86" s="600"/>
      <c r="J86" s="600"/>
      <c r="K86" s="600"/>
      <c r="L86" s="600"/>
      <c r="M86" s="600"/>
      <c r="N86" s="600"/>
      <c r="O86" s="600"/>
      <c r="P86" s="600"/>
      <c r="Q86" s="600"/>
      <c r="R86" s="592"/>
      <c r="AQ86" s="414"/>
      <c r="BB86" s="414"/>
      <c r="BM86" s="415"/>
    </row>
    <row r="87" ht="38.25" customHeight="1">
      <c r="A87" s="600"/>
      <c r="B87" s="600"/>
      <c r="C87" s="600"/>
      <c r="D87" s="600"/>
      <c r="E87" s="600"/>
      <c r="F87" s="600"/>
      <c r="G87" s="600"/>
      <c r="H87" s="600"/>
      <c r="I87" s="600"/>
      <c r="J87" s="600"/>
      <c r="K87" s="600"/>
      <c r="L87" s="600"/>
      <c r="M87" s="600"/>
      <c r="N87" s="600"/>
      <c r="O87" s="600"/>
      <c r="P87" s="600"/>
      <c r="Q87" s="600"/>
      <c r="R87" s="592"/>
      <c r="AQ87" s="414"/>
      <c r="BB87" s="414"/>
      <c r="BM87" s="415"/>
    </row>
    <row r="88" ht="38.25" customHeight="1">
      <c r="A88" s="600"/>
      <c r="B88" s="600"/>
      <c r="C88" s="600"/>
      <c r="D88" s="600"/>
      <c r="E88" s="600"/>
      <c r="F88" s="600"/>
      <c r="G88" s="600"/>
      <c r="H88" s="600"/>
      <c r="I88" s="600"/>
      <c r="J88" s="600"/>
      <c r="K88" s="600"/>
      <c r="L88" s="600"/>
      <c r="M88" s="600"/>
      <c r="N88" s="600"/>
      <c r="O88" s="600"/>
      <c r="P88" s="600"/>
      <c r="Q88" s="600"/>
      <c r="R88" s="592"/>
      <c r="AQ88" s="414"/>
      <c r="BB88" s="414"/>
      <c r="BM88" s="415"/>
    </row>
    <row r="89" ht="38.25" customHeight="1">
      <c r="A89" s="600"/>
      <c r="B89" s="600"/>
      <c r="C89" s="600"/>
      <c r="D89" s="600"/>
      <c r="E89" s="600"/>
      <c r="F89" s="600"/>
      <c r="G89" s="600"/>
      <c r="H89" s="600"/>
      <c r="I89" s="600"/>
      <c r="J89" s="600"/>
      <c r="K89" s="600"/>
      <c r="L89" s="600"/>
      <c r="M89" s="600"/>
      <c r="N89" s="600"/>
      <c r="O89" s="600"/>
      <c r="P89" s="600"/>
      <c r="Q89" s="600"/>
      <c r="R89" s="592"/>
      <c r="AQ89" s="414"/>
      <c r="BB89" s="414"/>
      <c r="BM89" s="415"/>
    </row>
    <row r="90" ht="38.25" customHeight="1">
      <c r="A90" s="600"/>
      <c r="B90" s="600"/>
      <c r="C90" s="600"/>
      <c r="D90" s="600"/>
      <c r="E90" s="600"/>
      <c r="F90" s="600"/>
      <c r="G90" s="600"/>
      <c r="H90" s="600"/>
      <c r="I90" s="600"/>
      <c r="J90" s="600"/>
      <c r="K90" s="600"/>
      <c r="L90" s="600"/>
      <c r="M90" s="600"/>
      <c r="N90" s="600"/>
      <c r="O90" s="600"/>
      <c r="P90" s="600"/>
      <c r="Q90" s="600"/>
      <c r="R90" s="592"/>
      <c r="AQ90" s="414"/>
      <c r="BB90" s="414"/>
      <c r="BM90" s="415"/>
    </row>
    <row r="91" ht="38.25" customHeight="1">
      <c r="A91" s="600"/>
      <c r="B91" s="600"/>
      <c r="C91" s="600"/>
      <c r="D91" s="600"/>
      <c r="E91" s="600"/>
      <c r="F91" s="600"/>
      <c r="G91" s="600"/>
      <c r="H91" s="600"/>
      <c r="I91" s="600"/>
      <c r="J91" s="600"/>
      <c r="K91" s="600"/>
      <c r="L91" s="600"/>
      <c r="M91" s="600"/>
      <c r="N91" s="600"/>
      <c r="O91" s="600"/>
      <c r="P91" s="600"/>
      <c r="Q91" s="600"/>
      <c r="R91" s="592"/>
      <c r="AQ91" s="414"/>
      <c r="BB91" s="414"/>
      <c r="BM91" s="415"/>
    </row>
    <row r="92" ht="38.25" customHeight="1">
      <c r="A92" s="600"/>
      <c r="B92" s="600"/>
      <c r="C92" s="600"/>
      <c r="D92" s="600"/>
      <c r="E92" s="600"/>
      <c r="F92" s="600"/>
      <c r="G92" s="600"/>
      <c r="H92" s="600"/>
      <c r="I92" s="600"/>
      <c r="J92" s="600"/>
      <c r="K92" s="600"/>
      <c r="L92" s="600"/>
      <c r="M92" s="600"/>
      <c r="N92" s="600"/>
      <c r="O92" s="600"/>
      <c r="P92" s="600"/>
      <c r="Q92" s="600"/>
      <c r="R92" s="592"/>
      <c r="AQ92" s="414"/>
      <c r="BB92" s="414"/>
      <c r="BM92" s="415"/>
    </row>
    <row r="93" ht="38.25" customHeight="1">
      <c r="A93" s="600"/>
      <c r="B93" s="600"/>
      <c r="C93" s="600"/>
      <c r="D93" s="600"/>
      <c r="E93" s="600"/>
      <c r="F93" s="600"/>
      <c r="G93" s="600"/>
      <c r="H93" s="600"/>
      <c r="I93" s="600"/>
      <c r="J93" s="600"/>
      <c r="K93" s="600"/>
      <c r="L93" s="600"/>
      <c r="M93" s="600"/>
      <c r="N93" s="600"/>
      <c r="O93" s="600"/>
      <c r="P93" s="600"/>
      <c r="Q93" s="600"/>
      <c r="R93" s="592"/>
      <c r="AQ93" s="414"/>
      <c r="BB93" s="414"/>
      <c r="BM93" s="415"/>
    </row>
    <row r="94" ht="38.25" customHeight="1">
      <c r="A94" s="600"/>
      <c r="B94" s="600"/>
      <c r="C94" s="600"/>
      <c r="D94" s="600"/>
      <c r="E94" s="600"/>
      <c r="F94" s="600"/>
      <c r="G94" s="600"/>
      <c r="H94" s="600"/>
      <c r="I94" s="600"/>
      <c r="J94" s="600"/>
      <c r="K94" s="600"/>
      <c r="L94" s="600"/>
      <c r="M94" s="600"/>
      <c r="N94" s="600"/>
      <c r="O94" s="600"/>
      <c r="P94" s="600"/>
      <c r="Q94" s="600"/>
      <c r="R94" s="592"/>
      <c r="AQ94" s="414"/>
      <c r="BB94" s="414"/>
      <c r="BM94" s="415"/>
    </row>
    <row r="95" ht="38.25" customHeight="1">
      <c r="A95" s="600"/>
      <c r="B95" s="600"/>
      <c r="C95" s="600"/>
      <c r="D95" s="600"/>
      <c r="E95" s="600"/>
      <c r="F95" s="600"/>
      <c r="G95" s="600"/>
      <c r="H95" s="600"/>
      <c r="I95" s="600"/>
      <c r="J95" s="600"/>
      <c r="K95" s="600"/>
      <c r="L95" s="600"/>
      <c r="M95" s="600"/>
      <c r="N95" s="600"/>
      <c r="O95" s="600"/>
      <c r="P95" s="600"/>
      <c r="Q95" s="600"/>
      <c r="R95" s="592"/>
      <c r="AQ95" s="414"/>
      <c r="BB95" s="414"/>
      <c r="BM95" s="415"/>
    </row>
    <row r="96" ht="38.25" customHeight="1">
      <c r="A96" s="600"/>
      <c r="B96" s="600"/>
      <c r="C96" s="600"/>
      <c r="D96" s="600"/>
      <c r="E96" s="600"/>
      <c r="F96" s="600"/>
      <c r="G96" s="600"/>
      <c r="H96" s="600"/>
      <c r="I96" s="600"/>
      <c r="J96" s="600"/>
      <c r="K96" s="600"/>
      <c r="L96" s="600"/>
      <c r="M96" s="600"/>
      <c r="N96" s="600"/>
      <c r="O96" s="600"/>
      <c r="P96" s="600"/>
      <c r="Q96" s="600"/>
      <c r="R96" s="592"/>
      <c r="AQ96" s="414"/>
      <c r="BB96" s="414"/>
      <c r="BM96" s="415"/>
    </row>
    <row r="97" ht="39" customHeight="1">
      <c r="A97" s="600"/>
      <c r="B97" s="600"/>
      <c r="C97" s="600"/>
      <c r="D97" s="600"/>
      <c r="E97" s="600"/>
      <c r="F97" s="600"/>
      <c r="G97" s="600"/>
      <c r="H97" s="600"/>
      <c r="I97" s="600"/>
      <c r="J97" s="600"/>
      <c r="K97" s="600"/>
      <c r="L97" s="600"/>
      <c r="M97" s="600"/>
      <c r="N97" s="600"/>
      <c r="O97" s="600"/>
      <c r="P97" s="600"/>
      <c r="Q97" s="600"/>
      <c r="R97" s="592"/>
      <c r="AQ97" s="414"/>
      <c r="BB97" s="414"/>
      <c r="BM97" s="415"/>
    </row>
    <row r="98" ht="39" customHeight="1">
      <c r="A98" s="600" t="s">
        <v>218</v>
      </c>
      <c r="B98" s="600"/>
      <c r="C98" s="600"/>
      <c r="D98" s="600"/>
      <c r="E98" s="600"/>
      <c r="F98" s="600"/>
      <c r="G98" s="600"/>
      <c r="H98" s="600"/>
      <c r="I98" s="600"/>
      <c r="J98" s="600"/>
      <c r="K98" s="600"/>
      <c r="L98" s="600"/>
      <c r="M98" s="600"/>
      <c r="N98" s="600"/>
      <c r="O98" s="600"/>
      <c r="P98" s="600"/>
      <c r="Q98" s="600"/>
      <c r="R98" s="592"/>
      <c r="AR98" s="414"/>
      <c r="BN98" s="415"/>
    </row>
    <row r="99" ht="39" customHeight="1">
      <c r="A99" s="600"/>
      <c r="B99" s="600"/>
      <c r="C99" s="600"/>
      <c r="D99" s="600"/>
      <c r="E99" s="600"/>
      <c r="F99" s="600"/>
      <c r="G99" s="600"/>
      <c r="H99" s="600"/>
      <c r="I99" s="600"/>
      <c r="J99" s="600"/>
      <c r="K99" s="600"/>
      <c r="L99" s="600"/>
      <c r="M99" s="600"/>
      <c r="N99" s="600"/>
      <c r="O99" s="600"/>
      <c r="P99" s="600"/>
      <c r="Q99" s="600"/>
      <c r="R99" s="592"/>
      <c r="AR99" s="414"/>
      <c r="BN99" s="415"/>
    </row>
    <row r="100" ht="39" customHeight="1">
      <c r="A100" s="600"/>
      <c r="B100" s="600"/>
      <c r="C100" s="600"/>
      <c r="D100" s="600"/>
      <c r="E100" s="600"/>
      <c r="F100" s="600"/>
      <c r="G100" s="600"/>
      <c r="H100" s="600"/>
      <c r="I100" s="600"/>
      <c r="J100" s="600"/>
      <c r="K100" s="600"/>
      <c r="L100" s="600"/>
      <c r="M100" s="600"/>
      <c r="N100" s="600"/>
      <c r="O100" s="600"/>
      <c r="P100" s="600"/>
      <c r="Q100" s="600"/>
      <c r="R100" s="592"/>
      <c r="AR100" s="414"/>
      <c r="BN100" s="415"/>
    </row>
    <row r="101" ht="39" customHeight="1">
      <c r="A101" s="600"/>
      <c r="B101" s="600"/>
      <c r="C101" s="600"/>
      <c r="D101" s="600"/>
      <c r="E101" s="600"/>
      <c r="F101" s="600"/>
      <c r="G101" s="600"/>
      <c r="H101" s="600"/>
      <c r="I101" s="600"/>
      <c r="J101" s="600"/>
      <c r="K101" s="600"/>
      <c r="L101" s="600"/>
      <c r="M101" s="600"/>
      <c r="N101" s="600"/>
      <c r="O101" s="600"/>
      <c r="P101" s="600"/>
      <c r="Q101" s="600"/>
      <c r="R101" s="592"/>
      <c r="AR101" s="414"/>
      <c r="BN101" s="415"/>
    </row>
    <row r="102" ht="39" customHeight="1">
      <c r="A102" s="600"/>
      <c r="B102" s="600"/>
      <c r="C102" s="600"/>
      <c r="D102" s="600"/>
      <c r="E102" s="600"/>
      <c r="F102" s="600"/>
      <c r="G102" s="600"/>
      <c r="H102" s="600"/>
      <c r="I102" s="600"/>
      <c r="J102" s="600"/>
      <c r="K102" s="600"/>
      <c r="L102" s="600"/>
      <c r="M102" s="600"/>
      <c r="N102" s="600"/>
      <c r="O102" s="600"/>
      <c r="P102" s="600"/>
      <c r="Q102" s="600"/>
      <c r="R102" s="592"/>
      <c r="AR102" s="414"/>
      <c r="BN102" s="415"/>
    </row>
    <row r="103" ht="39" customHeight="1">
      <c r="A103" s="600"/>
      <c r="B103" s="600"/>
      <c r="C103" s="600"/>
      <c r="D103" s="600"/>
      <c r="E103" s="600"/>
      <c r="F103" s="600"/>
      <c r="G103" s="600"/>
      <c r="H103" s="600"/>
      <c r="I103" s="600"/>
      <c r="J103" s="600"/>
      <c r="K103" s="600"/>
      <c r="L103" s="600"/>
      <c r="M103" s="600"/>
      <c r="N103" s="600"/>
      <c r="O103" s="600"/>
      <c r="P103" s="600"/>
      <c r="Q103" s="600"/>
      <c r="R103" s="592"/>
      <c r="AR103" s="414"/>
      <c r="BN103" s="415"/>
    </row>
    <row r="104" ht="39" customHeight="1">
      <c r="A104" s="600"/>
      <c r="B104" s="600"/>
      <c r="C104" s="600"/>
      <c r="D104" s="600"/>
      <c r="E104" s="600"/>
      <c r="F104" s="600"/>
      <c r="G104" s="600"/>
      <c r="H104" s="600"/>
      <c r="I104" s="600"/>
      <c r="J104" s="600"/>
      <c r="K104" s="600"/>
      <c r="L104" s="600"/>
      <c r="M104" s="600"/>
      <c r="N104" s="600"/>
      <c r="O104" s="600"/>
      <c r="P104" s="600"/>
      <c r="Q104" s="600"/>
      <c r="R104" s="592"/>
      <c r="AR104" s="414"/>
      <c r="BN104" s="415"/>
    </row>
    <row r="105" ht="39" customHeight="1">
      <c r="A105" s="600"/>
      <c r="B105" s="600"/>
      <c r="C105" s="600"/>
      <c r="D105" s="600"/>
      <c r="E105" s="600"/>
      <c r="F105" s="600"/>
      <c r="G105" s="600"/>
      <c r="H105" s="600"/>
      <c r="I105" s="600"/>
      <c r="J105" s="600"/>
      <c r="K105" s="600"/>
      <c r="L105" s="600"/>
      <c r="M105" s="600"/>
      <c r="N105" s="600"/>
      <c r="O105" s="600"/>
      <c r="P105" s="600"/>
      <c r="Q105" s="600"/>
      <c r="R105" s="592"/>
      <c r="AR105" s="414"/>
      <c r="BN105" s="415"/>
    </row>
    <row r="106" ht="39" customHeight="1">
      <c r="A106" s="600"/>
      <c r="B106" s="600"/>
      <c r="C106" s="600"/>
      <c r="D106" s="600"/>
      <c r="E106" s="600"/>
      <c r="F106" s="600"/>
      <c r="G106" s="600"/>
      <c r="H106" s="600"/>
      <c r="I106" s="600"/>
      <c r="J106" s="600"/>
      <c r="K106" s="600"/>
      <c r="L106" s="600"/>
      <c r="M106" s="600"/>
      <c r="N106" s="600"/>
      <c r="O106" s="600"/>
      <c r="P106" s="600"/>
      <c r="Q106" s="600"/>
      <c r="R106" s="592"/>
      <c r="AR106" s="414"/>
      <c r="BN106" s="415"/>
    </row>
    <row r="107" ht="39" customHeight="1">
      <c r="A107" s="600"/>
      <c r="B107" s="600"/>
      <c r="C107" s="600"/>
      <c r="D107" s="600"/>
      <c r="E107" s="600"/>
      <c r="F107" s="600"/>
      <c r="G107" s="600"/>
      <c r="H107" s="600"/>
      <c r="I107" s="600"/>
      <c r="J107" s="600"/>
      <c r="K107" s="600"/>
      <c r="L107" s="600"/>
      <c r="M107" s="600"/>
      <c r="N107" s="600"/>
      <c r="O107" s="600"/>
      <c r="P107" s="600"/>
      <c r="Q107" s="600"/>
      <c r="R107" s="592"/>
      <c r="AR107" s="414"/>
      <c r="BN107" s="415"/>
    </row>
    <row r="108" ht="39" customHeight="1">
      <c r="A108" s="600"/>
      <c r="B108" s="600"/>
      <c r="C108" s="600"/>
      <c r="D108" s="600"/>
      <c r="E108" s="600"/>
      <c r="F108" s="600"/>
      <c r="G108" s="600"/>
      <c r="H108" s="600"/>
      <c r="I108" s="600"/>
      <c r="J108" s="600"/>
      <c r="K108" s="600"/>
      <c r="L108" s="600"/>
      <c r="M108" s="600"/>
      <c r="N108" s="600"/>
      <c r="O108" s="600"/>
      <c r="P108" s="600"/>
      <c r="Q108" s="600"/>
      <c r="R108" s="592"/>
      <c r="AR108" s="414"/>
      <c r="BN108" s="415"/>
    </row>
    <row r="109" ht="39" customHeight="1">
      <c r="A109" s="600"/>
      <c r="B109" s="600"/>
      <c r="C109" s="600"/>
      <c r="D109" s="600"/>
      <c r="E109" s="600"/>
      <c r="F109" s="600"/>
      <c r="G109" s="600"/>
      <c r="H109" s="600"/>
      <c r="I109" s="600"/>
      <c r="J109" s="600"/>
      <c r="K109" s="600"/>
      <c r="L109" s="600"/>
      <c r="M109" s="600"/>
      <c r="N109" s="600"/>
      <c r="O109" s="600"/>
      <c r="P109" s="600"/>
      <c r="Q109" s="600"/>
      <c r="R109" s="592"/>
      <c r="AR109" s="414"/>
      <c r="BN109" s="415"/>
    </row>
    <row r="110" ht="39" customHeight="1">
      <c r="A110" s="600"/>
      <c r="B110" s="600"/>
      <c r="C110" s="600"/>
      <c r="D110" s="600"/>
      <c r="E110" s="600"/>
      <c r="F110" s="600"/>
      <c r="G110" s="600"/>
      <c r="H110" s="600"/>
      <c r="I110" s="600"/>
      <c r="J110" s="600"/>
      <c r="K110" s="600"/>
      <c r="L110" s="600"/>
      <c r="M110" s="600"/>
      <c r="N110" s="600"/>
      <c r="O110" s="600"/>
      <c r="P110" s="600"/>
      <c r="Q110" s="600"/>
      <c r="R110" s="592"/>
      <c r="AR110" s="414"/>
      <c r="BN110" s="415"/>
    </row>
    <row r="111" ht="39" customHeight="1">
      <c r="A111" s="600"/>
      <c r="B111" s="600"/>
      <c r="C111" s="600"/>
      <c r="D111" s="600"/>
      <c r="E111" s="600"/>
      <c r="F111" s="600"/>
      <c r="G111" s="600"/>
      <c r="H111" s="600"/>
      <c r="I111" s="600"/>
      <c r="J111" s="600"/>
      <c r="K111" s="600"/>
      <c r="L111" s="600"/>
      <c r="M111" s="600"/>
      <c r="N111" s="600"/>
      <c r="O111" s="600"/>
      <c r="P111" s="600"/>
      <c r="Q111" s="600"/>
      <c r="R111" s="592"/>
      <c r="AR111" s="414"/>
      <c r="BN111" s="415"/>
    </row>
    <row r="112" ht="39" customHeight="1">
      <c r="A112" s="600"/>
      <c r="B112" s="600"/>
      <c r="C112" s="600"/>
      <c r="D112" s="600"/>
      <c r="E112" s="600"/>
      <c r="F112" s="600"/>
      <c r="G112" s="600"/>
      <c r="H112" s="600"/>
      <c r="I112" s="600"/>
      <c r="J112" s="600"/>
      <c r="K112" s="600"/>
      <c r="L112" s="600"/>
      <c r="M112" s="600"/>
      <c r="N112" s="600"/>
      <c r="O112" s="600"/>
      <c r="P112" s="600"/>
      <c r="Q112" s="600"/>
      <c r="R112" s="592"/>
      <c r="AR112" s="414"/>
      <c r="BN112" s="415"/>
    </row>
    <row r="113" ht="39" customHeight="1">
      <c r="A113" s="600"/>
      <c r="B113" s="600"/>
      <c r="C113" s="600"/>
      <c r="D113" s="600"/>
      <c r="E113" s="600"/>
      <c r="F113" s="600"/>
      <c r="G113" s="600"/>
      <c r="H113" s="600"/>
      <c r="I113" s="600"/>
      <c r="J113" s="600"/>
      <c r="K113" s="600"/>
      <c r="L113" s="600"/>
      <c r="M113" s="600"/>
      <c r="N113" s="600"/>
      <c r="O113" s="600"/>
      <c r="P113" s="600"/>
      <c r="Q113" s="600"/>
      <c r="R113" s="592"/>
      <c r="AR113" s="414"/>
      <c r="BN113" s="415"/>
    </row>
    <row r="114" ht="39" customHeight="1">
      <c r="A114" s="600"/>
      <c r="B114" s="600"/>
      <c r="C114" s="600"/>
      <c r="D114" s="600"/>
      <c r="E114" s="600"/>
      <c r="F114" s="600"/>
      <c r="G114" s="600"/>
      <c r="H114" s="600"/>
      <c r="I114" s="600"/>
      <c r="J114" s="600"/>
      <c r="K114" s="600"/>
      <c r="L114" s="600"/>
      <c r="M114" s="600"/>
      <c r="N114" s="600"/>
      <c r="O114" s="600"/>
      <c r="P114" s="600"/>
      <c r="Q114" s="600"/>
      <c r="R114" s="592"/>
      <c r="AR114" s="414"/>
      <c r="BN114" s="415"/>
    </row>
    <row r="115" ht="39" customHeight="1">
      <c r="A115" s="600"/>
      <c r="B115" s="600"/>
      <c r="C115" s="600"/>
      <c r="D115" s="600"/>
      <c r="E115" s="600"/>
      <c r="F115" s="600"/>
      <c r="G115" s="600"/>
      <c r="H115" s="600"/>
      <c r="I115" s="600"/>
      <c r="J115" s="600"/>
      <c r="K115" s="600"/>
      <c r="L115" s="600"/>
      <c r="M115" s="600"/>
      <c r="N115" s="600"/>
      <c r="O115" s="600"/>
      <c r="P115" s="600"/>
      <c r="Q115" s="600"/>
      <c r="R115" s="592"/>
      <c r="AR115" s="414"/>
      <c r="BN115" s="415"/>
    </row>
    <row r="116">
      <c r="AR116" s="414"/>
      <c r="BN116" s="415"/>
    </row>
    <row r="117">
      <c r="AR117" s="414"/>
      <c r="BN117" s="415"/>
    </row>
    <row r="118">
      <c r="AR118" s="414"/>
      <c r="BN118" s="415"/>
    </row>
    <row r="119">
      <c r="AR119" s="414"/>
      <c r="BN119" s="415"/>
    </row>
    <row r="120">
      <c r="AR120" s="414"/>
      <c r="BN120" s="415"/>
    </row>
    <row r="121">
      <c r="AR121" s="414"/>
      <c r="BN121" s="415"/>
    </row>
    <row r="122">
      <c r="AR122" s="414"/>
      <c r="BN122" s="415"/>
    </row>
    <row r="123">
      <c r="AR123" s="414"/>
      <c r="BN123" s="415"/>
    </row>
    <row r="124">
      <c r="AR124" s="414"/>
      <c r="BN124" s="415"/>
    </row>
    <row r="125">
      <c r="AR125" s="414"/>
      <c r="BN125" s="415"/>
    </row>
    <row r="126">
      <c r="AR126" s="414"/>
      <c r="BN126" s="415"/>
    </row>
    <row r="127">
      <c r="AR127" s="414"/>
      <c r="BN127" s="415"/>
    </row>
    <row r="128">
      <c r="AR128" s="414"/>
      <c r="BN128" s="415"/>
    </row>
    <row r="129">
      <c r="AR129" s="414"/>
      <c r="BN129" s="415"/>
    </row>
    <row r="130">
      <c r="AR130" s="414"/>
      <c r="BN130" s="415"/>
    </row>
    <row r="131">
      <c r="AR131" s="414"/>
      <c r="BN131" s="415"/>
    </row>
    <row r="132">
      <c r="AR132" s="414"/>
      <c r="BN132" s="415"/>
    </row>
    <row r="133">
      <c r="AR133" s="414"/>
      <c r="BN133" s="415"/>
    </row>
    <row r="134">
      <c r="AR134" s="414"/>
      <c r="BN134" s="415"/>
    </row>
    <row r="135">
      <c r="AR135" s="414"/>
      <c r="BN135" s="415"/>
    </row>
    <row r="136">
      <c r="AR136" s="414"/>
      <c r="BN136" s="415"/>
    </row>
    <row r="137">
      <c r="AR137" s="414"/>
      <c r="BN137" s="415"/>
    </row>
    <row r="138">
      <c r="AR138" s="414"/>
      <c r="BN138" s="415"/>
    </row>
    <row r="139">
      <c r="AR139" s="414"/>
      <c r="BN139" s="415"/>
    </row>
    <row r="140">
      <c r="AR140" s="414"/>
      <c r="BN140" s="415"/>
    </row>
    <row r="141">
      <c r="AR141" s="414"/>
      <c r="BN141" s="415"/>
    </row>
    <row r="142">
      <c r="AR142" s="414"/>
      <c r="BN142" s="415"/>
    </row>
    <row r="143">
      <c r="AR143" s="414"/>
      <c r="BN143" s="415"/>
    </row>
    <row r="144">
      <c r="AR144" s="414"/>
      <c r="BN144" s="415"/>
    </row>
    <row r="145">
      <c r="AR145" s="414"/>
      <c r="BN145" s="415"/>
    </row>
    <row r="146">
      <c r="AR146" s="414"/>
      <c r="BN146" s="415"/>
    </row>
    <row r="147">
      <c r="AR147" s="414"/>
      <c r="BN147" s="415"/>
    </row>
    <row r="148">
      <c r="AR148" s="414"/>
      <c r="BN148" s="415"/>
    </row>
    <row r="149">
      <c r="AR149" s="414"/>
      <c r="BN149" s="415"/>
    </row>
    <row r="150">
      <c r="AR150" s="414"/>
      <c r="BN150" s="415"/>
    </row>
    <row r="151">
      <c r="AR151" s="414"/>
      <c r="BN151" s="415"/>
    </row>
    <row r="152">
      <c r="AR152" s="414"/>
      <c r="BN152" s="415"/>
    </row>
    <row r="153">
      <c r="AR153" s="414"/>
      <c r="BN153" s="415"/>
    </row>
    <row r="154">
      <c r="AR154" s="414"/>
      <c r="BN154" s="415"/>
    </row>
    <row r="155">
      <c r="AR155" s="414"/>
      <c r="BN155" s="415"/>
    </row>
    <row r="156">
      <c r="AR156" s="414"/>
      <c r="BN156" s="415"/>
    </row>
    <row r="157">
      <c r="AR157" s="414"/>
      <c r="BN157" s="415"/>
    </row>
    <row r="158">
      <c r="AR158" s="414"/>
      <c r="BN158" s="415"/>
    </row>
    <row r="159">
      <c r="AR159" s="414"/>
      <c r="BN159" s="415"/>
    </row>
    <row r="160">
      <c r="AR160" s="414"/>
      <c r="BN160" s="415"/>
    </row>
    <row r="161">
      <c r="AR161" s="414"/>
      <c r="BN161" s="415"/>
    </row>
    <row r="162">
      <c r="AR162" s="414"/>
      <c r="BN162" s="415"/>
    </row>
    <row r="163">
      <c r="AR163" s="414"/>
      <c r="BN163" s="415"/>
    </row>
    <row r="164">
      <c r="AR164" s="414"/>
      <c r="BN164" s="415"/>
    </row>
    <row r="165">
      <c r="AR165" s="414"/>
      <c r="BN165" s="415"/>
    </row>
    <row r="166">
      <c r="AR166" s="414"/>
      <c r="BN166" s="415"/>
    </row>
    <row r="167">
      <c r="AR167" s="414"/>
      <c r="BN167" s="415"/>
    </row>
    <row r="168">
      <c r="AR168" s="414"/>
      <c r="BN168" s="415"/>
    </row>
    <row r="169">
      <c r="AR169" s="414"/>
      <c r="BN169" s="415"/>
    </row>
    <row r="170">
      <c r="AR170" s="414"/>
      <c r="BN170" s="415"/>
    </row>
    <row r="171">
      <c r="AR171" s="414"/>
      <c r="BN171" s="415"/>
    </row>
    <row r="172">
      <c r="AR172" s="414"/>
      <c r="BN172" s="415"/>
    </row>
    <row r="173">
      <c r="AR173" s="414"/>
      <c r="BN173" s="415"/>
    </row>
    <row r="174">
      <c r="AR174" s="414"/>
      <c r="BN174" s="415"/>
    </row>
    <row r="175">
      <c r="AR175" s="414"/>
      <c r="BN175" s="415"/>
    </row>
    <row r="176">
      <c r="AR176" s="414"/>
      <c r="BN176" s="415"/>
    </row>
    <row r="177">
      <c r="AR177" s="414"/>
      <c r="BN177" s="415"/>
    </row>
    <row r="178">
      <c r="AR178" s="414"/>
      <c r="BN178" s="415"/>
    </row>
    <row r="179">
      <c r="AR179" s="414"/>
      <c r="BN179" s="415"/>
    </row>
    <row r="180">
      <c r="AR180" s="414"/>
      <c r="BN180" s="415"/>
    </row>
    <row r="181">
      <c r="AR181" s="414"/>
      <c r="BN181" s="415"/>
    </row>
    <row r="182">
      <c r="AR182" s="414"/>
      <c r="BN182" s="415"/>
    </row>
    <row r="183">
      <c r="AR183" s="414"/>
      <c r="BN183" s="415"/>
    </row>
    <row r="184">
      <c r="AR184" s="414"/>
      <c r="BN184" s="415"/>
    </row>
    <row r="185">
      <c r="AR185" s="414"/>
      <c r="BN185" s="415"/>
    </row>
    <row r="186">
      <c r="AR186" s="414"/>
    </row>
  </sheetData>
  <sheetProtection autoFilter="0"/>
  <mergeCells>
    <mergeCell ref="U37:AC37"/>
    <mergeCell ref="S8:T9"/>
    <mergeCell ref="AE10:AQ16"/>
    <mergeCell ref="A16:Q20"/>
    <mergeCell ref="B12:D14"/>
    <mergeCell ref="N12:P14"/>
    <mergeCell ref="F12:H14"/>
    <mergeCell ref="J12:L14"/>
    <mergeCell ref="B15:P15"/>
    <mergeCell ref="I12:I14"/>
    <mergeCell ref="M12:M14"/>
    <mergeCell ref="AE31:AP31"/>
    <mergeCell ref="V33:W33"/>
    <mergeCell ref="AJ28:AJ29"/>
    <mergeCell ref="AK26:AK27"/>
    <mergeCell ref="A1:Q7"/>
    <mergeCell ref="J8:L10"/>
    <mergeCell ref="B8:D10"/>
    <mergeCell ref="N8:P10"/>
    <mergeCell ref="F8:H10"/>
    <mergeCell ref="I8:I10"/>
    <mergeCell ref="M8:M10"/>
    <mergeCell ref="A98:Q115"/>
    <mergeCell ref="A78:Q97"/>
    <mergeCell ref="AE41:AQ58"/>
    <mergeCell ref="Y62:Z64"/>
    <mergeCell ref="A21:Q37"/>
    <mergeCell ref="A38:Q42"/>
    <mergeCell ref="AE33:AQ38"/>
    <mergeCell ref="AL28:AM29"/>
    <mergeCell ref="AL26:AM27"/>
    <mergeCell ref="AE22:AF23"/>
    <mergeCell ref="AG22:AH23"/>
    <mergeCell ref="A43:Q59"/>
    <mergeCell ref="Y44:Z46"/>
    <mergeCell ref="S39:AC41"/>
    <mergeCell ref="A60:Q76"/>
    <mergeCell ref="S21:T21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BN4:BN13"/>
    <mergeCell ref="AG2:AH4"/>
    <mergeCell ref="BF1:BN3"/>
    <mergeCell ref="BF4:BM5"/>
    <mergeCell ref="AV14:BB14"/>
    <mergeCell ref="AO6:AP6"/>
    <mergeCell ref="AO8:AP8"/>
    <mergeCell ref="BG14:BM14"/>
  </mergeCells>
  <hyperlinks>
    <hyperlink ref="B8:D10" location="تسعير!AQ38" display="تليسكوب"/>
    <hyperlink ref="C8:E10" location="تسعير!AQ38" display="تليسكوب"/>
    <hyperlink ref="D8:F10" location="تسعير!AQ38" display="تليسكوب"/>
    <hyperlink ref="E8:G10" location="تسعير!AQ38" display="تليسكوب"/>
    <hyperlink ref="F8:H10" location="تسعير!AQ38" display="تليسكوب"/>
    <hyperlink ref="G8:I10" location="تسعير!AQ38" display="تليسكوب"/>
    <hyperlink ref="H8:J10" location="تسعير!AQ38" display="تليسكوب"/>
    <hyperlink ref="B9:D11" location="تسعير!AQ38" display="تليسكوب"/>
    <hyperlink ref="C9:E11" location="تسعير!AQ38" display="تليسكوب"/>
    <hyperlink ref="D9:F11" location="تسعير!AQ38" display="تليسكوب"/>
    <hyperlink ref="E9:G11" location="تسعير!AQ38" display="تليسكوب"/>
    <hyperlink ref="F9:H11" location="تسعير!AQ38" display="تليسكوب"/>
    <hyperlink ref="G9:I11" location="تسعير!AQ38" display="تليسكوب"/>
    <hyperlink ref="H9:J11" location="تسعير!AQ38" display="تليسكوب"/>
    <hyperlink ref="B10:D12" location="تسعير!AQ38" display="تليسكوب"/>
    <hyperlink ref="C10:E12" location="تسعير!AQ38" display="تليسكوب"/>
    <hyperlink ref="D10:F12" location="تسعير!AQ38" display="تليسكوب"/>
    <hyperlink ref="E10:G12" location="تسعير!AQ38" display="تليسكوب"/>
    <hyperlink ref="F10:H12" location="تسعير!AQ38" display="تليسكوب"/>
    <hyperlink ref="G10:I12" location="تسعير!AQ38" display="تليسكوب"/>
    <hyperlink ref="H10:J12" location="تسعير!AQ38" display="تليسكوب"/>
    <hyperlink ref="B11:D13" location="تسعير!AQ38" display="تليسكوب"/>
    <hyperlink ref="C11:E13" location="تسعير!AQ38" display="تليسكوب"/>
    <hyperlink ref="D11:F13" location="تسعير!AQ38" display="تليسكوب"/>
    <hyperlink ref="E11:G13" location="تسعير!AQ38" display="تليسكوب"/>
    <hyperlink ref="F11:H13" location="تسعير!AQ38" display="تليسكوب"/>
    <hyperlink ref="G11:I13" location="تسعير!AQ38" display="تليسكوب"/>
    <hyperlink ref="H11:J13" location="تسعير!AQ38" display="تليسكوب"/>
    <hyperlink ref="B12:D14" location="تسعير!AQ38" display="تليسكوب"/>
    <hyperlink ref="C12:E14" location="تسعير!AQ38" display="تليسكوب"/>
    <hyperlink ref="D12:F14" location="تسعير!AQ38" display="تليسكوب"/>
    <hyperlink ref="E12:G14" location="تسعير!AQ38" display="تليسكوب"/>
    <hyperlink ref="F12:H14" location="تسعير!AQ38" display="تليسكوب"/>
    <hyperlink ref="G12:I14" location="تسعير!AQ38" display="تليسكوب"/>
    <hyperlink ref="H12:J14" location="تسعير!AQ38" display="تليسكوب"/>
    <hyperlink ref="S12" location="تسعير!X14" display="التثبيت"/>
    <hyperlink ref="AS12" location="تسعير!BB14" display="التثبيت"/>
    <hyperlink ref="BD12" location="تسعير!BF14" display="التثبيت"/>
    <hyperlink ref="B13:D15" location="تسعير!AQ38" display="تليسكوب"/>
    <hyperlink ref="C13:E15" location="تسعير!AQ38" display="تليسكوب"/>
    <hyperlink ref="D13:F15" location="تسعير!AQ38" display="تليسكوب"/>
    <hyperlink ref="E13:G15" location="تسعير!AQ38" display="تليسكوب"/>
    <hyperlink ref="F13:H15" location="تسعير!AQ38" display="تليسكوب"/>
    <hyperlink ref="G13:I15" location="تسعير!AQ38" display="تليسكوب"/>
    <hyperlink ref="H13:J15" location="تسعير!AQ38" display="تليسكوب"/>
    <hyperlink ref="S13" location="تسعير!AA10" display="العرض cm"/>
    <hyperlink ref="AS13" location="تسعير!AV10" display="العرض cm"/>
    <hyperlink ref="BD13" location="تسعير!BG10" display="العرض cm"/>
    <hyperlink ref="B14:D16" location="تسعير!AQ38" display="تليسكوب"/>
    <hyperlink ref="C14:E16" location="تسعير!AQ38" display="تليسكوب"/>
    <hyperlink ref="D14:F16" location="تسعير!AQ38" display="تليسكوب"/>
    <hyperlink ref="E14:G16" location="تسعير!AQ38" display="تليسكوب"/>
    <hyperlink ref="F14:H16" location="تسعير!AQ38" display="تليسكوب"/>
    <hyperlink ref="G14:I16" location="تسعير!AQ38" display="تليسكوب"/>
    <hyperlink ref="H14:J16" location="تسعير!AQ38" display="تليسكوب"/>
    <hyperlink ref="S14" location="تسعير!X8" display="الامتداد cm"/>
    <hyperlink ref="AS14" location="تسعير!BA12" display="الامتداد cm"/>
    <hyperlink ref="BD14" location="تسعير!BL12" display="الامتداد cm"/>
    <hyperlink ref="S30" location="تسعير!AF31" display="الارتفاع الخلفي"/>
    <hyperlink ref="S31" location="تسعير!X31" display="الارتفاع الامامي"/>
    <hyperlink ref="S32" location="تسعير!X37" display="التثبيت"/>
    <hyperlink ref="AS32" location="تسعير!BB14" display="التثبيت"/>
    <hyperlink ref="BD32" location="تسعير!BB14" display="التثبيت"/>
    <hyperlink ref="S33" location="تسعير!AA33" display="العرض cm"/>
    <hyperlink ref="AS33" location="تسعير!BA36" display="العرض cm"/>
    <hyperlink ref="BD33" location="تسعير!AV10" display="العرض cm"/>
    <hyperlink ref="S34" location="تسعير!X31" display="الامتداد cm"/>
    <hyperlink ref="AS34" location="تسعير!AW25" display="الامتداد cm"/>
    <hyperlink ref="BD34" location="تسعير!BA12" display="الامتداد cm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4">
        <x14:dataValidation type="list" allowBlank="1" showInputMessage="1" showErrorMessage="1" xr:uid="{1C548D53-1C1B-415C-9010-F14E2B6DD51A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47558507-F841-4F84-9BBC-04BF4081018F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C25E5142-B225-411B-8912-78D4F68C09AE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FD091CD6-0CAD-468F-93DC-5D05D3F04F76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6AD9FB3B-334F-4F57-A25F-9DBC68AC157E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1255E810-311A-48A4-86B7-169F289CBE70}">
          <x14:formula1>
            <xm:f>'شماسي و كانتليفر'!$E$17:$E$19</xm:f>
          </x14:formula1>
          <xm:sqref>AI8</xm:sqref>
        </x14:dataValidation>
        <x14:dataValidation type="list" allowBlank="1" showInputMessage="1" showErrorMessage="1" xr:uid="{05D5576E-2FF7-4059-B677-23DB2F33ACAB}">
          <x14:formula1>
            <xm:f>'شماسي و كانتليفر'!$E$3:$E$6</xm:f>
          </x14:formula1>
          <xm:sqref>AM8</xm:sqref>
        </x14:dataValidation>
        <x14:dataValidation type="list" allowBlank="1" showInputMessage="1" showErrorMessage="1" xr:uid="{AA24E785-C43E-43CF-8752-215CC18E8042}">
          <x14:formula1>
            <xm:f>'شماسي و كانتليفر'!$E$8:$E$9</xm:f>
          </x14:formula1>
          <xm:sqref>AL8</xm:sqref>
        </x14:dataValidation>
        <x14:dataValidation type="list" allowBlank="1" showInputMessage="1" showErrorMessage="1" xr:uid="{510C9E62-16B2-4B79-8FD4-30A50FD99E94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D86AE902-A053-423D-8872-54481D7A07C3}">
          <x14:formula1>
            <xm:f>'شماسي و كانتليفر'!$V$3:$V$6</xm:f>
          </x14:formula1>
          <xm:sqref>AJ28</xm:sqref>
        </x14:dataValidation>
        <x14:dataValidation type="list" allowBlank="1" showInputMessage="1" showErrorMessage="1" xr:uid="{72E4E9A9-9B9E-4FB6-B9A9-AA822F43C824}">
          <x14:formula1>
            <xm:f>wavy2!$A$19:$A$20</xm:f>
          </x14:formula1>
          <xm:sqref>BE9</xm:sqref>
        </x14:dataValidation>
        <x14:dataValidation type="list" allowBlank="1" showInputMessage="1" showErrorMessage="1" xr:uid="{E1C6A9B6-84A2-4BA8-A53D-AD6B6B88E574}">
          <x14:formula1>
            <xm:f>wavy1!$A$19:$A$20</xm:f>
          </x14:formula1>
          <xm:sqref>AT9</xm:sqref>
        </x14:dataValidation>
        <x14:dataValidation type="list" allowBlank="1" showInputMessage="1" showErrorMessage="1" xr:uid="{48C65628-E008-41F8-A511-A6DD9D5CD071}">
          <x14:formula1>
            <xm:f>Sheet2!$B$5:$B$7</xm:f>
          </x14:formula1>
          <xm:sqref>T25 T46 T64</xm:sqref>
        </x14:dataValidation>
        <x14:dataValidation type="list" allowBlank="1" showInputMessage="1" showErrorMessage="1" xr:uid="{FAF7F423-7587-429A-8809-EA5D963FA113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B2150F3E-D685-4C66-9EF0-E42AB03AE988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5EE02152-6BA2-46DC-8F90-241FDBD32769}">
          <x14:formula1>
            <xm:f>Sheet2!$C$5:$C$6</xm:f>
          </x14:formula1>
          <xm:sqref>T26</xm:sqref>
        </x14:dataValidation>
        <x14:dataValidation type="list" allowBlank="1" showInputMessage="1" showErrorMessage="1" xr:uid="{11DBB171-D441-461C-91AB-421ADA5DFB57}">
          <x14:formula1>
            <xm:f>Sheet2!$A$5</xm:f>
          </x14:formula1>
          <xm:sqref>U31</xm:sqref>
        </x14:dataValidation>
        <x14:dataValidation type="list" allowBlank="1" showInputMessage="1" showErrorMessage="1" xr:uid="{A2074883-1AE8-49F7-9FC7-D1501A1264A9}">
          <x14:formula1>
            <xm:f>'شماسي و كانتليفر'!$V$18:$V$19</xm:f>
          </x14:formula1>
          <xm:sqref>AG28</xm:sqref>
        </x14:dataValidation>
        <x14:dataValidation type="list" allowBlank="1" showInputMessage="1" showErrorMessage="1" xr:uid="{B159E559-988F-4A62-9EA3-7A1857CF7EDC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E1C899DB-E1BA-413C-8327-AA0002D9B34D}">
          <x14:formula1>
            <xm:f>'شماسي و كانتليفر'!$V$8:$V$10</xm:f>
          </x14:formula1>
          <xm:sqref>AI28</xm:sqref>
        </x14:dataValidation>
        <x14:dataValidation type="list" allowBlank="1" showInputMessage="1" showErrorMessage="1" xr:uid="{9D8E5375-715B-4A05-91C3-4AB3CD4AF54E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92FDC28E-D91C-4D26-9603-561D04DF7CFD}">
          <x14:formula1>
            <xm:f>Sheet2!$D$5:$D$6</xm:f>
          </x14:formula1>
          <xm:sqref>T32 T53 T71</xm:sqref>
        </x14:dataValidation>
        <x14:dataValidation type="list" allowBlank="1" showInputMessage="1" showErrorMessage="1" xr:uid="{64D9F177-8E21-47C1-8273-25EF70D542E9}">
          <x14:formula1>
            <xm:f>Sheet2!$A$6</xm:f>
          </x14:formula1>
          <xm:sqref>AC36</xm:sqref>
        </x14:dataValidation>
        <x14:dataValidation type="list" allowBlank="1" showInputMessage="1" showErrorMessage="1" xr:uid="{C3BA7C0C-8EAB-4F0D-A5D4-E4B4C58E3D7D}">
          <x14:formula1>
            <xm:f>'شماسي و كانتليفر'!$F$18:$F$19</xm:f>
          </x14:formula1>
          <xm:sqref>T52 T70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1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255</v>
      </c>
      <c r="B1" s="1" t="s">
        <v>256</v>
      </c>
      <c r="C1" s="1" t="s">
        <v>257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800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258</v>
      </c>
      <c r="C6" s="1">
        <f>IF(Format!N8=1,'Format διαστασης οδηγου'!B2-32,IF(Format!N8=2,'Format διαστασης οδηγου'!B2-43,"-------"))</f>
        <v>768</v>
      </c>
      <c r="K6" s="8"/>
    </row>
    <row r="7">
      <c r="A7" s="4" t="s">
        <v>259</v>
      </c>
      <c r="C7" s="1">
        <f>IF(Format!N8=1,'Format διαστασης οδηγου'!B2-35,IF(Format!N8=3,'Format διαστασης οδηγου'!B2-36,IF(Format!N8=4,'Format διαστασης οδηγου'!B2-32,"-------")))</f>
        <v>765</v>
      </c>
      <c r="H7" s="788" t="s">
        <v>260</v>
      </c>
      <c r="I7" s="788"/>
      <c r="J7" s="788"/>
      <c r="K7" s="789"/>
    </row>
    <row r="8">
      <c r="A8" s="4" t="s">
        <v>261</v>
      </c>
      <c r="C8" s="1">
        <f>IF(Format!N8=1,'Format διαστασης οδηγου'!B2-32,"-------")</f>
        <v>768</v>
      </c>
      <c r="F8" s="1">
        <f>IF(Format!A7=1,C6,IF(Format!A7=2,C7,IF(Format!A7=3,C8,IF(Format!A7=4,C9,IF(Format!A7=5,C10)))))</f>
        <v>765</v>
      </c>
      <c r="H8" s="788"/>
      <c r="I8" s="788"/>
      <c r="J8" s="788"/>
      <c r="K8" s="789"/>
    </row>
    <row r="9">
      <c r="A9" s="4" t="s">
        <v>262</v>
      </c>
      <c r="C9" s="1" t="str">
        <f>IF(Format!N8=5,'Format διαστασης οδηγου'!B2-35,IF(Format!N8=6,'Format διαστασης οδηγου'!B2-31,"-------"))</f>
        <v>-------</v>
      </c>
      <c r="H9" s="788"/>
      <c r="I9" s="788"/>
      <c r="J9" s="788"/>
      <c r="K9" s="789"/>
    </row>
    <row r="10">
      <c r="A10" s="4" t="s">
        <v>263</v>
      </c>
      <c r="C10" s="1">
        <f>B2-32</f>
        <v>768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258</v>
      </c>
      <c r="C14" s="1">
        <f>IF(Format!N8=1,B2,IF(Format!N8=2,'Format διαστασης οδηγου'!B2-11,"-------"))</f>
        <v>800</v>
      </c>
      <c r="K14" s="8"/>
    </row>
    <row r="15">
      <c r="A15" s="4" t="s">
        <v>259</v>
      </c>
      <c r="C15" s="1">
        <f>IF(Format!N8=3,'Format διαστασης οδηγου'!B2-5,IF(Format!N8=1,'Format διαστασης οδηγου'!B2,IF(Format!N8=4,'Format διαστασης οδηγου'!B2,"-------")))</f>
        <v>800</v>
      </c>
      <c r="H15" s="788" t="s">
        <v>264</v>
      </c>
      <c r="I15" s="788"/>
      <c r="J15" s="788"/>
      <c r="K15" s="789"/>
    </row>
    <row r="16">
      <c r="A16" s="4" t="s">
        <v>261</v>
      </c>
      <c r="C16" s="1">
        <f>IF(Format!N8=1,'Format διαστασης οδηγου'!B2,"-------")</f>
        <v>800</v>
      </c>
      <c r="F16" s="1">
        <f>IF(Format!A7=1,C14,IF(Format!A7=2,C15,IF(Format!A7=3,C16,IF(Format!A7=4,C17,IF(Format!A7=5,C118)))))</f>
        <v>800</v>
      </c>
      <c r="H16" s="788"/>
      <c r="I16" s="788"/>
      <c r="J16" s="788"/>
      <c r="K16" s="789"/>
    </row>
    <row r="17">
      <c r="A17" s="4" t="s">
        <v>262</v>
      </c>
      <c r="C17" s="1" t="str">
        <f>IF(Format!N8=5,'Format διαστασης οδηγου'!B2-6,IF(Format!N8=6,'Format διαστασης οδηγου'!B2-2,"-------"))</f>
        <v>-------</v>
      </c>
      <c r="H17" s="788"/>
      <c r="I17" s="788"/>
      <c r="J17" s="788"/>
      <c r="K17" s="789"/>
    </row>
    <row r="18">
      <c r="A18" s="4" t="s">
        <v>263</v>
      </c>
      <c r="C18" s="1">
        <f>B2</f>
        <v>800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3">
    <tabColor theme="8" tint="-0.249977111117893"/>
    <pageSetUpPr fitToPage="1"/>
  </sheetPr>
  <dimension ref="A1:Y84"/>
  <sheetViews>
    <sheetView rightToLeft="1" view="pageBreakPreview" zoomScale="85" zoomScaleNormal="90" zoomScaleSheetLayoutView="85" zoomScalePageLayoutView="90" workbookViewId="0">
      <selection activeCell="B6" sqref="B6"/>
    </sheetView>
  </sheetViews>
  <sheetFormatPr defaultColWidth="9.140625" defaultRowHeight="15"/>
  <cols>
    <col min="1" max="1" width="8.42578125" customWidth="1" style="207"/>
    <col min="2" max="2" width="10.5703125" customWidth="1" style="207"/>
    <col min="3" max="3" width="45.28515625" customWidth="1" style="369"/>
    <col min="4" max="4" width="14" customWidth="1" style="207"/>
    <col min="5" max="5" width="12.7109375" customWidth="1" style="207"/>
    <col min="6" max="6" width="13.7109375" customWidth="1" style="207"/>
    <col min="7" max="7" width="15.28515625" customWidth="1" style="233"/>
    <col min="8" max="8" width="15.28515625" customWidth="1" style="404"/>
    <col min="9" max="9" width="9.85546875" customWidth="1" style="233"/>
    <col min="10" max="10" width="15" customWidth="1" style="233"/>
    <col min="11" max="11" width="15.85546875" customWidth="1" style="233"/>
    <col min="12" max="12" width="8" customWidth="1" style="233"/>
    <col min="13" max="13" width="9.140625" customWidth="1" style="207"/>
    <col min="14" max="14" width="17.85546875" customWidth="1" style="207"/>
    <col min="15" max="21" width="9.140625" customWidth="1" style="207"/>
    <col min="22" max="22" width="22.140625" customWidth="1" style="207"/>
    <col min="23" max="23" width="9.140625" customWidth="1" style="207"/>
    <col min="24" max="24" width="15" customWidth="1" style="207"/>
    <col min="25" max="16384" width="9.140625" customWidth="1" style="207"/>
  </cols>
  <sheetData>
    <row r="1" ht="16.5" customHeight="1">
      <c r="A1" s="623" t="s">
        <v>0</v>
      </c>
      <c r="B1" s="624"/>
      <c r="C1" s="625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0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26"/>
      <c r="B2" s="627"/>
      <c r="C2" s="628"/>
      <c r="D2" s="203"/>
      <c r="E2" s="204"/>
      <c r="F2" s="228">
        <f>D2*E2</f>
        <v>0</v>
      </c>
      <c r="G2" s="229" t="e">
        <f>G80/F2</f>
        <v>#DIV/0!</v>
      </c>
      <c r="H2" s="230">
        <f>Sheet2!B12</f>
        <v>50000</v>
      </c>
      <c r="I2" s="231">
        <f>Sheet2!B13</f>
        <v>55000</v>
      </c>
      <c r="J2" s="232">
        <f>Sheet2!B14</f>
        <v>230000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500</v>
      </c>
      <c r="S2" s="216">
        <v>1000</v>
      </c>
      <c r="T2" s="216">
        <v>0</v>
      </c>
    </row>
    <row r="3" ht="29.25" customHeight="1">
      <c r="A3" s="630" t="s">
        <v>17</v>
      </c>
      <c r="B3" s="631"/>
      <c r="C3" s="405"/>
      <c r="F3" s="234" t="s">
        <v>18</v>
      </c>
      <c r="G3" s="632">
        <f>NOW()</f>
        <v>45447.291791192132</v>
      </c>
      <c r="H3" s="633"/>
      <c r="I3" s="633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100</v>
      </c>
      <c r="R3" s="216">
        <v>1300</v>
      </c>
      <c r="S3" s="216">
        <v>2000</v>
      </c>
      <c r="T3" s="216">
        <v>750</v>
      </c>
    </row>
    <row r="4" ht="18.75" customHeight="1">
      <c r="A4" s="208"/>
      <c r="B4" s="208"/>
      <c r="C4" s="209"/>
      <c r="D4" s="629" t="s">
        <v>20</v>
      </c>
      <c r="E4" s="629"/>
      <c r="F4" s="629"/>
      <c r="G4" s="629"/>
      <c r="H4" s="629"/>
      <c r="I4" s="629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75</v>
      </c>
      <c r="R4" s="216">
        <v>1500</v>
      </c>
      <c r="S4" s="216">
        <v>2300</v>
      </c>
      <c r="T4" s="216">
        <v>120</v>
      </c>
      <c r="U4" s="207" t="s">
        <v>22</v>
      </c>
      <c r="V4" s="207" t="s">
        <v>23</v>
      </c>
      <c r="W4" s="207" t="s">
        <v>24</v>
      </c>
      <c r="X4" s="207" t="s">
        <v>25</v>
      </c>
      <c r="Y4" s="207" t="s">
        <v>26</v>
      </c>
    </row>
    <row r="5" ht="24.7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157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75</v>
      </c>
      <c r="R5" s="216">
        <v>1600</v>
      </c>
      <c r="S5" s="216">
        <v>2300</v>
      </c>
      <c r="T5" s="216">
        <v>120</v>
      </c>
      <c r="U5" s="207" t="s">
        <v>39</v>
      </c>
      <c r="V5" s="233" t="s">
        <v>40</v>
      </c>
      <c r="W5" s="233">
        <v>1.4</v>
      </c>
      <c r="X5" s="237" t="s">
        <v>41</v>
      </c>
      <c r="Y5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13.400000000000002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8</v>
      </c>
      <c r="C6" s="215" t="s">
        <v>42</v>
      </c>
      <c r="D6" s="214">
        <v>0.03</v>
      </c>
      <c r="E6" s="214">
        <v>0.03</v>
      </c>
      <c r="F6" s="214">
        <f>(Table1[[#This Row],[Column1]]+Table1[[#This Row],[Column2]])*12*Table1[[#This Row],[عدد]]</f>
        <v>5.76</v>
      </c>
      <c r="G6" s="242" t="s">
        <v>43</v>
      </c>
      <c r="H6" s="211">
        <v>8.5</v>
      </c>
      <c r="I6" s="211"/>
      <c r="J6" s="243">
        <f>H6*$H$2/1000</f>
        <v>425</v>
      </c>
      <c r="K6" s="240">
        <f>B6*J6</f>
        <v>3400</v>
      </c>
      <c r="L6" s="241">
        <f>(K6)/$G$79</f>
        <v>0.016342226952006669</v>
      </c>
      <c r="N6" s="216" t="s">
        <v>44</v>
      </c>
      <c r="O6" s="216">
        <v>120</v>
      </c>
      <c r="P6" s="216">
        <v>250</v>
      </c>
      <c r="Q6" s="216">
        <v>75</v>
      </c>
      <c r="R6" s="216">
        <v>1600</v>
      </c>
      <c r="S6" s="216">
        <v>2300</v>
      </c>
      <c r="T6" s="216">
        <v>120</v>
      </c>
      <c r="V6" s="216" t="s">
        <v>45</v>
      </c>
      <c r="W6" s="216">
        <v>0.25</v>
      </c>
      <c r="X6" s="216" t="s">
        <v>46</v>
      </c>
      <c r="Y6" s="216">
        <f>Y5*Table6[[#This Row],[المعدل]]+4</f>
        <v>7.3500000000000005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3.5</v>
      </c>
      <c r="C7" s="215" t="s">
        <v>47</v>
      </c>
      <c r="D7" s="399">
        <v>0.1</v>
      </c>
      <c r="E7" s="399">
        <v>0.1</v>
      </c>
      <c r="F7" s="216">
        <f>(Table1[[#This Row],[Column1]]+Table1[[#This Row],[Column2]])*12*Table1[[#This Row],[عدد]]</f>
        <v>8.4000000000000021</v>
      </c>
      <c r="G7" s="242" t="s">
        <v>43</v>
      </c>
      <c r="H7" s="211">
        <v>46.75</v>
      </c>
      <c r="I7" s="211"/>
      <c r="J7" s="243">
        <f>H7*$H$2/1000</f>
        <v>2337.5</v>
      </c>
      <c r="K7" s="240">
        <f>B7*J7</f>
        <v>8181.25</v>
      </c>
      <c r="L7" s="241">
        <f>(K7)/$G$79</f>
        <v>0.039323483603266041</v>
      </c>
      <c r="N7" s="216" t="s">
        <v>48</v>
      </c>
      <c r="O7" s="216">
        <v>75</v>
      </c>
      <c r="P7" s="216">
        <v>100</v>
      </c>
      <c r="Q7" s="216">
        <v>75</v>
      </c>
      <c r="R7" s="216">
        <v>2000</v>
      </c>
      <c r="S7" s="216">
        <v>3500</v>
      </c>
      <c r="T7" s="216">
        <v>250</v>
      </c>
      <c r="V7" s="216" t="s">
        <v>49</v>
      </c>
      <c r="W7" s="216">
        <v>2</v>
      </c>
      <c r="X7" s="211" t="s">
        <v>50</v>
      </c>
      <c r="Y7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9.38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1.5</v>
      </c>
      <c r="C8" s="215" t="s">
        <v>54</v>
      </c>
      <c r="D8" s="399">
        <v>0.15</v>
      </c>
      <c r="E8" s="399">
        <v>0.05</v>
      </c>
      <c r="F8" s="216">
        <f>(Table1[[#This Row],[Column1]]+Table1[[#This Row],[Column2]])*12*Table1[[#This Row],[عدد]]</f>
        <v>3.6000000000000005</v>
      </c>
      <c r="G8" s="211" t="s">
        <v>43</v>
      </c>
      <c r="H8" s="211">
        <v>56</v>
      </c>
      <c r="I8" s="211"/>
      <c r="J8" s="243">
        <f>H8*$H$2/1000</f>
        <v>2800</v>
      </c>
      <c r="K8" s="240">
        <f>B8*J8</f>
        <v>4200</v>
      </c>
      <c r="L8" s="241">
        <f>(K8)/$G$79</f>
        <v>0.020187456823067058</v>
      </c>
      <c r="N8" s="216" t="s">
        <v>52</v>
      </c>
      <c r="O8" s="216">
        <v>30</v>
      </c>
      <c r="P8" s="216">
        <v>30</v>
      </c>
      <c r="Q8" s="216">
        <v>75</v>
      </c>
      <c r="R8" s="216">
        <v>800</v>
      </c>
      <c r="S8" s="216">
        <v>1600</v>
      </c>
      <c r="T8" s="216">
        <v>150</v>
      </c>
      <c r="V8" s="216" t="s">
        <v>53</v>
      </c>
      <c r="W8" s="216">
        <v>1.4</v>
      </c>
      <c r="X8" s="211" t="s">
        <v>50</v>
      </c>
      <c r="Y8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13.400000000000002</v>
      </c>
    </row>
    <row r="9" ht="24.75" customHeight="1" s="216" customFormat="1">
      <c r="A9" s="211"/>
      <c r="B9" s="212"/>
      <c r="C9" s="213" t="s">
        <v>58</v>
      </c>
      <c r="D9" s="214"/>
      <c r="E9" s="214"/>
      <c r="F9" s="216">
        <f>SUBTOTAL(109,Table1[المسطح])</f>
        <v>17.76</v>
      </c>
      <c r="G9" s="211"/>
      <c r="H9" s="211">
        <f>(H6*B6)+(H8*B8)+(H7*B7)</f>
        <v>315.625</v>
      </c>
      <c r="I9" s="211"/>
      <c r="J9" s="242"/>
      <c r="K9" s="240">
        <f>SUBTOTAL(109,Table1[اجمالي])</f>
        <v>15781.25</v>
      </c>
      <c r="L9" s="244">
        <f>Table1[[#Totals],[اجمالي]]/$G$79</f>
        <v>0.075853167378339775</v>
      </c>
      <c r="N9" s="216" t="s">
        <v>55</v>
      </c>
      <c r="O9" s="216">
        <v>50</v>
      </c>
      <c r="P9" s="216">
        <v>50</v>
      </c>
      <c r="Q9" s="216">
        <v>75</v>
      </c>
      <c r="R9" s="216">
        <v>1200</v>
      </c>
      <c r="S9" s="216">
        <v>2200</v>
      </c>
      <c r="T9" s="216">
        <v>150</v>
      </c>
      <c r="V9" s="216" t="s">
        <v>56</v>
      </c>
      <c r="X9" s="216" t="s">
        <v>57</v>
      </c>
    </row>
    <row r="10" ht="21" customHeight="1" s="216" customFormat="1">
      <c r="C10" s="217"/>
      <c r="D10" s="629" t="s">
        <v>60</v>
      </c>
      <c r="E10" s="629"/>
      <c r="F10" s="629"/>
      <c r="G10" s="629"/>
      <c r="H10" s="629"/>
      <c r="I10" s="629"/>
      <c r="L10" s="410"/>
      <c r="N10" s="216" t="s">
        <v>59</v>
      </c>
      <c r="O10" s="216">
        <v>50</v>
      </c>
      <c r="P10" s="216">
        <v>50</v>
      </c>
      <c r="Q10" s="216">
        <v>75</v>
      </c>
      <c r="R10" s="216">
        <v>1200</v>
      </c>
      <c r="S10" s="216">
        <v>2500</v>
      </c>
      <c r="T10" s="216">
        <v>150</v>
      </c>
      <c r="V10" s="213" t="s">
        <v>158</v>
      </c>
      <c r="W10" s="216">
        <v>1.6</v>
      </c>
      <c r="Y10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1" ht="21" customHeight="1" s="216" customFormat="1">
      <c r="A11" s="211" t="s">
        <v>27</v>
      </c>
      <c r="B11" s="211" t="s">
        <v>28</v>
      </c>
      <c r="C11" s="218" t="s">
        <v>29</v>
      </c>
      <c r="D11" s="211" t="s">
        <v>30</v>
      </c>
      <c r="E11" s="211" t="s">
        <v>9</v>
      </c>
      <c r="F11" s="211" t="s">
        <v>63</v>
      </c>
      <c r="G11" s="211" t="s">
        <v>32</v>
      </c>
      <c r="H11" s="211" t="s">
        <v>33</v>
      </c>
      <c r="I11" s="237" t="s">
        <v>157</v>
      </c>
      <c r="J11" s="211" t="s">
        <v>35</v>
      </c>
      <c r="K11" s="245" t="s">
        <v>36</v>
      </c>
      <c r="L11" s="211" t="s">
        <v>37</v>
      </c>
      <c r="N11" s="216" t="s">
        <v>61</v>
      </c>
      <c r="O11" s="216">
        <v>75</v>
      </c>
      <c r="P11" s="216">
        <v>50</v>
      </c>
      <c r="Q11" s="216">
        <v>75</v>
      </c>
      <c r="R11" s="216">
        <v>1200</v>
      </c>
      <c r="S11" s="216">
        <v>2500</v>
      </c>
      <c r="T11" s="216">
        <v>150</v>
      </c>
      <c r="V11" s="218" t="s">
        <v>159</v>
      </c>
      <c r="W11" s="216">
        <v>1.6</v>
      </c>
      <c r="Y11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67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68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11110</v>
      </c>
      <c r="K12" s="240">
        <f ref="K12:K13" t="shared" si="1">B12*J12</f>
        <v>0</v>
      </c>
      <c r="L12" s="241">
        <f>(K12)/$G$79</f>
        <v>0</v>
      </c>
      <c r="N12" s="216" t="s">
        <v>65</v>
      </c>
      <c r="O12" s="216">
        <v>75</v>
      </c>
      <c r="P12" s="216">
        <v>50</v>
      </c>
      <c r="Q12" s="216">
        <v>75</v>
      </c>
      <c r="R12" s="216">
        <v>1600</v>
      </c>
      <c r="S12" s="216">
        <v>3000</v>
      </c>
      <c r="T12" s="216">
        <v>150</v>
      </c>
      <c r="V12" s="218" t="s">
        <v>78</v>
      </c>
      <c r="W12" s="216">
        <v>0.1</v>
      </c>
      <c r="Y12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71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43</v>
      </c>
      <c r="H13" s="211">
        <v>101</v>
      </c>
      <c r="I13" s="211">
        <f>Table14[[#This Row],[Column12]]*Table14[[#This Row],[عدد]]</f>
        <v>0</v>
      </c>
      <c r="J13" s="243">
        <f t="shared" si="0"/>
        <v>5555</v>
      </c>
      <c r="K13" s="240">
        <f t="shared" si="1"/>
        <v>0</v>
      </c>
      <c r="L13" s="241">
        <f>(K13)/$G$79</f>
        <v>0</v>
      </c>
      <c r="N13" s="216" t="s">
        <v>69</v>
      </c>
      <c r="O13" s="216">
        <v>75</v>
      </c>
      <c r="P13" s="216">
        <v>50</v>
      </c>
      <c r="Q13" s="216">
        <v>75</v>
      </c>
      <c r="R13" s="216">
        <v>1600</v>
      </c>
      <c r="S13" s="216">
        <v>2500</v>
      </c>
      <c r="T13" s="216">
        <v>150</v>
      </c>
      <c r="V13" s="218" t="s">
        <v>80</v>
      </c>
      <c r="W13" s="216">
        <v>0.1</v>
      </c>
      <c r="Y13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4" ht="21" customHeight="1" s="216" customFormat="1">
      <c r="A14" s="211" t="s">
        <v>58</v>
      </c>
      <c r="B14" s="212"/>
      <c r="C14" s="213" t="s">
        <v>58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Table14[[#Totals],[اجمالي]]/$G$79</f>
        <v>0</v>
      </c>
      <c r="N14" s="216" t="s">
        <v>72</v>
      </c>
      <c r="O14" s="216">
        <v>100</v>
      </c>
      <c r="P14" s="216">
        <v>50</v>
      </c>
      <c r="Q14" s="216">
        <v>75</v>
      </c>
      <c r="R14" s="216">
        <v>2000</v>
      </c>
      <c r="S14" s="216">
        <v>3000</v>
      </c>
      <c r="T14" s="216">
        <v>150</v>
      </c>
    </row>
    <row r="15" ht="21" customHeight="1" s="216" customFormat="1">
      <c r="C15" s="217"/>
      <c r="D15" s="629" t="s">
        <v>76</v>
      </c>
      <c r="E15" s="629"/>
      <c r="F15" s="629"/>
      <c r="G15" s="629"/>
      <c r="H15" s="629"/>
      <c r="I15" s="629"/>
      <c r="N15" s="216" t="s">
        <v>74</v>
      </c>
      <c r="O15" s="216">
        <v>120</v>
      </c>
      <c r="P15" s="216">
        <v>50</v>
      </c>
      <c r="Q15" s="216">
        <v>75</v>
      </c>
      <c r="R15" s="216">
        <v>2000</v>
      </c>
      <c r="S15" s="216">
        <v>3500</v>
      </c>
      <c r="T15" s="216">
        <v>200</v>
      </c>
    </row>
    <row r="16" ht="21" customHeight="1" s="216" customFormat="1">
      <c r="A16" s="211" t="s">
        <v>27</v>
      </c>
      <c r="B16" s="211" t="s">
        <v>28</v>
      </c>
      <c r="C16" s="218" t="s">
        <v>29</v>
      </c>
      <c r="D16" s="211" t="s">
        <v>30</v>
      </c>
      <c r="E16" s="211" t="s">
        <v>9</v>
      </c>
      <c r="F16" s="211" t="s">
        <v>63</v>
      </c>
      <c r="G16" s="211" t="s">
        <v>32</v>
      </c>
      <c r="H16" s="211" t="s">
        <v>33</v>
      </c>
      <c r="I16" s="211" t="s">
        <v>64</v>
      </c>
      <c r="J16" s="211" t="s">
        <v>35</v>
      </c>
      <c r="K16" s="245" t="s">
        <v>36</v>
      </c>
      <c r="L16" s="211" t="s">
        <v>37</v>
      </c>
      <c r="N16" s="216" t="s">
        <v>77</v>
      </c>
      <c r="O16" s="216">
        <v>150</v>
      </c>
      <c r="P16" s="216">
        <v>50</v>
      </c>
      <c r="Q16" s="216">
        <v>75</v>
      </c>
      <c r="R16" s="216">
        <v>2200</v>
      </c>
      <c r="S16" s="216">
        <v>4000</v>
      </c>
      <c r="T16" s="216">
        <v>200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81</v>
      </c>
      <c r="D17" s="214"/>
      <c r="E17" s="214"/>
      <c r="F17" s="214"/>
      <c r="G17" s="211" t="s">
        <v>82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(K17)/$G$79</f>
        <v>0.0038452298710603926</v>
      </c>
      <c r="N17" s="216" t="s">
        <v>79</v>
      </c>
      <c r="O17" s="216">
        <v>150</v>
      </c>
      <c r="P17" s="216">
        <v>50</v>
      </c>
      <c r="Q17" s="216">
        <v>75</v>
      </c>
      <c r="R17" s="216">
        <v>2200</v>
      </c>
      <c r="S17" s="216">
        <v>4000</v>
      </c>
      <c r="T17" s="216">
        <v>200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3</v>
      </c>
      <c r="C18" s="213" t="s">
        <v>84</v>
      </c>
      <c r="D18" s="214"/>
      <c r="E18" s="214"/>
      <c r="F18" s="214"/>
      <c r="G18" s="211" t="s">
        <v>85</v>
      </c>
      <c r="H18" s="211"/>
      <c r="I18" s="242"/>
      <c r="J18" s="247">
        <v>250</v>
      </c>
      <c r="K18" s="240">
        <f t="shared" si="2"/>
        <v>750</v>
      </c>
      <c r="L18" s="241">
        <f t="shared" si="3"/>
        <v>0.0036049030041191178</v>
      </c>
      <c r="N18" s="216" t="s">
        <v>83</v>
      </c>
      <c r="O18" s="216">
        <v>500</v>
      </c>
      <c r="P18" s="216">
        <v>200</v>
      </c>
      <c r="Q18" s="216">
        <v>100</v>
      </c>
      <c r="R18" s="216">
        <v>3500</v>
      </c>
      <c r="S18" s="216">
        <v>6000</v>
      </c>
      <c r="T18" s="216">
        <v>300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87</v>
      </c>
      <c r="D19" s="214"/>
      <c r="E19" s="214"/>
      <c r="F19" s="214"/>
      <c r="G19" s="211" t="s">
        <v>28</v>
      </c>
      <c r="H19" s="211"/>
      <c r="I19" s="242"/>
      <c r="J19" s="247">
        <v>85</v>
      </c>
      <c r="K19" s="240">
        <f t="shared" si="2"/>
        <v>340</v>
      </c>
      <c r="L19" s="241">
        <f t="shared" si="3"/>
        <v>0.0016342226952006668</v>
      </c>
      <c r="N19" s="216" t="s">
        <v>86</v>
      </c>
      <c r="O19" s="216">
        <v>500</v>
      </c>
      <c r="P19" s="216">
        <v>200</v>
      </c>
      <c r="Q19" s="216">
        <v>100</v>
      </c>
      <c r="R19" s="216">
        <v>4000</v>
      </c>
      <c r="S19" s="216">
        <v>6500</v>
      </c>
      <c r="T19" s="216">
        <v>300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89</v>
      </c>
      <c r="D20" s="214"/>
      <c r="E20" s="214"/>
      <c r="F20" s="214"/>
      <c r="G20" s="211" t="s">
        <v>28</v>
      </c>
      <c r="H20" s="211"/>
      <c r="I20" s="242"/>
      <c r="J20" s="247">
        <v>75</v>
      </c>
      <c r="K20" s="240">
        <f t="shared" si="2"/>
        <v>75</v>
      </c>
      <c r="L20" s="241">
        <f t="shared" si="3"/>
        <v>0.0003604903004119118</v>
      </c>
      <c r="N20" s="216" t="s">
        <v>88</v>
      </c>
      <c r="O20" s="216">
        <v>550</v>
      </c>
      <c r="P20" s="216">
        <v>200</v>
      </c>
      <c r="Q20" s="216">
        <v>100</v>
      </c>
      <c r="R20" s="216">
        <v>5000</v>
      </c>
      <c r="S20" s="216">
        <v>7000</v>
      </c>
      <c r="T20" s="216">
        <v>300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6</v>
      </c>
      <c r="C21" s="213" t="s">
        <v>90</v>
      </c>
      <c r="D21" s="214"/>
      <c r="E21" s="214"/>
      <c r="F21" s="214"/>
      <c r="G21" s="247" t="s">
        <v>91</v>
      </c>
      <c r="H21" s="247"/>
      <c r="I21" s="242"/>
      <c r="J21" s="247">
        <v>50</v>
      </c>
      <c r="K21" s="240">
        <f t="shared" si="2"/>
        <v>300</v>
      </c>
      <c r="L21" s="241">
        <f t="shared" si="3"/>
        <v>0.0014419612016476472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9</v>
      </c>
      <c r="C22" s="213" t="s">
        <v>92</v>
      </c>
      <c r="D22" s="214"/>
      <c r="E22" s="214"/>
      <c r="F22" s="214"/>
      <c r="G22" s="247" t="s">
        <v>93</v>
      </c>
      <c r="H22" s="247"/>
      <c r="I22" s="242"/>
      <c r="J22" s="247">
        <v>10</v>
      </c>
      <c r="K22" s="240">
        <f t="shared" si="2"/>
        <v>90</v>
      </c>
      <c r="L22" s="241">
        <f t="shared" si="3"/>
        <v>0.00043258836049429416</v>
      </c>
    </row>
    <row r="23" ht="21" customHeight="1" s="216" customFormat="1">
      <c r="A23" s="211">
        <v>7</v>
      </c>
      <c r="B23" s="212">
        <f>IF((Sheet2!H3="no"),0,(تسعير!AA10/100))</f>
        <v>5</v>
      </c>
      <c r="C23" s="215" t="s">
        <v>94</v>
      </c>
      <c r="D23" s="399"/>
      <c r="E23" s="399"/>
      <c r="F23" s="399"/>
      <c r="G23" s="248" t="s">
        <v>93</v>
      </c>
      <c r="H23" s="248"/>
      <c r="I23" s="248"/>
      <c r="J23" s="248">
        <f>Sheet2!B29</f>
        <v>1000</v>
      </c>
      <c r="K23" s="240">
        <f t="shared" si="2"/>
        <v>5000</v>
      </c>
      <c r="L23" s="241">
        <f t="shared" si="3"/>
        <v>0.024032686694127451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40</v>
      </c>
      <c r="C24" s="215" t="s">
        <v>95</v>
      </c>
      <c r="D24" s="399"/>
      <c r="E24" s="399"/>
      <c r="F24" s="399"/>
      <c r="G24" s="248" t="s">
        <v>96</v>
      </c>
      <c r="H24" s="248"/>
      <c r="I24" s="248"/>
      <c r="J24" s="248">
        <v>1</v>
      </c>
      <c r="K24" s="240">
        <f t="shared" si="2"/>
        <v>40</v>
      </c>
      <c r="L24" s="241">
        <f t="shared" si="3"/>
        <v>0.00019226149355301963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3</v>
      </c>
      <c r="C25" s="213" t="s">
        <v>97</v>
      </c>
      <c r="D25" s="214"/>
      <c r="E25" s="214"/>
      <c r="F25" s="214"/>
      <c r="G25" s="211" t="s">
        <v>91</v>
      </c>
      <c r="H25" s="211"/>
      <c r="I25" s="242"/>
      <c r="J25" s="243">
        <f>Sheet2!B30</f>
        <v>1200</v>
      </c>
      <c r="K25" s="240">
        <f t="shared" si="2"/>
        <v>3600</v>
      </c>
      <c r="L25" s="241">
        <f t="shared" si="3"/>
        <v>0.017303534419771765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2</v>
      </c>
      <c r="C26" s="213" t="s">
        <v>98</v>
      </c>
      <c r="D26" s="214"/>
      <c r="E26" s="214"/>
      <c r="F26" s="214"/>
      <c r="G26" s="211" t="s">
        <v>91</v>
      </c>
      <c r="H26" s="211"/>
      <c r="I26" s="242"/>
      <c r="J26" s="243">
        <f>Sheet2!B31</f>
        <v>450</v>
      </c>
      <c r="K26" s="240">
        <f t="shared" si="2"/>
        <v>900</v>
      </c>
      <c r="L26" s="241">
        <f t="shared" si="3"/>
        <v>0.0043258836049429412</v>
      </c>
    </row>
    <row r="27" ht="21" customHeight="1" s="216" customFormat="1">
      <c r="A27" s="211" t="s">
        <v>58</v>
      </c>
      <c r="B27" s="212"/>
      <c r="C27" s="213" t="s">
        <v>58</v>
      </c>
      <c r="D27" s="214"/>
      <c r="E27" s="214"/>
      <c r="G27" s="211"/>
      <c r="H27" s="211"/>
      <c r="I27" s="211"/>
      <c r="J27" s="242"/>
      <c r="K27" s="240">
        <f>SUBTOTAL(109,Table15[اجمالي])</f>
        <v>11895</v>
      </c>
      <c r="L27" s="244">
        <f>Table15[[#Totals],[اجمالي]]/$G$79</f>
        <v>0.05717376164532921</v>
      </c>
    </row>
    <row r="28" ht="21" customHeight="1" s="216" customFormat="1">
      <c r="C28" s="217"/>
      <c r="D28" s="629" t="s">
        <v>99</v>
      </c>
      <c r="E28" s="629"/>
      <c r="F28" s="629"/>
      <c r="G28" s="629"/>
      <c r="H28" s="629"/>
      <c r="I28" s="629"/>
    </row>
    <row r="29" ht="21" customHeight="1" s="216" customFormat="1">
      <c r="A29" s="211" t="s">
        <v>27</v>
      </c>
      <c r="B29" s="211" t="s">
        <v>28</v>
      </c>
      <c r="C29" s="218" t="s">
        <v>29</v>
      </c>
      <c r="D29" s="211" t="s">
        <v>30</v>
      </c>
      <c r="E29" s="211" t="s">
        <v>9</v>
      </c>
      <c r="F29" s="211" t="s">
        <v>63</v>
      </c>
      <c r="G29" s="211" t="s">
        <v>32</v>
      </c>
      <c r="H29" s="211" t="s">
        <v>33</v>
      </c>
      <c r="I29" s="211" t="s">
        <v>154</v>
      </c>
      <c r="J29" s="211" t="s">
        <v>35</v>
      </c>
      <c r="K29" s="245" t="s">
        <v>36</v>
      </c>
      <c r="L29" s="211" t="s">
        <v>37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100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85</v>
      </c>
      <c r="H30" s="211">
        <v>14</v>
      </c>
      <c r="I30" s="211"/>
      <c r="J30" s="243">
        <f ref="J30:J31" t="shared" si="4">H30*$H$2/1000</f>
        <v>700</v>
      </c>
      <c r="K30" s="240">
        <f ref="K30:K31" t="shared" si="5">B30*J30</f>
        <v>0</v>
      </c>
      <c r="L30" s="241">
        <f>(K30)/$G$79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101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85</v>
      </c>
      <c r="H31" s="211">
        <v>1</v>
      </c>
      <c r="I31" s="211"/>
      <c r="J31" s="243">
        <f t="shared" si="4"/>
        <v>50</v>
      </c>
      <c r="K31" s="240">
        <f t="shared" si="5"/>
        <v>0</v>
      </c>
      <c r="L31" s="251">
        <f>(K31)/$G$79</f>
        <v>0</v>
      </c>
    </row>
    <row r="32" ht="21" customHeight="1" s="216" customFormat="1">
      <c r="A32" s="211" t="s">
        <v>58</v>
      </c>
      <c r="B32" s="212">
        <f>SUBTOTAL(103,Table16[عدد])</f>
        <v>2</v>
      </c>
      <c r="C32" s="213" t="s">
        <v>58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Table16[[#Totals],[اجمالي]]/$G$79</f>
        <v>0</v>
      </c>
    </row>
    <row r="33" ht="21" customHeight="1" s="216" customFormat="1">
      <c r="C33" s="217"/>
      <c r="D33" s="629" t="s">
        <v>102</v>
      </c>
      <c r="E33" s="629"/>
      <c r="F33" s="629"/>
      <c r="G33" s="629"/>
      <c r="H33" s="629"/>
      <c r="I33" s="629"/>
    </row>
    <row r="34" ht="21" customHeight="1" s="216" customFormat="1">
      <c r="A34" s="211" t="s">
        <v>27</v>
      </c>
      <c r="B34" s="211" t="s">
        <v>28</v>
      </c>
      <c r="C34" s="218" t="s">
        <v>29</v>
      </c>
      <c r="D34" s="211" t="s">
        <v>30</v>
      </c>
      <c r="E34" s="211" t="s">
        <v>9</v>
      </c>
      <c r="F34" s="211" t="s">
        <v>63</v>
      </c>
      <c r="G34" s="211" t="s">
        <v>32</v>
      </c>
      <c r="H34" s="211" t="s">
        <v>33</v>
      </c>
      <c r="I34" s="211" t="s">
        <v>64</v>
      </c>
      <c r="J34" s="211" t="s">
        <v>35</v>
      </c>
      <c r="K34" s="245" t="s">
        <v>36</v>
      </c>
      <c r="L34" s="211" t="s">
        <v>37</v>
      </c>
    </row>
    <row r="35" ht="21" customHeight="1" s="216" customFormat="1">
      <c r="A35" s="211">
        <v>2</v>
      </c>
      <c r="B35" s="219">
        <v>5</v>
      </c>
      <c r="C35" s="218" t="s">
        <v>108</v>
      </c>
      <c r="D35" s="211"/>
      <c r="E35" s="211"/>
      <c r="F35" s="211"/>
      <c r="G35" s="211" t="s">
        <v>109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(K35)/$G$79</f>
        <v>0.0003604903004119118</v>
      </c>
    </row>
    <row r="36" ht="21" customHeight="1" s="216" customFormat="1">
      <c r="A36" s="211">
        <v>3</v>
      </c>
      <c r="B36" s="212">
        <v>5</v>
      </c>
      <c r="C36" s="218" t="s">
        <v>110</v>
      </c>
      <c r="D36" s="211"/>
      <c r="E36" s="211"/>
      <c r="F36" s="211"/>
      <c r="G36" s="211" t="s">
        <v>109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0.0003604903004119118</v>
      </c>
    </row>
    <row r="37" ht="21" customHeight="1" s="216" customFormat="1">
      <c r="A37" s="211">
        <v>4</v>
      </c>
      <c r="B37" s="219">
        <v>5</v>
      </c>
      <c r="C37" s="213" t="s">
        <v>111</v>
      </c>
      <c r="D37" s="214"/>
      <c r="E37" s="214"/>
      <c r="F37" s="214"/>
      <c r="G37" s="211" t="s">
        <v>112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0.00060081716735318634</v>
      </c>
    </row>
    <row r="38" ht="21" customHeight="1" s="216" customFormat="1">
      <c r="A38" s="211">
        <v>5</v>
      </c>
      <c r="B38" s="212">
        <v>5</v>
      </c>
      <c r="C38" s="213" t="s">
        <v>113</v>
      </c>
      <c r="D38" s="214"/>
      <c r="E38" s="214"/>
      <c r="F38" s="214"/>
      <c r="G38" s="211" t="s">
        <v>112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0.0036049030041191178</v>
      </c>
    </row>
    <row r="39" ht="21" customHeight="1" s="216" customFormat="1">
      <c r="A39" s="211">
        <v>6</v>
      </c>
      <c r="B39" s="219">
        <v>5</v>
      </c>
      <c r="C39" s="213" t="s">
        <v>114</v>
      </c>
      <c r="D39" s="214"/>
      <c r="E39" s="214"/>
      <c r="F39" s="214"/>
      <c r="G39" s="211" t="s">
        <v>85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0.00096130746776509814</v>
      </c>
    </row>
    <row r="40" ht="21" customHeight="1" s="216" customFormat="1">
      <c r="A40" s="211">
        <v>1</v>
      </c>
      <c r="B40" s="222">
        <f>Y7/3</f>
        <v>3.1266666666666669</v>
      </c>
      <c r="C40" s="213" t="s">
        <v>103</v>
      </c>
      <c r="D40" s="214"/>
      <c r="E40" s="214"/>
      <c r="F40" s="214"/>
      <c r="G40" s="211" t="s">
        <v>104</v>
      </c>
      <c r="H40" s="211"/>
      <c r="I40" s="211"/>
      <c r="J40" s="248">
        <f>Sheet2!B24</f>
        <v>400</v>
      </c>
      <c r="K40" s="240">
        <f t="shared" si="6"/>
        <v>1250.6666666666667</v>
      </c>
      <c r="L40" s="241">
        <f t="shared" si="7"/>
        <v>0.0060113760317577472</v>
      </c>
    </row>
    <row r="41" ht="21" customHeight="1" s="216" customFormat="1">
      <c r="A41" s="211">
        <v>7</v>
      </c>
      <c r="B41" s="222">
        <f>Y6/1.9</f>
        <v>3.8684210526315792</v>
      </c>
      <c r="C41" s="213" t="s">
        <v>45</v>
      </c>
      <c r="D41" s="214"/>
      <c r="E41" s="214"/>
      <c r="F41" s="214"/>
      <c r="G41" s="211" t="s">
        <v>105</v>
      </c>
      <c r="H41" s="211"/>
      <c r="I41" s="211"/>
      <c r="J41" s="248">
        <f>Sheet2!B25</f>
        <v>105</v>
      </c>
      <c r="K41" s="240">
        <f t="shared" si="6"/>
        <v>406.18421052631584</v>
      </c>
      <c r="L41" s="241">
        <f t="shared" si="7"/>
        <v>0.0019523395743360908</v>
      </c>
    </row>
    <row r="42" ht="21" customHeight="1" s="216" customFormat="1">
      <c r="A42" s="211">
        <v>8</v>
      </c>
      <c r="B42" s="222">
        <f>Y5</f>
        <v>13.400000000000002</v>
      </c>
      <c r="C42" s="213" t="s">
        <v>106</v>
      </c>
      <c r="D42" s="214"/>
      <c r="E42" s="214"/>
      <c r="F42" s="214"/>
      <c r="G42" s="211" t="s">
        <v>85</v>
      </c>
      <c r="H42" s="211"/>
      <c r="I42" s="211"/>
      <c r="J42" s="248">
        <f>Sheet2!B26</f>
        <v>250</v>
      </c>
      <c r="K42" s="240">
        <f t="shared" si="6"/>
        <v>3350.0000000000005</v>
      </c>
      <c r="L42" s="241">
        <f t="shared" si="7"/>
        <v>0.016101900085065395</v>
      </c>
    </row>
    <row r="43" ht="21" customHeight="1" s="216" customFormat="1">
      <c r="A43" s="211">
        <v>9</v>
      </c>
      <c r="B43" s="222">
        <f>Y8</f>
        <v>13.400000000000002</v>
      </c>
      <c r="C43" s="213" t="s">
        <v>107</v>
      </c>
      <c r="D43" s="214"/>
      <c r="E43" s="214"/>
      <c r="F43" s="214"/>
      <c r="G43" s="211" t="s">
        <v>85</v>
      </c>
      <c r="H43" s="211"/>
      <c r="I43" s="211"/>
      <c r="J43" s="248">
        <f>Sheet2!B27</f>
        <v>510</v>
      </c>
      <c r="K43" s="240">
        <f t="shared" si="6"/>
        <v>6834.0000000000009</v>
      </c>
      <c r="L43" s="241">
        <f t="shared" si="7"/>
        <v>0.032847876173533408</v>
      </c>
    </row>
    <row r="44" ht="21" customHeight="1" s="216" customFormat="1">
      <c r="A44" s="211">
        <v>10</v>
      </c>
      <c r="B44" s="212">
        <f>IF((تسعير!T5="جلفنة و جوتن"),(Table1[[#Totals],[الوزن]]+Table16[[#Totals],[الوزن]]+Table14[[#Totals],[الوزن]]),0)</f>
        <v>0</v>
      </c>
      <c r="C44" s="213" t="s">
        <v>132</v>
      </c>
      <c r="D44" s="214"/>
      <c r="E44" s="214"/>
      <c r="F44" s="214"/>
      <c r="G44" s="211"/>
      <c r="H44" s="211"/>
      <c r="I44" s="211"/>
      <c r="J44" s="248">
        <v>20</v>
      </c>
      <c r="K44" s="240">
        <f ref="K44:K48" t="shared" si="8">B44*J44</f>
        <v>0</v>
      </c>
      <c r="L44" s="251">
        <f t="shared" si="7"/>
        <v>0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0</v>
      </c>
      <c r="C45" s="213" t="s">
        <v>62</v>
      </c>
      <c r="D45" s="214"/>
      <c r="E45" s="214"/>
      <c r="F45" s="214"/>
      <c r="G45" s="211" t="s">
        <v>115</v>
      </c>
      <c r="H45" s="211"/>
      <c r="I45" s="211"/>
      <c r="J45" s="248">
        <f>Sheet2!B18</f>
        <v>450</v>
      </c>
      <c r="K45" s="240">
        <f t="shared" si="8"/>
        <v>0</v>
      </c>
      <c r="L45" s="251">
        <f t="shared" si="7"/>
        <v>0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0</v>
      </c>
      <c r="C46" s="218" t="s">
        <v>70</v>
      </c>
      <c r="D46" s="214"/>
      <c r="E46" s="214"/>
      <c r="F46" s="214"/>
      <c r="G46" s="218" t="s">
        <v>116</v>
      </c>
      <c r="H46" s="211"/>
      <c r="I46" s="211"/>
      <c r="J46" s="248">
        <f>Sheet2!B20</f>
        <v>550</v>
      </c>
      <c r="K46" s="240">
        <f t="shared" si="8"/>
        <v>0</v>
      </c>
      <c r="L46" s="251">
        <f t="shared" si="7"/>
        <v>0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0</v>
      </c>
      <c r="C47" s="218" t="s">
        <v>78</v>
      </c>
      <c r="D47" s="214"/>
      <c r="E47" s="214"/>
      <c r="F47" s="214"/>
      <c r="G47" s="218" t="s">
        <v>117</v>
      </c>
      <c r="H47" s="211"/>
      <c r="I47" s="211"/>
      <c r="J47" s="248">
        <f>Sheet2!B22</f>
        <v>160</v>
      </c>
      <c r="K47" s="240">
        <f t="shared" si="8"/>
        <v>0</v>
      </c>
      <c r="L47" s="251">
        <f t="shared" si="7"/>
        <v>0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0</v>
      </c>
      <c r="C48" s="218" t="s">
        <v>80</v>
      </c>
      <c r="D48" s="214"/>
      <c r="E48" s="214"/>
      <c r="F48" s="214"/>
      <c r="G48" s="218" t="s">
        <v>117</v>
      </c>
      <c r="H48" s="211"/>
      <c r="I48" s="211"/>
      <c r="J48" s="248">
        <f>Sheet2!B23</f>
        <v>160</v>
      </c>
      <c r="K48" s="240">
        <f t="shared" si="8"/>
        <v>0</v>
      </c>
      <c r="L48" s="251">
        <f t="shared" si="7"/>
        <v>0</v>
      </c>
    </row>
    <row r="49" ht="21" customHeight="1" s="216" customFormat="1">
      <c r="A49" s="211" t="s">
        <v>58</v>
      </c>
      <c r="B49" s="212"/>
      <c r="C49" s="213" t="s">
        <v>58</v>
      </c>
      <c r="D49" s="214"/>
      <c r="E49" s="214"/>
      <c r="F49" s="214"/>
      <c r="G49" s="211" t="s">
        <v>118</v>
      </c>
      <c r="H49" s="211"/>
      <c r="I49" s="211"/>
      <c r="J49" s="242"/>
      <c r="K49" s="240">
        <f>SUBTOTAL(109,Table13[اجمالي])</f>
        <v>13065.850877192985</v>
      </c>
      <c r="L49" s="244">
        <f>Table13[[#Totals],[اجمالي]]/$G$79</f>
        <v>0.062801500104753868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629" t="s">
        <v>119</v>
      </c>
      <c r="E51" s="629"/>
      <c r="F51" s="629"/>
      <c r="G51" s="629"/>
      <c r="H51" s="629"/>
      <c r="I51" s="629"/>
    </row>
    <row r="52" ht="21" customHeight="1" s="216" customFormat="1">
      <c r="A52" s="211" t="s">
        <v>27</v>
      </c>
      <c r="B52" s="211" t="s">
        <v>28</v>
      </c>
      <c r="C52" s="218" t="s">
        <v>29</v>
      </c>
      <c r="D52" s="211" t="s">
        <v>30</v>
      </c>
      <c r="E52" s="211" t="s">
        <v>9</v>
      </c>
      <c r="F52" s="211" t="s">
        <v>63</v>
      </c>
      <c r="G52" s="211" t="s">
        <v>32</v>
      </c>
      <c r="H52" s="211" t="s">
        <v>33</v>
      </c>
      <c r="I52" s="211" t="s">
        <v>64</v>
      </c>
      <c r="J52" s="211" t="s">
        <v>35</v>
      </c>
      <c r="K52" s="245" t="s">
        <v>36</v>
      </c>
      <c r="L52" s="211" t="s">
        <v>37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4</v>
      </c>
      <c r="C53" s="214" t="s">
        <v>120</v>
      </c>
      <c r="D53" s="214"/>
      <c r="E53" s="214"/>
      <c r="F53" s="214"/>
      <c r="G53" s="406" t="s">
        <v>43</v>
      </c>
      <c r="H53" s="211">
        <v>1.75</v>
      </c>
      <c r="I53" s="247">
        <f>J2/1000</f>
        <v>230</v>
      </c>
      <c r="J53" s="411">
        <f>Table1610[[#This Row],[سعر الكيلو]]*Table1610[[#This Row],[الوزن]]</f>
        <v>402.5</v>
      </c>
      <c r="K53" s="240">
        <f>B53*J53</f>
        <v>1610</v>
      </c>
      <c r="L53" s="241">
        <f>(Table1610[[#This Row],[اجمالي]])/$G$79</f>
        <v>0.0077385251155090394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0.5</v>
      </c>
      <c r="C54" s="214" t="s">
        <v>121</v>
      </c>
      <c r="D54" s="214"/>
      <c r="E54" s="214"/>
      <c r="F54" s="214"/>
      <c r="G54" s="406" t="s">
        <v>122</v>
      </c>
      <c r="H54" s="211"/>
      <c r="I54" s="247"/>
      <c r="J54" s="411">
        <f>Sheet2!B32</f>
        <v>7000</v>
      </c>
      <c r="K54" s="240">
        <f>B54*J54</f>
        <v>3500</v>
      </c>
      <c r="L54" s="241">
        <f>(Table1610[[#This Row],[اجمالي]])/$G$79</f>
        <v>0.016822880685889215</v>
      </c>
    </row>
    <row r="55" ht="21" customHeight="1" s="216" customFormat="1">
      <c r="A55" s="211" t="s">
        <v>58</v>
      </c>
      <c r="B55" s="219"/>
      <c r="C55" s="214" t="s">
        <v>58</v>
      </c>
      <c r="D55" s="214"/>
      <c r="E55" s="214"/>
      <c r="F55" s="214">
        <f>SUBTOTAL(109,Table1610[Column12])</f>
        <v>0</v>
      </c>
      <c r="G55" s="407"/>
      <c r="H55" s="211"/>
      <c r="I55" s="247"/>
      <c r="J55" s="411"/>
      <c r="K55" s="240">
        <f>SUBTOTAL(109,Table1610[اجمالي])</f>
        <v>5110</v>
      </c>
      <c r="L55" s="244">
        <f>Table1610[[#Totals],[اجمالي]]/$G$79</f>
        <v>0.024561405801398255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629" t="s">
        <v>123</v>
      </c>
      <c r="E56" s="629"/>
      <c r="F56" s="629"/>
      <c r="G56" s="629"/>
      <c r="H56" s="629"/>
      <c r="I56" s="629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27</v>
      </c>
      <c r="B57" s="211" t="s">
        <v>28</v>
      </c>
      <c r="C57" s="214" t="s">
        <v>124</v>
      </c>
      <c r="D57" s="211" t="s">
        <v>63</v>
      </c>
      <c r="E57" s="211" t="s">
        <v>9</v>
      </c>
      <c r="F57" s="408" t="s">
        <v>125</v>
      </c>
      <c r="G57" s="216" t="s">
        <v>126</v>
      </c>
      <c r="H57" s="409" t="s">
        <v>127</v>
      </c>
      <c r="I57" s="211" t="s">
        <v>30</v>
      </c>
      <c r="J57" s="211" t="s">
        <v>128</v>
      </c>
      <c r="K57" s="245" t="s">
        <v>36</v>
      </c>
      <c r="L57" s="211" t="s">
        <v>37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219">
        <v>1</v>
      </c>
      <c r="C58" s="214" t="s">
        <v>129</v>
      </c>
      <c r="D58" s="214"/>
      <c r="E58" s="211"/>
      <c r="F58" s="214"/>
      <c r="G58" s="214"/>
      <c r="H58" s="406">
        <f>'Cutting Ro-1'!$O$7</f>
        <v>2995.7472659743612</v>
      </c>
      <c r="I58" s="247"/>
      <c r="J58" s="411">
        <f>IF((Table1611[[#This Row],[عدد]]&gt;0),'Cutting Ro-1'!O8,0)</f>
        <v>119829.89063897445</v>
      </c>
      <c r="K58" s="240">
        <f>B58*Table1611[[#This Row],[سعر البرجولا كاملة]]</f>
        <v>119829.89063897445</v>
      </c>
      <c r="L58" s="241">
        <f>(K58)/$G$79</f>
        <v>0.57596684366360584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211">
        <v>4</v>
      </c>
      <c r="B59" s="212">
        <f>IF((F75="الاسكندرية"),0.25,0.1)</f>
        <v>0.1</v>
      </c>
      <c r="C59" s="213" t="s">
        <v>130</v>
      </c>
      <c r="D59" s="214"/>
      <c r="E59" s="211"/>
      <c r="G59" s="214"/>
      <c r="H59" s="211"/>
      <c r="I59" s="247"/>
      <c r="J59" s="248">
        <f>(K58)</f>
        <v>119829.89063897445</v>
      </c>
      <c r="K59" s="240">
        <f>B59*Table1611[[#This Row],[سعر البرجولا كاملة]]</f>
        <v>11982.989063897447</v>
      </c>
      <c r="L59" s="241">
        <f>(K59)/$G$79</f>
        <v>0.05759668436636059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 t="s">
        <v>58</v>
      </c>
      <c r="B60" s="212"/>
      <c r="C60" s="213" t="s">
        <v>58</v>
      </c>
      <c r="D60" s="216">
        <f>SUBTOTAL(109,Table1611[Column12])</f>
        <v>0</v>
      </c>
      <c r="E60" s="211"/>
      <c r="F60" s="214"/>
      <c r="G60" s="214"/>
      <c r="H60" s="211"/>
      <c r="I60" s="211"/>
      <c r="J60" s="242"/>
      <c r="K60" s="240">
        <f>SUBTOTAL(109,Table1611[اجمالي])</f>
        <v>131812.8797028719</v>
      </c>
      <c r="L60" s="244">
        <f>Table1611[[#Totals],[اجمالي]]/$G$79</f>
        <v>0.63356352802996641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C61" s="217"/>
      <c r="D61" s="629" t="s">
        <v>133</v>
      </c>
      <c r="E61" s="629"/>
      <c r="F61" s="629"/>
      <c r="G61" s="629"/>
      <c r="H61" s="629"/>
      <c r="I61" s="629"/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18.75">
      <c r="A62" s="211" t="s">
        <v>27</v>
      </c>
      <c r="B62" s="211" t="s">
        <v>28</v>
      </c>
      <c r="C62" s="218" t="s">
        <v>29</v>
      </c>
      <c r="D62" s="211" t="s">
        <v>134</v>
      </c>
      <c r="E62" s="211" t="s">
        <v>12</v>
      </c>
      <c r="F62" s="211" t="s">
        <v>135</v>
      </c>
      <c r="G62" s="211" t="s">
        <v>136</v>
      </c>
      <c r="H62" s="211" t="s">
        <v>63</v>
      </c>
      <c r="I62" s="211" t="s">
        <v>137</v>
      </c>
      <c r="J62" s="211" t="s">
        <v>138</v>
      </c>
      <c r="K62" s="245" t="s">
        <v>36</v>
      </c>
      <c r="L62" s="211" t="s">
        <v>37</v>
      </c>
    </row>
    <row r="63" ht="18.75">
      <c r="A63" s="211">
        <v>1</v>
      </c>
      <c r="B63" s="219">
        <v>4</v>
      </c>
      <c r="C63" s="220" t="s">
        <v>139</v>
      </c>
      <c r="D63" s="211">
        <f>IF((Table1612[[#This Row],[موقع العمل]]="المصنع"),200,IF((Table1612[[#This Row],[موقع العمل]]="الاسكندرية"),200,250))</f>
        <v>200</v>
      </c>
      <c r="E63" s="211">
        <f>SUMIF(Table17[Column1],Table1612[[#This Row],[موقع العمل]],$Q$2:$Q$20)</f>
        <v>0</v>
      </c>
      <c r="F63" s="211" t="s">
        <v>140</v>
      </c>
      <c r="G63" s="214" t="s">
        <v>39</v>
      </c>
      <c r="H63" s="216"/>
      <c r="I63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3" s="240">
        <f ref="K63:K75" t="shared" si="9">B63*J63</f>
        <v>800</v>
      </c>
      <c r="L63" s="241">
        <f ref="L63:L75" t="shared" si="10">(K63)/$G$79</f>
        <v>0.0038452298710603926</v>
      </c>
    </row>
    <row r="64" ht="18.75">
      <c r="A64" s="211">
        <v>2</v>
      </c>
      <c r="B64" s="219">
        <v>3</v>
      </c>
      <c r="C64" s="220" t="s">
        <v>141</v>
      </c>
      <c r="D64" s="211">
        <f>IF((Table1612[[#This Row],[موقع العمل]]="المصنع"),200,IF((Table1612[[#This Row],[موقع العمل]]="الاسكندرية"),200,250))</f>
        <v>200</v>
      </c>
      <c r="E64" s="211">
        <f>SUMIF(Table17[Column1],Table1612[[#This Row],[موقع العمل]],$Q$2:$Q$20)</f>
        <v>0</v>
      </c>
      <c r="F64" s="211" t="s">
        <v>140</v>
      </c>
      <c r="G64" s="214" t="s">
        <v>39</v>
      </c>
      <c r="H64" s="216"/>
      <c r="I64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4" s="240">
        <f t="shared" si="9"/>
        <v>600</v>
      </c>
      <c r="L64" s="241">
        <f t="shared" si="10"/>
        <v>0.0028839224032952944</v>
      </c>
    </row>
    <row r="65" ht="18.75">
      <c r="A65" s="211">
        <v>3</v>
      </c>
      <c r="B65" s="219">
        <v>3</v>
      </c>
      <c r="C65" s="220" t="s">
        <v>142</v>
      </c>
      <c r="D65" s="211">
        <f>IF((Table1612[[#This Row],[موقع العمل]]="المصنع"),200,IF((Table1612[[#This Row],[موقع العمل]]="الاسكندرية"),200,250))</f>
        <v>200</v>
      </c>
      <c r="E65" s="211">
        <f>SUMIF(Table17[Column1],Table1612[[#This Row],[موقع العمل]],$Q$2:$Q$20)</f>
        <v>0</v>
      </c>
      <c r="F65" s="211" t="s">
        <v>140</v>
      </c>
      <c r="G65" s="214" t="s">
        <v>39</v>
      </c>
      <c r="H65" s="216"/>
      <c r="I65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5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400</v>
      </c>
      <c r="K65" s="240">
        <f t="shared" si="9"/>
        <v>1200</v>
      </c>
      <c r="L65" s="241">
        <f t="shared" si="10"/>
        <v>0.0057678448065905889</v>
      </c>
    </row>
    <row r="66" ht="18.75">
      <c r="A66" s="211">
        <v>4</v>
      </c>
      <c r="B66" s="212">
        <v>3</v>
      </c>
      <c r="C66" s="220" t="s">
        <v>143</v>
      </c>
      <c r="D66" s="211">
        <f>IF((Table1612[[#This Row],[موقع العمل]]="المصنع"),200,IF((Table1612[[#This Row],[موقع العمل]]="الاسكندرية"),200,250))</f>
        <v>200</v>
      </c>
      <c r="E66" s="211">
        <f>SUMIF(Table17[Column1],Table1612[[#This Row],[موقع العمل]],$Q$2:$Q$20)</f>
        <v>0</v>
      </c>
      <c r="F66" s="211" t="s">
        <v>140</v>
      </c>
      <c r="G66" s="214" t="s">
        <v>39</v>
      </c>
      <c r="H66" s="216"/>
      <c r="I66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1.5</v>
      </c>
      <c r="J66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300</v>
      </c>
      <c r="K66" s="240">
        <f t="shared" si="9"/>
        <v>900</v>
      </c>
      <c r="L66" s="241">
        <f t="shared" si="10"/>
        <v>0.0043258836049429412</v>
      </c>
    </row>
    <row r="67" ht="18.75">
      <c r="A67" s="211">
        <v>5</v>
      </c>
      <c r="B67" s="212">
        <v>4</v>
      </c>
      <c r="C67" s="220" t="s">
        <v>144</v>
      </c>
      <c r="D67" s="211">
        <f>IF((Table1612[[#This Row],[موقع العمل]]="المصنع"),200,IF((Table1612[[#This Row],[موقع العمل]]="الاسكندرية"),200,250))</f>
        <v>250</v>
      </c>
      <c r="E67" s="211">
        <f>SUMIF(Table17[Column1],Table1612[[#This Row],[موقع العمل]],$Q$2:$Q$20)</f>
        <v>75</v>
      </c>
      <c r="F67" s="211" t="str">
        <f>تسعير!$T$4</f>
        <v>الشيخ زايد</v>
      </c>
      <c r="G67" s="214" t="s">
        <v>39</v>
      </c>
      <c r="H67" s="216"/>
      <c r="I67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7" s="240">
        <f t="shared" si="9"/>
        <v>3900</v>
      </c>
      <c r="L67" s="241">
        <f t="shared" si="10"/>
        <v>0.018745495621419413</v>
      </c>
    </row>
    <row r="68" ht="18.75">
      <c r="A68" s="211">
        <v>6</v>
      </c>
      <c r="B68" s="212">
        <v>3</v>
      </c>
      <c r="C68" s="220" t="s">
        <v>145</v>
      </c>
      <c r="D68" s="211">
        <f>IF((Table1612[[#This Row],[موقع العمل]]="المصنع"),200,IF((Table1612[[#This Row],[موقع العمل]]="الاسكندرية"),200,250))</f>
        <v>250</v>
      </c>
      <c r="E68" s="211">
        <f>SUMIF(Table17[Column1],Table1612[[#This Row],[موقع العمل]],$Q$2:$Q$20)</f>
        <v>75</v>
      </c>
      <c r="F68" s="211" t="str">
        <f>تسعير!$T$4</f>
        <v>الشيخ زايد</v>
      </c>
      <c r="G68" s="214" t="s">
        <v>39</v>
      </c>
      <c r="H68" s="216"/>
      <c r="I68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8" s="240">
        <f t="shared" si="9"/>
        <v>2925</v>
      </c>
      <c r="L68" s="241">
        <f t="shared" si="10"/>
        <v>0.014059121716064559</v>
      </c>
    </row>
    <row r="69" ht="18.75">
      <c r="A69" s="211">
        <v>7</v>
      </c>
      <c r="B69" s="212">
        <v>0</v>
      </c>
      <c r="C69" s="220" t="s">
        <v>146</v>
      </c>
      <c r="D69" s="211">
        <f>IF((Table1612[[#This Row],[موقع العمل]]="المصنع"),200,IF((Table1612[[#This Row],[موقع العمل]]="الاسكندرية"),200,250))</f>
        <v>250</v>
      </c>
      <c r="E69" s="211">
        <f>SUMIF(Table17[Column1],Table1612[[#This Row],[موقع العمل]],$Q$2:$Q$20)</f>
        <v>75</v>
      </c>
      <c r="F69" s="211" t="str">
        <f>تسعير!$T$4</f>
        <v>الشيخ زايد</v>
      </c>
      <c r="G69" s="214" t="s">
        <v>39</v>
      </c>
      <c r="H69" s="216"/>
      <c r="I69" s="243"/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69" s="240">
        <f t="shared" si="9"/>
        <v>0</v>
      </c>
      <c r="L69" s="241">
        <f t="shared" si="10"/>
        <v>0</v>
      </c>
    </row>
    <row r="70" ht="18.75">
      <c r="A70" s="211">
        <v>8</v>
      </c>
      <c r="B70" s="212">
        <v>4</v>
      </c>
      <c r="C70" s="220" t="s">
        <v>147</v>
      </c>
      <c r="D70" s="211">
        <f>IF((Table1612[[#This Row],[موقع العمل]]="المصنع"),200,IF((Table1612[[#This Row],[موقع العمل]]="الاسكندرية"),200,250))</f>
        <v>250</v>
      </c>
      <c r="E70" s="211">
        <f>SUMIF(Table17[Column1],Table1612[[#This Row],[موقع العمل]],$Q$2:$Q$20)</f>
        <v>75</v>
      </c>
      <c r="F70" s="211" t="str">
        <f>تسعير!$T$4</f>
        <v>الشيخ زايد</v>
      </c>
      <c r="G70" s="214" t="s">
        <v>39</v>
      </c>
      <c r="H70" s="216"/>
      <c r="I70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3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70" s="240">
        <f t="shared" si="9"/>
        <v>3900</v>
      </c>
      <c r="L70" s="241">
        <f t="shared" si="10"/>
        <v>0.018745495621419413</v>
      </c>
    </row>
    <row r="71" ht="18.75">
      <c r="A71" s="211">
        <v>9</v>
      </c>
      <c r="B71" s="212">
        <f>(B67+B68+B69+B70)*2</f>
        <v>22</v>
      </c>
      <c r="C71" s="220" t="s">
        <v>148</v>
      </c>
      <c r="D71" s="211"/>
      <c r="E71" s="211"/>
      <c r="F71" s="211" t="str">
        <f>تسعير!$T$4</f>
        <v>الشيخ زايد</v>
      </c>
      <c r="G71" s="214"/>
      <c r="H71" s="247">
        <f>SUMIF(Table17[Column1],Table1612[[#This Row],[موقع العمل]],$O$2:$O$20)</f>
        <v>120</v>
      </c>
      <c r="I71" s="247"/>
      <c r="J71" s="243">
        <f>Table1612[[#This Row],[Column12]]</f>
        <v>120</v>
      </c>
      <c r="K71" s="240">
        <f t="shared" si="9"/>
        <v>2640</v>
      </c>
      <c r="L71" s="241">
        <f t="shared" si="10"/>
        <v>0.012689258574499296</v>
      </c>
    </row>
    <row r="72" ht="18.75">
      <c r="A72" s="211">
        <v>10</v>
      </c>
      <c r="B72" s="212">
        <f>((I67+I68+I69+I70)*2)-2</f>
        <v>16</v>
      </c>
      <c r="C72" s="220" t="s">
        <v>149</v>
      </c>
      <c r="D72" s="211"/>
      <c r="E72" s="211"/>
      <c r="F72" s="211" t="str">
        <f>تسعير!$T$4</f>
        <v>الشيخ زايد</v>
      </c>
      <c r="G72" s="214"/>
      <c r="H72" s="247">
        <f>SUMIF(Table17[Column1],Table1612[[#This Row],[موقع العمل]],$P$2:$P$20)</f>
        <v>250</v>
      </c>
      <c r="I72" s="247"/>
      <c r="J72" s="243">
        <f>Table1612[[#This Row],[Column12]]</f>
        <v>250</v>
      </c>
      <c r="K72" s="240">
        <f t="shared" si="9"/>
        <v>4000</v>
      </c>
      <c r="L72" s="241">
        <f t="shared" si="10"/>
        <v>0.019226149355301963</v>
      </c>
    </row>
    <row r="73" ht="18.75">
      <c r="A73" s="211">
        <v>11</v>
      </c>
      <c r="B73" s="212">
        <v>2</v>
      </c>
      <c r="C73" s="220" t="s">
        <v>150</v>
      </c>
      <c r="D73" s="211"/>
      <c r="E73" s="211"/>
      <c r="F73" s="211" t="str">
        <f>تسعير!$T$4</f>
        <v>الشيخ زايد</v>
      </c>
      <c r="G73" s="214"/>
      <c r="H73" s="247">
        <f>SUMIF(Table17[Column1],Table1612[[#This Row],[موقع العمل]],$R$2:$R$20)</f>
        <v>1500</v>
      </c>
      <c r="I73" s="247"/>
      <c r="J73" s="243">
        <f>Table1612[[#This Row],[Column12]]</f>
        <v>1500</v>
      </c>
      <c r="K73" s="240">
        <f t="shared" si="9"/>
        <v>3000</v>
      </c>
      <c r="L73" s="241">
        <f t="shared" si="10"/>
        <v>0.014419612016476471</v>
      </c>
    </row>
    <row r="74" ht="18.75">
      <c r="A74" s="211">
        <v>12</v>
      </c>
      <c r="B74" s="212">
        <v>2</v>
      </c>
      <c r="C74" s="220" t="s">
        <v>151</v>
      </c>
      <c r="D74" s="211"/>
      <c r="E74" s="211"/>
      <c r="F74" s="211" t="str">
        <f>تسعير!$T$4</f>
        <v>الشيخ زايد</v>
      </c>
      <c r="G74" s="214"/>
      <c r="H74" s="247">
        <f>SUMIF(Table17[Column1],Table1612[[#This Row],[موقع العمل]],$S$2:$S$20)</f>
        <v>2300</v>
      </c>
      <c r="I74" s="247"/>
      <c r="J74" s="243">
        <f>Table1612[[#This Row],[Column12]]</f>
        <v>2300</v>
      </c>
      <c r="K74" s="240">
        <f t="shared" si="9"/>
        <v>4600</v>
      </c>
      <c r="L74" s="241">
        <f t="shared" si="10"/>
        <v>0.022110071758597256</v>
      </c>
    </row>
    <row r="75" ht="18.75">
      <c r="A75" s="211">
        <v>13</v>
      </c>
      <c r="B75" s="212">
        <f>B72</f>
        <v>16</v>
      </c>
      <c r="C75" s="220" t="s">
        <v>15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العمل]],$T$2:$T$20)</f>
        <v>120</v>
      </c>
      <c r="I75" s="247"/>
      <c r="J75" s="243">
        <f>Table1612[[#This Row],[Column12]]</f>
        <v>120</v>
      </c>
      <c r="K75" s="240">
        <f t="shared" si="9"/>
        <v>1920</v>
      </c>
      <c r="L75" s="241">
        <f t="shared" si="10"/>
        <v>0.0092285516905449422</v>
      </c>
    </row>
    <row r="76" ht="18.75">
      <c r="A76" s="518" t="s">
        <v>58</v>
      </c>
      <c r="B76" s="519"/>
      <c r="C76" s="520" t="s">
        <v>58</v>
      </c>
      <c r="D76" s="518"/>
      <c r="E76" s="518"/>
      <c r="F76" s="521"/>
      <c r="G76" s="521"/>
      <c r="H76" s="522">
        <f>SUBTOTAL(109,Table1612[Column12])</f>
        <v>4290</v>
      </c>
      <c r="I76" s="518"/>
      <c r="J76" s="523"/>
      <c r="K76" s="524">
        <f>SUBTOTAL(109,Table1612[اجمالي])</f>
        <v>30385</v>
      </c>
      <c r="L76" s="525">
        <f>Table1612[[#Totals],[اجمالي]]/$G$79</f>
        <v>0.14604663704021254</v>
      </c>
    </row>
    <row r="77" ht="18.75">
      <c r="A77" s="216"/>
      <c r="B77" s="216"/>
      <c r="C77" s="217"/>
      <c r="D77" s="622"/>
      <c r="E77" s="622"/>
      <c r="F77" s="622"/>
      <c r="G77" s="622"/>
      <c r="H77" s="622"/>
      <c r="I77" s="622"/>
      <c r="J77" s="216"/>
      <c r="K77" s="216"/>
      <c r="L77" s="216"/>
    </row>
    <row r="78" ht="18.75">
      <c r="A78" s="211"/>
      <c r="B78" s="211"/>
      <c r="C78" s="218" t="s">
        <v>9</v>
      </c>
      <c r="D78" s="211" t="s">
        <v>152</v>
      </c>
      <c r="E78" s="211" t="s">
        <v>153</v>
      </c>
      <c r="F78" s="211" t="s">
        <v>154</v>
      </c>
      <c r="G78" s="211" t="s">
        <v>30</v>
      </c>
      <c r="H78" s="211"/>
      <c r="I78" s="211"/>
      <c r="J78" s="211"/>
      <c r="K78" s="245"/>
      <c r="L78" s="211"/>
    </row>
    <row r="79" ht="18.75">
      <c r="A79" s="211"/>
      <c r="B79" s="219"/>
      <c r="C79" s="213" t="s">
        <v>155</v>
      </c>
      <c r="D79" s="214"/>
      <c r="E79" s="211"/>
      <c r="F79" s="290"/>
      <c r="G79" s="291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208049.98058006488</v>
      </c>
      <c r="H79" s="211"/>
      <c r="I79" s="211"/>
      <c r="J79" s="243"/>
      <c r="K79" s="292"/>
      <c r="L79" s="293"/>
    </row>
    <row r="80" ht="18.75">
      <c r="A80" s="211"/>
      <c r="B80" s="212"/>
      <c r="C80" s="213" t="s">
        <v>156</v>
      </c>
      <c r="D80" s="214"/>
      <c r="E80" s="211"/>
      <c r="F80" s="320">
        <f>IF((F75="المقطم"),0.3,IF((F75="التجمع"),0.3,IF((F75="الشيخ زايد"),0.3,IF((F75="الاسكندرية"),0.5,IF((F75="الساحل"),0.5,0.35)))))</f>
        <v>0.3</v>
      </c>
      <c r="G80" s="291">
        <f>G79*(1+Table18[[#This Row],[Column3]])</f>
        <v>270464.97475408437</v>
      </c>
      <c r="H80" s="211"/>
      <c r="I80" s="211"/>
      <c r="J80" s="243"/>
      <c r="K80" s="292"/>
      <c r="L80" s="293"/>
    </row>
    <row r="81" ht="18.75">
      <c r="A81" s="211"/>
      <c r="B81" s="219"/>
      <c r="H81" s="211"/>
      <c r="I81" s="211"/>
      <c r="J81" s="243"/>
      <c r="K81" s="292"/>
      <c r="L81" s="293"/>
    </row>
    <row r="82" ht="18.75">
      <c r="A82" s="211"/>
      <c r="B82" s="212"/>
      <c r="H82" s="211"/>
      <c r="I82" s="242"/>
      <c r="J82" s="243"/>
      <c r="K82" s="292"/>
      <c r="L82" s="293"/>
    </row>
    <row r="83" ht="18.75">
      <c r="A83" s="211"/>
      <c r="B83" s="219"/>
      <c r="H83" s="211"/>
      <c r="I83" s="242"/>
      <c r="J83" s="247"/>
      <c r="K83" s="292"/>
      <c r="L83" s="293"/>
    </row>
    <row r="84" ht="18.75">
      <c r="A84" s="211"/>
      <c r="B84" s="212"/>
      <c r="H84" s="211"/>
      <c r="I84" s="211"/>
      <c r="J84" s="242"/>
      <c r="K84" s="292"/>
      <c r="L84" s="216"/>
    </row>
  </sheetData>
  <sheetProtection selectLockedCells="1" selectUnlockedCells="1"/>
  <mergeCells>
    <mergeCell ref="D77:I77"/>
    <mergeCell ref="A1:C2"/>
    <mergeCell ref="D28:I28"/>
    <mergeCell ref="D33:I33"/>
    <mergeCell ref="D51:I51"/>
    <mergeCell ref="D56:I56"/>
    <mergeCell ref="D61:I61"/>
    <mergeCell ref="A3:B3"/>
    <mergeCell ref="G3:I3"/>
    <mergeCell ref="D4:I4"/>
    <mergeCell ref="D10:I10"/>
    <mergeCell ref="D15:I15"/>
  </mergeCells>
  <dataValidations count="2">
    <dataValidation type="list" allowBlank="1" showInputMessage="1" showErrorMessage="1" sqref="F67:F75" xr:uid="{E89B5FEC-2067-4888-9B92-FB8EE2A5F97C}">
      <formula1>$N$2:$N$20</formula1>
    </dataValidation>
    <dataValidation type="list" allowBlank="1" showInputMessage="1" showErrorMessage="1" sqref="G63:G75" xr:uid="{85B8681A-1C7C-451D-B2F3-98DD68F128D0}">
      <formula1>$U$4:$U$5</formula1>
    </dataValidation>
  </dataValidations>
  <printOptions horizontalCentered="1" verticalCentered="1"/>
  <pageMargins left="0" right="0" top="0" bottom="0" header="0" footer="0"/>
  <pageSetup paperSize="9" scale="49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23">
    <pageSetUpPr fitToPage="1"/>
  </sheetPr>
  <dimension ref="A1:AB89"/>
  <sheetViews>
    <sheetView rightToLeft="1" view="pageBreakPreview" zoomScale="85" zoomScaleNormal="55" zoomScaleSheetLayoutView="85" workbookViewId="0">
      <selection activeCell="C9" sqref="C9"/>
    </sheetView>
  </sheetViews>
  <sheetFormatPr defaultColWidth="9.140625" defaultRowHeight="15"/>
  <cols>
    <col min="1" max="1" width="4.5703125" customWidth="1" style="207"/>
    <col min="2" max="2" width="14.140625" customWidth="1" style="207"/>
    <col min="3" max="3" width="45.140625" customWidth="1" style="369"/>
    <col min="4" max="6" width="13.5703125" customWidth="1" style="207"/>
    <col min="7" max="7" width="28.5703125" customWidth="1" style="233"/>
    <col min="8" max="8" width="25" customWidth="1" style="404"/>
    <col min="9" max="9" hidden="1" width="14.85546875" customWidth="1" style="233"/>
    <col min="10" max="10" width="16" customWidth="1" style="233"/>
    <col min="11" max="11" width="15.42578125" customWidth="1" style="233"/>
    <col min="12" max="12" width="11" customWidth="1" style="233"/>
    <col min="13" max="13" width="9.140625" customWidth="1" style="207"/>
    <col min="14" max="14" width="17.85546875" customWidth="1" style="207"/>
    <col min="15" max="23" width="9.140625" customWidth="1" style="207"/>
    <col min="24" max="24" width="9.140625" customWidth="1" style="207"/>
    <col min="25" max="25" width="50.28515625" customWidth="1" style="207"/>
    <col min="26" max="26" width="11.42578125" customWidth="1" style="207"/>
    <col min="27" max="27" width="19.7109375" customWidth="1" style="207"/>
    <col min="28" max="28" width="21.5703125" customWidth="1" style="207"/>
    <col min="29" max="16384" width="9.140625" customWidth="1" style="207"/>
  </cols>
  <sheetData>
    <row r="1" ht="16.5" customHeight="1">
      <c r="A1" s="623" t="s">
        <v>0</v>
      </c>
      <c r="B1" s="624"/>
      <c r="C1" s="625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0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26"/>
      <c r="B2" s="627"/>
      <c r="C2" s="628"/>
      <c r="D2" s="203"/>
      <c r="E2" s="204"/>
      <c r="F2" s="228">
        <f>D2*E2</f>
        <v>0</v>
      </c>
      <c r="G2" s="229" t="e">
        <f>G85/F2</f>
        <v>#DIV/0!</v>
      </c>
      <c r="H2" s="230">
        <f>Sheet2!B12</f>
        <v>50000</v>
      </c>
      <c r="I2" s="231">
        <f>Sheet2!B13</f>
        <v>55000</v>
      </c>
      <c r="J2" s="232">
        <f>Sheet2!B14</f>
        <v>230000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500</v>
      </c>
      <c r="S2" s="216">
        <v>1000</v>
      </c>
      <c r="T2" s="216">
        <v>0</v>
      </c>
    </row>
    <row r="3" ht="29.25" customHeight="1">
      <c r="A3" s="630" t="s">
        <v>17</v>
      </c>
      <c r="B3" s="631"/>
      <c r="C3" s="405"/>
      <c r="F3" s="234" t="s">
        <v>18</v>
      </c>
      <c r="G3" s="632">
        <f>NOW()</f>
        <v>45447.291791192132</v>
      </c>
      <c r="H3" s="633"/>
      <c r="I3" s="633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75</v>
      </c>
      <c r="R3" s="216">
        <v>1300</v>
      </c>
      <c r="S3" s="216">
        <v>2000</v>
      </c>
      <c r="T3" s="216">
        <v>750</v>
      </c>
    </row>
    <row r="4" ht="18.75" customHeight="1">
      <c r="A4" s="208"/>
      <c r="B4" s="208"/>
      <c r="C4" s="209"/>
      <c r="D4" s="629" t="s">
        <v>20</v>
      </c>
      <c r="E4" s="629"/>
      <c r="F4" s="629"/>
      <c r="G4" s="629"/>
      <c r="H4" s="629"/>
      <c r="I4" s="629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75</v>
      </c>
      <c r="R4" s="216">
        <v>1500</v>
      </c>
      <c r="S4" s="216">
        <v>2300</v>
      </c>
      <c r="T4" s="216">
        <v>120</v>
      </c>
      <c r="U4" s="207" t="s">
        <v>22</v>
      </c>
      <c r="Y4" s="207" t="s">
        <v>23</v>
      </c>
      <c r="Z4" s="207" t="s">
        <v>24</v>
      </c>
      <c r="AA4" s="207" t="s">
        <v>25</v>
      </c>
      <c r="AB4" s="207" t="s">
        <v>26</v>
      </c>
    </row>
    <row r="5" ht="16.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34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75</v>
      </c>
      <c r="R5" s="216">
        <v>1600</v>
      </c>
      <c r="S5" s="216">
        <v>2300</v>
      </c>
      <c r="T5" s="216">
        <v>120</v>
      </c>
      <c r="U5" s="207" t="s">
        <v>39</v>
      </c>
      <c r="Y5" s="233" t="s">
        <v>40</v>
      </c>
      <c r="Z5" s="233">
        <v>1.4</v>
      </c>
      <c r="AA5" s="237" t="s">
        <v>41</v>
      </c>
      <c r="AB5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0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5</v>
      </c>
      <c r="C6" s="215" t="s">
        <v>42</v>
      </c>
      <c r="D6" s="214">
        <v>0.03</v>
      </c>
      <c r="E6" s="214">
        <v>0.03</v>
      </c>
      <c r="F6" s="214">
        <f>(Table118[[#This Row],[Column1]]+Table118[[#This Row],[Column2]])*12*Table118[[#This Row],[عدد]]</f>
        <v>3.5999999999999996</v>
      </c>
      <c r="G6" s="242" t="s">
        <v>43</v>
      </c>
      <c r="H6" s="211">
        <v>8.5</v>
      </c>
      <c r="I6" s="211">
        <f>Table118[[#This Row],[الوزن]]*Table118[[#This Row],[عدد]]</f>
        <v>42.5</v>
      </c>
      <c r="J6" s="243">
        <f>H6*$H$2/1000</f>
        <v>425</v>
      </c>
      <c r="K6" s="240">
        <f>B6*J6</f>
        <v>2125</v>
      </c>
      <c r="L6" s="241">
        <f>(K6)/$G$84</f>
        <v>0.0056062582035974308</v>
      </c>
      <c r="N6" s="216" t="s">
        <v>44</v>
      </c>
      <c r="O6" s="216">
        <v>120</v>
      </c>
      <c r="P6" s="216">
        <v>250</v>
      </c>
      <c r="Q6" s="216">
        <v>75</v>
      </c>
      <c r="R6" s="216">
        <v>1600</v>
      </c>
      <c r="S6" s="216">
        <v>2300</v>
      </c>
      <c r="T6" s="216">
        <v>120</v>
      </c>
      <c r="Y6" s="216" t="s">
        <v>45</v>
      </c>
      <c r="Z6" s="216">
        <v>0.25</v>
      </c>
      <c r="AA6" s="216" t="s">
        <v>46</v>
      </c>
      <c r="AB6" s="216">
        <f>(AB5*Table625[[#This Row],[المعدل]]+4)</f>
        <v>4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8</v>
      </c>
      <c r="C7" s="215" t="s">
        <v>47</v>
      </c>
      <c r="D7" s="399">
        <v>0.1</v>
      </c>
      <c r="E7" s="399">
        <v>0.1</v>
      </c>
      <c r="F7" s="214">
        <f>(Table118[[#This Row],[Column1]]+Table118[[#This Row],[Column2]])*12*Table118[[#This Row],[عدد]]</f>
        <v>19.200000000000003</v>
      </c>
      <c r="G7" s="242" t="s">
        <v>43</v>
      </c>
      <c r="H7" s="211">
        <v>46.75</v>
      </c>
      <c r="I7" s="211">
        <f>Table118[[#This Row],[الوزن]]*Table118[[#This Row],[عدد]]</f>
        <v>374</v>
      </c>
      <c r="J7" s="243">
        <f ref="J7:J9" t="shared" si="1">H7*$H$2/1000</f>
        <v>2337.5</v>
      </c>
      <c r="K7" s="240">
        <f ref="K7:K9" t="shared" si="2">B7*J7</f>
        <v>18700</v>
      </c>
      <c r="L7" s="241">
        <f>(K7)/$G$84</f>
        <v>0.049335072191657392</v>
      </c>
      <c r="N7" s="216" t="s">
        <v>48</v>
      </c>
      <c r="O7" s="216">
        <v>75</v>
      </c>
      <c r="P7" s="216">
        <v>100</v>
      </c>
      <c r="Q7" s="216">
        <v>75</v>
      </c>
      <c r="R7" s="216">
        <v>2000</v>
      </c>
      <c r="S7" s="216">
        <v>3500</v>
      </c>
      <c r="T7" s="216">
        <v>250</v>
      </c>
      <c r="Y7" s="216" t="s">
        <v>49</v>
      </c>
      <c r="Z7" s="216">
        <v>2</v>
      </c>
      <c r="AA7" s="211" t="s">
        <v>50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18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3</v>
      </c>
      <c r="C8" s="215" t="s">
        <v>51</v>
      </c>
      <c r="D8" s="399">
        <v>0.1</v>
      </c>
      <c r="E8" s="399">
        <v>0.05</v>
      </c>
      <c r="F8" s="214">
        <f>(Table118[[#This Row],[Column1]]+Table118[[#This Row],[Column2]])*12*Table118[[#This Row],[عدد]]</f>
        <v>5.4</v>
      </c>
      <c r="G8" s="211" t="s">
        <v>43</v>
      </c>
      <c r="H8" s="211">
        <v>28.25</v>
      </c>
      <c r="I8" s="211">
        <f>Table118[[#This Row],[الوزن]]*Table118[[#This Row],[عدد]]</f>
        <v>84.75</v>
      </c>
      <c r="J8" s="243">
        <f t="shared" si="1"/>
        <v>1412.5</v>
      </c>
      <c r="K8" s="240">
        <f t="shared" si="2"/>
        <v>4237.5</v>
      </c>
      <c r="L8" s="241">
        <f>(K8)/$G$84</f>
        <v>0.011179538417761935</v>
      </c>
      <c r="N8" s="216" t="s">
        <v>52</v>
      </c>
      <c r="O8" s="216">
        <v>30</v>
      </c>
      <c r="P8" s="216">
        <v>30</v>
      </c>
      <c r="Q8" s="216">
        <v>75</v>
      </c>
      <c r="R8" s="216">
        <v>800</v>
      </c>
      <c r="S8" s="216">
        <v>1600</v>
      </c>
      <c r="T8" s="216">
        <v>150</v>
      </c>
      <c r="Y8" s="216" t="s">
        <v>53</v>
      </c>
      <c r="Z8" s="216">
        <v>1.8</v>
      </c>
      <c r="AA8" s="211" t="s">
        <v>50</v>
      </c>
      <c r="AB8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0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2</v>
      </c>
      <c r="C9" s="215" t="s">
        <v>54</v>
      </c>
      <c r="D9" s="399">
        <v>0.15</v>
      </c>
      <c r="E9" s="399">
        <v>0.05</v>
      </c>
      <c r="F9" s="214">
        <f>(Table118[[#This Row],[Column1]]+Table118[[#This Row],[Column2]])*12*Table118[[#This Row],[عدد]]</f>
        <v>4.8000000000000007</v>
      </c>
      <c r="G9" s="211" t="s">
        <v>43</v>
      </c>
      <c r="H9" s="211">
        <v>56</v>
      </c>
      <c r="I9" s="211">
        <f>Table118[[#This Row],[الوزن]]*Table118[[#This Row],[عدد]]</f>
        <v>112</v>
      </c>
      <c r="J9" s="243">
        <f t="shared" si="1"/>
        <v>2800</v>
      </c>
      <c r="K9" s="240">
        <f t="shared" si="2"/>
        <v>5600</v>
      </c>
      <c r="L9" s="241">
        <f>(K9)/$G$84</f>
        <v>0.014774139265950878</v>
      </c>
      <c r="N9" s="216" t="s">
        <v>55</v>
      </c>
      <c r="O9" s="216">
        <v>50</v>
      </c>
      <c r="P9" s="216">
        <v>50</v>
      </c>
      <c r="Q9" s="216">
        <v>75</v>
      </c>
      <c r="R9" s="216">
        <v>1200</v>
      </c>
      <c r="S9" s="216">
        <v>2200</v>
      </c>
      <c r="T9" s="216">
        <v>150</v>
      </c>
      <c r="Y9" s="216" t="s">
        <v>56</v>
      </c>
      <c r="AA9" s="216" t="s">
        <v>57</v>
      </c>
    </row>
    <row r="10" ht="21" customHeight="1" s="216" customFormat="1">
      <c r="A10" s="211"/>
      <c r="B10" s="212"/>
      <c r="C10" s="213" t="s">
        <v>58</v>
      </c>
      <c r="D10" s="214"/>
      <c r="E10" s="214"/>
      <c r="F10" s="216">
        <f>SUBTOTAL(109,Table118[المسطح])</f>
        <v>33</v>
      </c>
      <c r="G10" s="211"/>
      <c r="H10" s="211"/>
      <c r="I10" s="211">
        <f>SUBTOTAL(109,Table118[اجمالي الميزان])</f>
        <v>613.25</v>
      </c>
      <c r="J10" s="242"/>
      <c r="K10" s="240">
        <f>SUBTOTAL(109,Table118[اجمالي])</f>
        <v>30662.5</v>
      </c>
      <c r="L10" s="244">
        <f>Table118[[#Totals],[اجمالي]]/$G$84</f>
        <v>0.080895008078967642</v>
      </c>
      <c r="N10" s="216" t="s">
        <v>59</v>
      </c>
      <c r="O10" s="216">
        <v>50</v>
      </c>
      <c r="P10" s="216">
        <v>50</v>
      </c>
      <c r="Q10" s="216">
        <v>75</v>
      </c>
      <c r="R10" s="216">
        <v>1200</v>
      </c>
      <c r="S10" s="216">
        <v>2500</v>
      </c>
      <c r="T10" s="216">
        <v>150</v>
      </c>
    </row>
    <row r="11" ht="21" customHeight="1" s="216" customFormat="1">
      <c r="C11" s="217"/>
      <c r="D11" s="629" t="s">
        <v>60</v>
      </c>
      <c r="E11" s="629"/>
      <c r="F11" s="629"/>
      <c r="G11" s="629"/>
      <c r="H11" s="629"/>
      <c r="I11" s="629"/>
      <c r="L11" s="410"/>
      <c r="N11" s="216" t="s">
        <v>61</v>
      </c>
      <c r="O11" s="216">
        <v>75</v>
      </c>
      <c r="P11" s="216">
        <v>50</v>
      </c>
      <c r="Q11" s="216">
        <v>75</v>
      </c>
      <c r="R11" s="216">
        <v>1200</v>
      </c>
      <c r="S11" s="216">
        <v>2500</v>
      </c>
      <c r="T11" s="216">
        <v>150</v>
      </c>
      <c r="Y11" s="213" t="s">
        <v>62</v>
      </c>
      <c r="Z11" s="216">
        <v>1.85</v>
      </c>
      <c r="AB11" s="538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19.935135135135134</v>
      </c>
    </row>
    <row r="12" ht="21" customHeight="1" s="216" customFormat="1">
      <c r="A12" s="211" t="s">
        <v>27</v>
      </c>
      <c r="B12" s="211" t="s">
        <v>28</v>
      </c>
      <c r="C12" s="218" t="s">
        <v>29</v>
      </c>
      <c r="D12" s="211" t="s">
        <v>30</v>
      </c>
      <c r="E12" s="211" t="s">
        <v>9</v>
      </c>
      <c r="F12" s="211" t="s">
        <v>63</v>
      </c>
      <c r="G12" s="211" t="s">
        <v>32</v>
      </c>
      <c r="H12" s="211" t="s">
        <v>33</v>
      </c>
      <c r="I12" s="211" t="s">
        <v>64</v>
      </c>
      <c r="J12" s="211" t="s">
        <v>35</v>
      </c>
      <c r="K12" s="245" t="s">
        <v>36</v>
      </c>
      <c r="L12" s="211" t="s">
        <v>37</v>
      </c>
      <c r="N12" s="216" t="s">
        <v>65</v>
      </c>
      <c r="O12" s="216">
        <v>75</v>
      </c>
      <c r="P12" s="216">
        <v>50</v>
      </c>
      <c r="Q12" s="216">
        <v>75</v>
      </c>
      <c r="R12" s="216">
        <v>1600</v>
      </c>
      <c r="S12" s="216">
        <v>3000</v>
      </c>
      <c r="T12" s="216">
        <v>150</v>
      </c>
      <c r="Y12" s="218" t="s">
        <v>66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0</v>
      </c>
      <c r="C13" s="213" t="s">
        <v>67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0</v>
      </c>
      <c r="G13" s="211" t="s">
        <v>68</v>
      </c>
      <c r="H13" s="211">
        <v>202</v>
      </c>
      <c r="I13" s="211">
        <f>Table1421[[#This Row],[الوزن]]*Table1421[[#This Row],[عدد]]</f>
        <v>0</v>
      </c>
      <c r="J13" s="243">
        <f ref="J13:J14" t="shared" si="3">H13*$I$2/1000</f>
        <v>11110</v>
      </c>
      <c r="K13" s="240">
        <f ref="K13:K14" t="shared" si="4">B13*J13</f>
        <v>0</v>
      </c>
      <c r="L13" s="241">
        <f>(K13)/$G$84</f>
        <v>0</v>
      </c>
      <c r="N13" s="216" t="s">
        <v>69</v>
      </c>
      <c r="O13" s="216">
        <v>75</v>
      </c>
      <c r="P13" s="216">
        <v>50</v>
      </c>
      <c r="Q13" s="216">
        <v>75</v>
      </c>
      <c r="R13" s="216">
        <v>1600</v>
      </c>
      <c r="S13" s="216">
        <v>2500</v>
      </c>
      <c r="T13" s="216">
        <v>150</v>
      </c>
      <c r="Y13" s="218" t="s">
        <v>70</v>
      </c>
      <c r="Z13" s="216">
        <v>1.85</v>
      </c>
      <c r="AB13" s="539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19.935135135135134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71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43</v>
      </c>
      <c r="H14" s="211">
        <v>101</v>
      </c>
      <c r="I14" s="211">
        <f>Table1421[[#This Row],[الوزن]]*Table1421[[#This Row],[عدد]]</f>
        <v>0</v>
      </c>
      <c r="J14" s="243">
        <f t="shared" si="3"/>
        <v>5555</v>
      </c>
      <c r="K14" s="240">
        <f t="shared" si="4"/>
        <v>0</v>
      </c>
      <c r="L14" s="241">
        <f>(K14)/$G$84</f>
        <v>0</v>
      </c>
      <c r="N14" s="216" t="s">
        <v>72</v>
      </c>
      <c r="O14" s="216">
        <v>100</v>
      </c>
      <c r="P14" s="216">
        <v>50</v>
      </c>
      <c r="Q14" s="216">
        <v>75</v>
      </c>
      <c r="R14" s="216">
        <v>2000</v>
      </c>
      <c r="S14" s="216">
        <v>3000</v>
      </c>
      <c r="T14" s="216">
        <v>150</v>
      </c>
      <c r="Y14" s="218" t="s">
        <v>73</v>
      </c>
    </row>
    <row r="15" ht="21" customHeight="1" s="216" customFormat="1">
      <c r="A15" s="211" t="s">
        <v>58</v>
      </c>
      <c r="B15" s="212"/>
      <c r="C15" s="213" t="s">
        <v>58</v>
      </c>
      <c r="D15" s="214"/>
      <c r="E15" s="214"/>
      <c r="F15" s="214">
        <f>SUBTOTAL(109,Table1421[Column12])</f>
        <v>0</v>
      </c>
      <c r="G15" s="211"/>
      <c r="H15" s="211"/>
      <c r="I15" s="211">
        <f>SUBTOTAL(109,Table1421[سعر الكيلو])</f>
        <v>0</v>
      </c>
      <c r="J15" s="239"/>
      <c r="K15" s="240">
        <f>SUBTOTAL(109,Table1421[اجمالي])</f>
        <v>0</v>
      </c>
      <c r="L15" s="244">
        <f>Table1421[[#Totals],[اجمالي]]/$G$84</f>
        <v>0</v>
      </c>
      <c r="N15" s="216" t="s">
        <v>74</v>
      </c>
      <c r="O15" s="216">
        <v>120</v>
      </c>
      <c r="P15" s="216">
        <v>50</v>
      </c>
      <c r="Q15" s="216">
        <v>75</v>
      </c>
      <c r="R15" s="216">
        <v>2000</v>
      </c>
      <c r="S15" s="216">
        <v>3500</v>
      </c>
      <c r="T15" s="216">
        <v>200</v>
      </c>
      <c r="Y15" s="218" t="s">
        <v>75</v>
      </c>
    </row>
    <row r="16" ht="21" customHeight="1" s="216" customFormat="1">
      <c r="C16" s="217"/>
      <c r="D16" s="629" t="s">
        <v>76</v>
      </c>
      <c r="E16" s="629"/>
      <c r="F16" s="629"/>
      <c r="G16" s="629"/>
      <c r="H16" s="629"/>
      <c r="I16" s="629"/>
      <c r="N16" s="216" t="s">
        <v>77</v>
      </c>
      <c r="O16" s="216">
        <v>150</v>
      </c>
      <c r="P16" s="216">
        <v>50</v>
      </c>
      <c r="Q16" s="216">
        <v>75</v>
      </c>
      <c r="R16" s="216">
        <v>2200</v>
      </c>
      <c r="S16" s="216">
        <v>4000</v>
      </c>
      <c r="T16" s="216">
        <v>200</v>
      </c>
      <c r="Y16" s="218" t="s">
        <v>78</v>
      </c>
      <c r="Z16" s="216">
        <v>0.25</v>
      </c>
      <c r="AB16" s="539">
        <f>IF((تسعير!T25="B"),(AB13*Table625[[#This Row],[المعدل]]),0)</f>
        <v>4.9837837837837835</v>
      </c>
    </row>
    <row r="17" ht="18.75" s="216" customFormat="1">
      <c r="A17" s="211" t="s">
        <v>27</v>
      </c>
      <c r="B17" s="211" t="s">
        <v>28</v>
      </c>
      <c r="C17" s="218" t="s">
        <v>29</v>
      </c>
      <c r="D17" s="211" t="s">
        <v>30</v>
      </c>
      <c r="E17" s="211" t="s">
        <v>9</v>
      </c>
      <c r="F17" s="211" t="s">
        <v>63</v>
      </c>
      <c r="G17" s="211" t="s">
        <v>32</v>
      </c>
      <c r="H17" s="211" t="s">
        <v>33</v>
      </c>
      <c r="I17" s="211" t="s">
        <v>64</v>
      </c>
      <c r="J17" s="211" t="s">
        <v>35</v>
      </c>
      <c r="K17" s="245" t="s">
        <v>36</v>
      </c>
      <c r="L17" s="211" t="s">
        <v>37</v>
      </c>
      <c r="N17" s="216" t="s">
        <v>79</v>
      </c>
      <c r="O17" s="216">
        <v>150</v>
      </c>
      <c r="P17" s="216">
        <v>50</v>
      </c>
      <c r="Q17" s="216">
        <v>75</v>
      </c>
      <c r="R17" s="216">
        <v>2200</v>
      </c>
      <c r="S17" s="216">
        <v>4000</v>
      </c>
      <c r="T17" s="216">
        <v>200</v>
      </c>
      <c r="Y17" s="218" t="s">
        <v>80</v>
      </c>
      <c r="Z17" s="216">
        <v>0.25</v>
      </c>
      <c r="AB17" s="539">
        <f>IF((تسعير!T25="B"),(AB11*Table625[[#This Row],[المعدل]]),0)</f>
        <v>4.9837837837837835</v>
      </c>
    </row>
    <row r="18" ht="18.75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3</v>
      </c>
      <c r="C18" s="213" t="s">
        <v>81</v>
      </c>
      <c r="D18" s="214"/>
      <c r="E18" s="214"/>
      <c r="F18" s="214"/>
      <c r="G18" s="211" t="s">
        <v>82</v>
      </c>
      <c r="H18" s="211"/>
      <c r="I18" s="242"/>
      <c r="J18" s="247">
        <f>Sheet2!B28</f>
        <v>400</v>
      </c>
      <c r="K18" s="240">
        <f ref="K18:K27" t="shared" si="5">B18*J18</f>
        <v>1200</v>
      </c>
      <c r="L18" s="241">
        <f ref="L18:L27" t="shared" si="6">(K18)/$G$84</f>
        <v>0.0031658869855609021</v>
      </c>
      <c r="N18" s="216" t="s">
        <v>83</v>
      </c>
      <c r="O18" s="216">
        <v>500</v>
      </c>
      <c r="P18" s="216">
        <v>200</v>
      </c>
      <c r="Q18" s="216">
        <v>100</v>
      </c>
      <c r="R18" s="216">
        <v>3500</v>
      </c>
      <c r="S18" s="216">
        <v>6000</v>
      </c>
      <c r="T18" s="216">
        <v>300</v>
      </c>
    </row>
    <row r="19" ht="18.75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4</v>
      </c>
      <c r="C19" s="213" t="s">
        <v>84</v>
      </c>
      <c r="D19" s="214"/>
      <c r="E19" s="214"/>
      <c r="F19" s="214"/>
      <c r="G19" s="211" t="s">
        <v>85</v>
      </c>
      <c r="H19" s="211"/>
      <c r="I19" s="242"/>
      <c r="J19" s="247">
        <v>250</v>
      </c>
      <c r="K19" s="240">
        <f t="shared" si="5"/>
        <v>1000</v>
      </c>
      <c r="L19" s="241">
        <f t="shared" si="6"/>
        <v>0.0026382391546340852</v>
      </c>
      <c r="N19" s="216" t="s">
        <v>86</v>
      </c>
      <c r="O19" s="216">
        <v>500</v>
      </c>
      <c r="P19" s="216">
        <v>200</v>
      </c>
      <c r="Q19" s="216">
        <v>100</v>
      </c>
      <c r="R19" s="216">
        <v>4000</v>
      </c>
      <c r="S19" s="216">
        <v>6500</v>
      </c>
      <c r="T19" s="216">
        <v>300</v>
      </c>
    </row>
    <row r="20" ht="18.75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5</v>
      </c>
      <c r="C20" s="213" t="s">
        <v>87</v>
      </c>
      <c r="D20" s="214"/>
      <c r="E20" s="214"/>
      <c r="F20" s="214"/>
      <c r="G20" s="211" t="s">
        <v>28</v>
      </c>
      <c r="H20" s="211"/>
      <c r="I20" s="242"/>
      <c r="J20" s="247">
        <v>85</v>
      </c>
      <c r="K20" s="240">
        <f t="shared" si="5"/>
        <v>425</v>
      </c>
      <c r="L20" s="241">
        <f t="shared" si="6"/>
        <v>0.0011212516407194861</v>
      </c>
      <c r="N20" s="216" t="s">
        <v>88</v>
      </c>
      <c r="O20" s="216">
        <v>550</v>
      </c>
      <c r="P20" s="216">
        <v>200</v>
      </c>
      <c r="Q20" s="216">
        <v>100</v>
      </c>
      <c r="R20" s="216">
        <v>5000</v>
      </c>
      <c r="S20" s="216">
        <v>7000</v>
      </c>
      <c r="T20" s="216">
        <v>300</v>
      </c>
    </row>
    <row r="21" ht="18.75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3</v>
      </c>
      <c r="C21" s="213" t="s">
        <v>89</v>
      </c>
      <c r="D21" s="214"/>
      <c r="E21" s="214"/>
      <c r="F21" s="214"/>
      <c r="G21" s="211" t="s">
        <v>28</v>
      </c>
      <c r="H21" s="211"/>
      <c r="I21" s="242"/>
      <c r="J21" s="247">
        <v>75</v>
      </c>
      <c r="K21" s="240">
        <f t="shared" si="5"/>
        <v>225</v>
      </c>
      <c r="L21" s="241">
        <f t="shared" si="6"/>
        <v>0.00059360380979266917</v>
      </c>
    </row>
    <row r="22" ht="18.75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32</v>
      </c>
      <c r="C22" s="213" t="s">
        <v>90</v>
      </c>
      <c r="D22" s="214"/>
      <c r="E22" s="214"/>
      <c r="F22" s="214"/>
      <c r="G22" s="247" t="s">
        <v>91</v>
      </c>
      <c r="H22" s="247"/>
      <c r="I22" s="242"/>
      <c r="J22" s="247">
        <v>30</v>
      </c>
      <c r="K22" s="240">
        <f t="shared" si="5"/>
        <v>960</v>
      </c>
      <c r="L22" s="241">
        <f t="shared" si="6"/>
        <v>0.0025327095884487218</v>
      </c>
    </row>
    <row r="23" ht="18.75" s="216" customFormat="1">
      <c r="A23" s="211">
        <v>6</v>
      </c>
      <c r="B23" s="219">
        <f>B19*3</f>
        <v>12</v>
      </c>
      <c r="C23" s="213" t="s">
        <v>92</v>
      </c>
      <c r="D23" s="214"/>
      <c r="E23" s="214"/>
      <c r="F23" s="214"/>
      <c r="G23" s="247" t="s">
        <v>93</v>
      </c>
      <c r="H23" s="247"/>
      <c r="I23" s="242"/>
      <c r="J23" s="247">
        <v>10</v>
      </c>
      <c r="K23" s="240">
        <f t="shared" si="5"/>
        <v>120</v>
      </c>
      <c r="L23" s="241">
        <f t="shared" si="6"/>
        <v>0.00031658869855609022</v>
      </c>
    </row>
    <row r="24" ht="18.75" s="216" customFormat="1">
      <c r="A24" s="211">
        <v>7</v>
      </c>
      <c r="B24" s="212">
        <f>IF((Table2020[Column2]="no"),0,(تسعير!AA33/100))</f>
        <v>12</v>
      </c>
      <c r="C24" s="215" t="s">
        <v>94</v>
      </c>
      <c r="D24" s="399"/>
      <c r="E24" s="399"/>
      <c r="F24" s="399"/>
      <c r="G24" s="248" t="s">
        <v>93</v>
      </c>
      <c r="H24" s="248"/>
      <c r="I24" s="248"/>
      <c r="J24" s="248">
        <f>Sheet2!B29</f>
        <v>1000</v>
      </c>
      <c r="K24" s="240">
        <f t="shared" si="5"/>
        <v>12000</v>
      </c>
      <c r="L24" s="241">
        <f t="shared" si="6"/>
        <v>0.03165886985560902</v>
      </c>
    </row>
    <row r="25" ht="18.75" s="216" customFormat="1">
      <c r="A25" s="211">
        <v>8</v>
      </c>
      <c r="B25" s="219">
        <f>B19*10</f>
        <v>40</v>
      </c>
      <c r="C25" s="215" t="s">
        <v>95</v>
      </c>
      <c r="D25" s="399"/>
      <c r="E25" s="399"/>
      <c r="F25" s="399"/>
      <c r="G25" s="248" t="s">
        <v>96</v>
      </c>
      <c r="H25" s="248"/>
      <c r="I25" s="248"/>
      <c r="J25" s="248">
        <v>1</v>
      </c>
      <c r="K25" s="240">
        <f t="shared" si="5"/>
        <v>40</v>
      </c>
      <c r="L25" s="241">
        <f t="shared" si="6"/>
        <v>0.0001055295661853634</v>
      </c>
    </row>
    <row r="26" ht="18.75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97</v>
      </c>
      <c r="D26" s="214"/>
      <c r="E26" s="214"/>
      <c r="F26" s="214"/>
      <c r="G26" s="211" t="s">
        <v>91</v>
      </c>
      <c r="H26" s="211"/>
      <c r="I26" s="242"/>
      <c r="J26" s="243">
        <f>Sheet2!B30</f>
        <v>1200</v>
      </c>
      <c r="K26" s="240">
        <f t="shared" si="5"/>
        <v>0</v>
      </c>
      <c r="L26" s="241">
        <f t="shared" si="6"/>
        <v>0</v>
      </c>
    </row>
    <row r="27" ht="18.75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3</v>
      </c>
      <c r="C27" s="213" t="s">
        <v>98</v>
      </c>
      <c r="D27" s="214"/>
      <c r="E27" s="214"/>
      <c r="F27" s="214"/>
      <c r="G27" s="211" t="s">
        <v>91</v>
      </c>
      <c r="H27" s="211"/>
      <c r="I27" s="242"/>
      <c r="J27" s="243">
        <f>Sheet2!B31</f>
        <v>450</v>
      </c>
      <c r="K27" s="240">
        <f t="shared" si="5"/>
        <v>1350</v>
      </c>
      <c r="L27" s="241">
        <f t="shared" si="6"/>
        <v>0.003561622858756015</v>
      </c>
    </row>
    <row r="28" ht="18.75" s="216" customFormat="1">
      <c r="A28" s="211" t="s">
        <v>58</v>
      </c>
      <c r="B28" s="212"/>
      <c r="C28" s="213" t="s">
        <v>58</v>
      </c>
      <c r="D28" s="214"/>
      <c r="E28" s="214"/>
      <c r="G28" s="211"/>
      <c r="H28" s="211"/>
      <c r="I28" s="211"/>
      <c r="J28" s="242"/>
      <c r="K28" s="240">
        <f>SUBTOTAL(109,Table1522[اجمالي])</f>
        <v>17320</v>
      </c>
      <c r="L28" s="244">
        <f>Table1522[[#Totals],[اجمالي]]/$G$84</f>
        <v>0.045694302158262354</v>
      </c>
    </row>
    <row r="29" ht="18.75" s="216" customFormat="1">
      <c r="C29" s="217"/>
      <c r="D29" s="629" t="s">
        <v>99</v>
      </c>
      <c r="E29" s="629"/>
      <c r="F29" s="629"/>
      <c r="G29" s="629"/>
      <c r="H29" s="629"/>
      <c r="I29" s="629"/>
    </row>
    <row r="30" ht="18.75" s="216" customFormat="1">
      <c r="A30" s="211" t="s">
        <v>27</v>
      </c>
      <c r="B30" s="211" t="s">
        <v>28</v>
      </c>
      <c r="C30" s="218" t="s">
        <v>29</v>
      </c>
      <c r="D30" s="211" t="s">
        <v>30</v>
      </c>
      <c r="E30" s="211" t="s">
        <v>9</v>
      </c>
      <c r="F30" s="211" t="s">
        <v>63</v>
      </c>
      <c r="G30" s="211" t="s">
        <v>32</v>
      </c>
      <c r="H30" s="211" t="s">
        <v>33</v>
      </c>
      <c r="I30" s="211" t="s">
        <v>64</v>
      </c>
      <c r="J30" s="211" t="s">
        <v>35</v>
      </c>
      <c r="K30" s="245" t="s">
        <v>36</v>
      </c>
      <c r="L30" s="211" t="s">
        <v>37</v>
      </c>
    </row>
    <row r="31" ht="18.75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8</v>
      </c>
      <c r="C31" s="213" t="s">
        <v>100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2.5600000000000005</v>
      </c>
      <c r="G31" s="250" t="s">
        <v>85</v>
      </c>
      <c r="H31" s="211">
        <v>14</v>
      </c>
      <c r="I31" s="211">
        <f ref="I31:I32" t="shared" si="7">$H$2/1000</f>
        <v>50</v>
      </c>
      <c r="J31" s="243">
        <f ref="J31:J32" t="shared" si="8">H31*$H$2/1000</f>
        <v>700</v>
      </c>
      <c r="K31" s="240">
        <f ref="K31:K32" t="shared" si="9">B31*J31</f>
        <v>5600</v>
      </c>
      <c r="L31" s="241">
        <f>(K31)/$G$84</f>
        <v>0.014774139265950878</v>
      </c>
    </row>
    <row r="32" ht="18.75" s="216" customFormat="1">
      <c r="A32" s="211">
        <v>8</v>
      </c>
      <c r="B32" s="212">
        <f>B31*4</f>
        <v>32</v>
      </c>
      <c r="C32" s="213" t="s">
        <v>101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0.32000000000000006</v>
      </c>
      <c r="G32" s="211" t="s">
        <v>85</v>
      </c>
      <c r="H32" s="211">
        <v>1.5</v>
      </c>
      <c r="I32" s="211">
        <f t="shared" si="7"/>
        <v>50</v>
      </c>
      <c r="J32" s="243">
        <f t="shared" si="8"/>
        <v>75</v>
      </c>
      <c r="K32" s="240">
        <f t="shared" si="9"/>
        <v>2400</v>
      </c>
      <c r="L32" s="251">
        <f>(K32)/$G$84</f>
        <v>0.0063317739711218042</v>
      </c>
    </row>
    <row r="33" ht="18.75" s="216" customFormat="1">
      <c r="A33" s="211" t="s">
        <v>58</v>
      </c>
      <c r="B33" s="212">
        <f>SUBTOTAL(103,Table1624[عدد])</f>
        <v>2</v>
      </c>
      <c r="C33" s="213" t="s">
        <v>58</v>
      </c>
      <c r="D33" s="214"/>
      <c r="E33" s="214"/>
      <c r="F33" s="216">
        <f>SUBTOTAL(109,Table1624[Column12])</f>
        <v>2.8800000000000008</v>
      </c>
      <c r="G33" s="211"/>
      <c r="H33" s="211">
        <f>H31*B31+H32*B32</f>
        <v>160</v>
      </c>
      <c r="I33" s="211"/>
      <c r="J33" s="242"/>
      <c r="K33" s="240">
        <f>SUBTOTAL(109,Table1624[اجمالي])</f>
        <v>8000</v>
      </c>
      <c r="L33" s="244">
        <f>Table1624[[#Totals],[اجمالي]]/$G$84</f>
        <v>0.021105913237072681</v>
      </c>
    </row>
    <row r="34" ht="18.75" s="216" customFormat="1">
      <c r="C34" s="217"/>
      <c r="D34" s="629" t="s">
        <v>102</v>
      </c>
      <c r="E34" s="629"/>
      <c r="F34" s="629"/>
      <c r="G34" s="629"/>
      <c r="H34" s="629"/>
      <c r="I34" s="629"/>
    </row>
    <row r="35" ht="18.75" s="216" customFormat="1">
      <c r="A35" s="211" t="s">
        <v>27</v>
      </c>
      <c r="B35" s="211" t="s">
        <v>28</v>
      </c>
      <c r="C35" s="218" t="s">
        <v>29</v>
      </c>
      <c r="D35" s="211" t="s">
        <v>30</v>
      </c>
      <c r="E35" s="211" t="s">
        <v>9</v>
      </c>
      <c r="F35" s="211" t="s">
        <v>63</v>
      </c>
      <c r="G35" s="211" t="s">
        <v>32</v>
      </c>
      <c r="H35" s="211" t="s">
        <v>33</v>
      </c>
      <c r="I35" s="211" t="s">
        <v>64</v>
      </c>
      <c r="J35" s="211" t="s">
        <v>35</v>
      </c>
      <c r="K35" s="245" t="s">
        <v>36</v>
      </c>
      <c r="L35" s="211" t="s">
        <v>37</v>
      </c>
    </row>
    <row r="36" ht="18.75" s="216" customFormat="1">
      <c r="A36" s="211">
        <v>1</v>
      </c>
      <c r="B36" s="222">
        <f>AB7/3</f>
        <v>6</v>
      </c>
      <c r="C36" s="213" t="s">
        <v>103</v>
      </c>
      <c r="D36" s="214"/>
      <c r="E36" s="214"/>
      <c r="F36" s="214"/>
      <c r="G36" s="211" t="s">
        <v>104</v>
      </c>
      <c r="H36" s="211"/>
      <c r="I36" s="211"/>
      <c r="J36" s="248">
        <f>Sheet2!B24</f>
        <v>400</v>
      </c>
      <c r="K36" s="240">
        <f ref="K36:K44" t="shared" si="10">B36*J36</f>
        <v>2400</v>
      </c>
      <c r="L36" s="241">
        <f ref="L36:L49" t="shared" si="11">(K36)/$G$84</f>
        <v>0.0063317739711218042</v>
      </c>
    </row>
    <row r="37" ht="18.75" s="216" customFormat="1">
      <c r="A37" s="211">
        <v>7</v>
      </c>
      <c r="B37" s="222">
        <f>AB6/2</f>
        <v>2</v>
      </c>
      <c r="C37" s="213" t="s">
        <v>45</v>
      </c>
      <c r="D37" s="214"/>
      <c r="E37" s="214"/>
      <c r="F37" s="214"/>
      <c r="G37" s="211" t="s">
        <v>105</v>
      </c>
      <c r="H37" s="211"/>
      <c r="I37" s="211"/>
      <c r="J37" s="248">
        <f>Sheet2!B25</f>
        <v>105</v>
      </c>
      <c r="K37" s="240">
        <f t="shared" si="10"/>
        <v>210</v>
      </c>
      <c r="L37" s="241">
        <f t="shared" si="11"/>
        <v>0.0005540302224731579</v>
      </c>
    </row>
    <row r="38" ht="18.75" s="216" customFormat="1">
      <c r="A38" s="211">
        <v>8</v>
      </c>
      <c r="B38" s="222">
        <f>AB5</f>
        <v>0</v>
      </c>
      <c r="C38" s="213" t="s">
        <v>106</v>
      </c>
      <c r="D38" s="214"/>
      <c r="E38" s="214"/>
      <c r="F38" s="214"/>
      <c r="G38" s="211" t="s">
        <v>85</v>
      </c>
      <c r="H38" s="211"/>
      <c r="I38" s="211"/>
      <c r="J38" s="248">
        <f>Sheet2!B26</f>
        <v>250</v>
      </c>
      <c r="K38" s="240">
        <f t="shared" si="10"/>
        <v>0</v>
      </c>
      <c r="L38" s="241">
        <f t="shared" si="11"/>
        <v>0</v>
      </c>
    </row>
    <row r="39" ht="18.75" s="216" customFormat="1">
      <c r="A39" s="211">
        <v>9</v>
      </c>
      <c r="B39" s="222">
        <f>AB8</f>
        <v>0</v>
      </c>
      <c r="C39" s="213" t="s">
        <v>107</v>
      </c>
      <c r="D39" s="214"/>
      <c r="E39" s="214"/>
      <c r="F39" s="214"/>
      <c r="G39" s="211" t="s">
        <v>85</v>
      </c>
      <c r="H39" s="211"/>
      <c r="I39" s="211"/>
      <c r="J39" s="248">
        <f>Sheet2!B27</f>
        <v>510</v>
      </c>
      <c r="K39" s="240">
        <f t="shared" si="10"/>
        <v>0</v>
      </c>
      <c r="L39" s="241">
        <f t="shared" si="11"/>
        <v>0</v>
      </c>
    </row>
    <row r="40" ht="18.75" s="216" customFormat="1">
      <c r="A40" s="211">
        <v>2</v>
      </c>
      <c r="B40" s="219">
        <v>5</v>
      </c>
      <c r="C40" s="218" t="s">
        <v>108</v>
      </c>
      <c r="D40" s="211"/>
      <c r="E40" s="211"/>
      <c r="F40" s="211"/>
      <c r="G40" s="211" t="s">
        <v>109</v>
      </c>
      <c r="H40" s="211"/>
      <c r="I40" s="211"/>
      <c r="J40" s="248">
        <v>15</v>
      </c>
      <c r="K40" s="240">
        <f t="shared" si="10"/>
        <v>75</v>
      </c>
      <c r="L40" s="241">
        <f t="shared" si="11"/>
        <v>0.00019786793659755638</v>
      </c>
    </row>
    <row r="41" ht="18.75" s="216" customFormat="1">
      <c r="A41" s="211">
        <v>3</v>
      </c>
      <c r="B41" s="212">
        <v>5</v>
      </c>
      <c r="C41" s="218" t="s">
        <v>110</v>
      </c>
      <c r="D41" s="211"/>
      <c r="E41" s="211"/>
      <c r="F41" s="211"/>
      <c r="G41" s="211" t="s">
        <v>109</v>
      </c>
      <c r="H41" s="211"/>
      <c r="I41" s="211"/>
      <c r="J41" s="248">
        <v>15</v>
      </c>
      <c r="K41" s="240">
        <f t="shared" si="10"/>
        <v>75</v>
      </c>
      <c r="L41" s="241">
        <f t="shared" si="11"/>
        <v>0.00019786793659755638</v>
      </c>
    </row>
    <row r="42" ht="18.75" s="216" customFormat="1">
      <c r="A42" s="211">
        <v>4</v>
      </c>
      <c r="B42" s="219">
        <v>10</v>
      </c>
      <c r="C42" s="213" t="s">
        <v>111</v>
      </c>
      <c r="D42" s="214"/>
      <c r="E42" s="214"/>
      <c r="F42" s="214"/>
      <c r="G42" s="211" t="s">
        <v>112</v>
      </c>
      <c r="H42" s="211"/>
      <c r="I42" s="211"/>
      <c r="J42" s="248">
        <v>25</v>
      </c>
      <c r="K42" s="240">
        <f t="shared" si="10"/>
        <v>250</v>
      </c>
      <c r="L42" s="241">
        <f t="shared" si="11"/>
        <v>0.00065955978865852129</v>
      </c>
    </row>
    <row r="43" ht="18.75" s="216" customFormat="1">
      <c r="A43" s="211">
        <v>5</v>
      </c>
      <c r="B43" s="212">
        <v>5</v>
      </c>
      <c r="C43" s="213" t="s">
        <v>113</v>
      </c>
      <c r="D43" s="214"/>
      <c r="E43" s="214"/>
      <c r="F43" s="214"/>
      <c r="G43" s="211" t="s">
        <v>112</v>
      </c>
      <c r="H43" s="211"/>
      <c r="I43" s="211"/>
      <c r="J43" s="248">
        <v>150</v>
      </c>
      <c r="K43" s="240">
        <f t="shared" si="10"/>
        <v>750</v>
      </c>
      <c r="L43" s="241">
        <f t="shared" si="11"/>
        <v>0.0019786793659755638</v>
      </c>
    </row>
    <row r="44" ht="18.75" s="216" customFormat="1">
      <c r="A44" s="211">
        <v>6</v>
      </c>
      <c r="B44" s="219">
        <v>5</v>
      </c>
      <c r="C44" s="213" t="s">
        <v>114</v>
      </c>
      <c r="D44" s="214"/>
      <c r="E44" s="214"/>
      <c r="F44" s="214"/>
      <c r="G44" s="211" t="s">
        <v>85</v>
      </c>
      <c r="H44" s="211"/>
      <c r="I44" s="211"/>
      <c r="J44" s="248">
        <v>40</v>
      </c>
      <c r="K44" s="240">
        <f t="shared" si="10"/>
        <v>200</v>
      </c>
      <c r="L44" s="241">
        <f t="shared" si="11"/>
        <v>0.00052764783092681706</v>
      </c>
    </row>
    <row r="45" ht="18.75" s="216" customFormat="1">
      <c r="A45" s="211">
        <v>10</v>
      </c>
      <c r="B45" s="212"/>
      <c r="C45" s="213"/>
      <c r="D45" s="214"/>
      <c r="E45" s="214"/>
      <c r="F45" s="214"/>
      <c r="G45" s="211"/>
      <c r="H45" s="211"/>
      <c r="I45" s="211"/>
      <c r="J45" s="248"/>
      <c r="K45" s="240">
        <f>B45*J45</f>
        <v>0</v>
      </c>
      <c r="L45" s="251">
        <f t="shared" si="11"/>
        <v>0</v>
      </c>
    </row>
    <row r="46" ht="18.75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20</v>
      </c>
      <c r="C46" s="213" t="s">
        <v>62</v>
      </c>
      <c r="D46" s="214"/>
      <c r="E46" s="214"/>
      <c r="F46" s="214"/>
      <c r="G46" s="211" t="s">
        <v>115</v>
      </c>
      <c r="H46" s="211" t="str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بستله</v>
      </c>
      <c r="I46" s="248">
        <f>Sheet2!B18</f>
        <v>450</v>
      </c>
      <c r="J46" s="248"/>
      <c r="K46" s="240">
        <f>B46*Table1319[[#This Row],[سعر الكيلو]]</f>
        <v>9000</v>
      </c>
      <c r="L46" s="251">
        <f t="shared" si="11"/>
        <v>0.023744152391706769</v>
      </c>
    </row>
    <row r="47" ht="18.75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20</v>
      </c>
      <c r="C47" s="218" t="s">
        <v>70</v>
      </c>
      <c r="D47" s="214"/>
      <c r="E47" s="214"/>
      <c r="F47" s="214"/>
      <c r="G47" s="218" t="s">
        <v>116</v>
      </c>
      <c r="H47" s="211" t="str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بستله</v>
      </c>
      <c r="I47" s="248">
        <f>Sheet2!B20</f>
        <v>550</v>
      </c>
      <c r="J47" s="248"/>
      <c r="K47" s="240">
        <f>B47*Table1319[[#This Row],[سعر الكيلو]]</f>
        <v>11000</v>
      </c>
      <c r="L47" s="251">
        <f t="shared" si="11"/>
        <v>0.029020630700974936</v>
      </c>
    </row>
    <row r="48" ht="18.75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5</v>
      </c>
      <c r="C48" s="218" t="s">
        <v>78</v>
      </c>
      <c r="D48" s="214"/>
      <c r="E48" s="214"/>
      <c r="F48" s="214"/>
      <c r="G48" s="218" t="s">
        <v>117</v>
      </c>
      <c r="H48" s="211" t="str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جالون</v>
      </c>
      <c r="I48" s="247">
        <f>Sheet2!B22</f>
        <v>160</v>
      </c>
      <c r="J48" s="248"/>
      <c r="K48" s="240">
        <f>B48*Table1319[[#This Row],[سعر الكيلو]]</f>
        <v>800</v>
      </c>
      <c r="L48" s="251">
        <f t="shared" si="11"/>
        <v>0.0021105913237072682</v>
      </c>
    </row>
    <row r="49" ht="18.75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5</v>
      </c>
      <c r="C49" s="218" t="s">
        <v>80</v>
      </c>
      <c r="D49" s="214"/>
      <c r="E49" s="214"/>
      <c r="F49" s="214"/>
      <c r="G49" s="218" t="s">
        <v>117</v>
      </c>
      <c r="H49" s="211" t="str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جالون</v>
      </c>
      <c r="I49" s="248">
        <f>Sheet2!B23</f>
        <v>160</v>
      </c>
      <c r="J49" s="248"/>
      <c r="K49" s="240">
        <f>B49*Table1319[[#This Row],[سعر الكيلو]]</f>
        <v>800</v>
      </c>
      <c r="L49" s="251">
        <f t="shared" si="11"/>
        <v>0.0021105913237072682</v>
      </c>
    </row>
    <row r="50" ht="18.75" s="216" customFormat="1">
      <c r="A50" s="211" t="s">
        <v>58</v>
      </c>
      <c r="B50" s="212"/>
      <c r="C50" s="213" t="s">
        <v>58</v>
      </c>
      <c r="D50" s="214"/>
      <c r="E50" s="214"/>
      <c r="F50" s="214"/>
      <c r="G50" s="211" t="s">
        <v>118</v>
      </c>
      <c r="H50" s="211"/>
      <c r="I50" s="211"/>
      <c r="J50" s="242"/>
      <c r="K50" s="240">
        <f>SUBTOTAL(109,Table1319[اجمالي])</f>
        <v>25560</v>
      </c>
      <c r="L50" s="244">
        <f>Table1319[[#Totals],[اجمالي]]/$G$84</f>
        <v>0.067433392792447214</v>
      </c>
    </row>
    <row r="51" ht="18.75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.75" s="216" customFormat="1">
      <c r="C52" s="217"/>
      <c r="D52" s="629" t="s">
        <v>119</v>
      </c>
      <c r="E52" s="629"/>
      <c r="F52" s="629"/>
      <c r="G52" s="629"/>
      <c r="H52" s="629"/>
      <c r="I52" s="629"/>
    </row>
    <row r="53" ht="18.75" s="216" customFormat="1">
      <c r="A53" s="211" t="s">
        <v>27</v>
      </c>
      <c r="B53" s="211" t="s">
        <v>28</v>
      </c>
      <c r="C53" s="218" t="s">
        <v>29</v>
      </c>
      <c r="D53" s="211" t="s">
        <v>30</v>
      </c>
      <c r="E53" s="211" t="s">
        <v>9</v>
      </c>
      <c r="F53" s="211" t="s">
        <v>63</v>
      </c>
      <c r="G53" s="211" t="s">
        <v>32</v>
      </c>
      <c r="H53" s="211" t="s">
        <v>33</v>
      </c>
      <c r="I53" s="211" t="s">
        <v>64</v>
      </c>
      <c r="J53" s="211" t="s">
        <v>35</v>
      </c>
      <c r="K53" s="245" t="s">
        <v>36</v>
      </c>
      <c r="L53" s="211" t="s">
        <v>37</v>
      </c>
    </row>
    <row r="54" ht="19.5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5</v>
      </c>
      <c r="C54" s="214" t="s">
        <v>120</v>
      </c>
      <c r="D54" s="214"/>
      <c r="E54" s="214"/>
      <c r="F54" s="214"/>
      <c r="G54" s="406" t="s">
        <v>43</v>
      </c>
      <c r="H54" s="211">
        <v>1.75</v>
      </c>
      <c r="I54" s="247">
        <f>J2/1000</f>
        <v>230</v>
      </c>
      <c r="J54" s="411">
        <f>Table161027[[#This Row],[سعر الكيلو]]*Table161027[[#This Row],[الوزن]]</f>
        <v>402.5</v>
      </c>
      <c r="K54" s="240">
        <f ref="K54:K55" t="shared" si="13">B54*J54</f>
        <v>2012.5</v>
      </c>
      <c r="L54" s="241">
        <f>(Table161027[[#This Row],[اجمالي]])/$G$84</f>
        <v>0.0053094562987010966</v>
      </c>
    </row>
    <row r="55" ht="19.5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5</v>
      </c>
      <c r="C55" s="214" t="s">
        <v>121</v>
      </c>
      <c r="D55" s="214"/>
      <c r="E55" s="214"/>
      <c r="F55" s="214"/>
      <c r="G55" s="406" t="s">
        <v>122</v>
      </c>
      <c r="H55" s="211"/>
      <c r="I55" s="247"/>
      <c r="J55" s="411">
        <f>Sheet2!B32</f>
        <v>7000</v>
      </c>
      <c r="K55" s="240">
        <f t="shared" si="13"/>
        <v>35000</v>
      </c>
      <c r="L55" s="241">
        <f>(Table161027[[#This Row],[اجمالي]])/$G$84</f>
        <v>0.092338370412192977</v>
      </c>
    </row>
    <row r="56" ht="19.5" s="216" customFormat="1">
      <c r="A56" s="211" t="s">
        <v>58</v>
      </c>
      <c r="B56" s="219"/>
      <c r="C56" s="214" t="s">
        <v>58</v>
      </c>
      <c r="D56" s="214"/>
      <c r="E56" s="214"/>
      <c r="F56" s="214">
        <f>SUBTOTAL(109,Table161027[Column12])</f>
        <v>0</v>
      </c>
      <c r="G56" s="407"/>
      <c r="H56" s="211"/>
      <c r="I56" s="247"/>
      <c r="J56" s="411"/>
      <c r="K56" s="240">
        <f>SUBTOTAL(109,Table161027[اجمالي])</f>
        <v>37012.5</v>
      </c>
      <c r="L56" s="241">
        <f>Table161027[[#Totals],[اجمالي]]/$G$84</f>
        <v>0.097647826710894073</v>
      </c>
    </row>
    <row r="57" ht="18.75" s="216" customFormat="1">
      <c r="C57" s="217"/>
      <c r="D57" s="629" t="s">
        <v>123</v>
      </c>
      <c r="E57" s="629"/>
      <c r="F57" s="629"/>
      <c r="G57" s="629"/>
      <c r="H57" s="629"/>
      <c r="I57" s="629"/>
    </row>
    <row r="58" ht="18.75" s="216" customFormat="1">
      <c r="A58" s="211" t="s">
        <v>27</v>
      </c>
      <c r="B58" s="211" t="s">
        <v>28</v>
      </c>
      <c r="C58" s="214" t="s">
        <v>124</v>
      </c>
      <c r="D58" s="211" t="s">
        <v>63</v>
      </c>
      <c r="E58" s="211" t="s">
        <v>9</v>
      </c>
      <c r="F58" s="408" t="s">
        <v>125</v>
      </c>
      <c r="G58" s="216" t="s">
        <v>126</v>
      </c>
      <c r="H58" s="409" t="s">
        <v>127</v>
      </c>
      <c r="I58" s="211" t="s">
        <v>30</v>
      </c>
      <c r="J58" s="211" t="s">
        <v>128</v>
      </c>
      <c r="K58" s="245" t="s">
        <v>36</v>
      </c>
      <c r="L58" s="211" t="s">
        <v>37</v>
      </c>
    </row>
    <row r="59" ht="19.5" s="216" customFormat="1">
      <c r="A59" s="211">
        <v>1</v>
      </c>
      <c r="B59" s="219">
        <v>1</v>
      </c>
      <c r="C59" s="214" t="s">
        <v>129</v>
      </c>
      <c r="D59" s="214"/>
      <c r="E59" s="211"/>
      <c r="F59" s="214"/>
      <c r="G59" s="214"/>
      <c r="H59" s="406">
        <f>'Cutting Ro-2'!$O$7</f>
        <v>2172.21301096709</v>
      </c>
      <c r="I59" s="247"/>
      <c r="J59" s="411">
        <f>IF((Table161128[[#This Row],[عدد]]&gt;0),'Cutting Ro-2'!O8,0)</f>
        <v>208532.44905284065</v>
      </c>
      <c r="K59" s="240">
        <f>Table161128[[#This Row],[عدد]]*Table161128[[#This Row],[سعر البرجولا كاملة]]</f>
        <v>208532.44905284065</v>
      </c>
      <c r="L59" s="241">
        <f>(K59)/$G$84</f>
        <v>0.55015847210294178</v>
      </c>
    </row>
    <row r="60" ht="18.75" s="216" customFormat="1">
      <c r="A60" s="211">
        <v>4</v>
      </c>
      <c r="B60" s="212">
        <f>IF((F80="الاسكندرية"),0.25,0.1)</f>
        <v>0.1</v>
      </c>
      <c r="C60" s="213" t="s">
        <v>130</v>
      </c>
      <c r="D60" s="214"/>
      <c r="E60" s="211"/>
      <c r="G60" s="214"/>
      <c r="H60" s="211"/>
      <c r="I60" s="247"/>
      <c r="J60" s="248">
        <f>K59</f>
        <v>208532.44905284065</v>
      </c>
      <c r="K60" s="240">
        <f>Table161128[[#This Row],[عدد]]*Table161128[[#This Row],[سعر البرجولا كاملة]]</f>
        <v>20853.244905284068</v>
      </c>
      <c r="L60" s="241">
        <f>(K60)/$G$84</f>
        <v>0.055015847210294185</v>
      </c>
    </row>
    <row r="61" ht="18.75" s="216" customFormat="1">
      <c r="A61" s="211" t="s">
        <v>58</v>
      </c>
      <c r="B61" s="212"/>
      <c r="C61" s="213" t="s">
        <v>58</v>
      </c>
      <c r="D61" s="216">
        <f>SUBTOTAL(109,Table161128[Column12])</f>
        <v>0</v>
      </c>
      <c r="E61" s="211"/>
      <c r="F61" s="214"/>
      <c r="G61" s="214"/>
      <c r="H61" s="211"/>
      <c r="I61" s="211"/>
      <c r="J61" s="242"/>
      <c r="K61" s="240">
        <f>SUBTOTAL(109,Table161128[اجمالي])</f>
        <v>229385.69395812473</v>
      </c>
      <c r="L61" s="244">
        <f>Table161128[[#Totals],[اجمالي]]/$G$84</f>
        <v>0.605174319313236</v>
      </c>
    </row>
    <row r="62" ht="18.75" s="216" customFormat="1">
      <c r="C62" s="217"/>
      <c r="D62" s="629" t="s">
        <v>131</v>
      </c>
      <c r="E62" s="629"/>
      <c r="F62" s="629"/>
      <c r="G62" s="629"/>
      <c r="H62" s="629"/>
      <c r="I62" s="629"/>
    </row>
    <row r="63" ht="18.75" s="216" customFormat="1">
      <c r="A63" s="211" t="s">
        <v>27</v>
      </c>
      <c r="B63" s="211" t="s">
        <v>28</v>
      </c>
      <c r="C63" s="218" t="s">
        <v>29</v>
      </c>
      <c r="D63" s="211" t="s">
        <v>30</v>
      </c>
      <c r="E63" s="211" t="s">
        <v>9</v>
      </c>
      <c r="F63" s="211" t="s">
        <v>63</v>
      </c>
      <c r="G63" s="211" t="s">
        <v>32</v>
      </c>
      <c r="H63" s="211" t="s">
        <v>33</v>
      </c>
      <c r="I63" s="211" t="s">
        <v>64</v>
      </c>
      <c r="J63" s="211" t="s">
        <v>35</v>
      </c>
      <c r="K63" s="245" t="s">
        <v>36</v>
      </c>
      <c r="L63" s="211" t="s">
        <v>37</v>
      </c>
    </row>
    <row r="64" ht="18.75" s="216" customFormat="1">
      <c r="A64" s="211">
        <v>1</v>
      </c>
      <c r="B64" s="219">
        <f>IF((تسعير!T25="جلفنة و جوتن"),(Table118[[#Totals],[اجمالي الميزان]]+Table1624[[#Totals],[الوزن]]+Table1421[[#Totals],[الوزن]]),0)</f>
        <v>0</v>
      </c>
      <c r="C64" s="214" t="s">
        <v>132</v>
      </c>
      <c r="D64" s="214"/>
      <c r="E64" s="211"/>
      <c r="G64" s="247"/>
      <c r="H64" s="211"/>
      <c r="I64" s="247"/>
      <c r="J64" s="247">
        <v>20</v>
      </c>
      <c r="K64" s="240">
        <f>B64*Table161330[[#This Row],[سعر الشبك ]]</f>
        <v>0</v>
      </c>
      <c r="L64" s="241">
        <f>(K64)/$G$84</f>
        <v>0</v>
      </c>
    </row>
    <row r="65" ht="18.75" s="216" customFormat="1">
      <c r="A65" s="211" t="s">
        <v>58</v>
      </c>
      <c r="B65" s="212"/>
      <c r="C65" s="213" t="s">
        <v>58</v>
      </c>
      <c r="D65" s="214"/>
      <c r="E65" s="214"/>
      <c r="F65" s="216">
        <f>SUBTOTAL(109,Table161330[Column12])</f>
        <v>0</v>
      </c>
      <c r="G65" s="211"/>
      <c r="H65" s="211"/>
      <c r="I65" s="211"/>
      <c r="J65" s="242"/>
      <c r="K65" s="240">
        <f>SUBTOTAL(109,Table161330[اجمالي])</f>
        <v>0</v>
      </c>
      <c r="L65" s="241">
        <f>Table161330[[#Totals],[اجمالي]]/$G$84</f>
        <v>0</v>
      </c>
    </row>
    <row r="66" ht="18.75" s="216" customFormat="1">
      <c r="C66" s="217"/>
      <c r="D66" s="629" t="s">
        <v>133</v>
      </c>
      <c r="E66" s="629"/>
      <c r="F66" s="629"/>
      <c r="G66" s="629"/>
      <c r="H66" s="629"/>
      <c r="I66" s="629"/>
    </row>
    <row r="67" ht="18.75" s="216" customFormat="1">
      <c r="A67" s="211" t="s">
        <v>27</v>
      </c>
      <c r="B67" s="211" t="s">
        <v>28</v>
      </c>
      <c r="C67" s="218" t="s">
        <v>29</v>
      </c>
      <c r="D67" s="211" t="s">
        <v>134</v>
      </c>
      <c r="E67" s="211" t="s">
        <v>12</v>
      </c>
      <c r="F67" s="211" t="s">
        <v>135</v>
      </c>
      <c r="G67" s="211" t="s">
        <v>136</v>
      </c>
      <c r="H67" s="211" t="s">
        <v>63</v>
      </c>
      <c r="I67" s="211" t="s">
        <v>137</v>
      </c>
      <c r="J67" s="211" t="s">
        <v>138</v>
      </c>
      <c r="K67" s="245" t="s">
        <v>36</v>
      </c>
      <c r="L67" s="211" t="s">
        <v>37</v>
      </c>
    </row>
    <row r="68" ht="18.75" s="216" customFormat="1">
      <c r="A68" s="211">
        <v>1</v>
      </c>
      <c r="B68" s="219">
        <v>4</v>
      </c>
      <c r="C68" s="220" t="s">
        <v>139</v>
      </c>
      <c r="D68" s="211">
        <f>IF((Table161229[[#This Row],[موقع العمل]]="المصنع"),200,IF((Table161229[[#This Row],[موقع العمل]]="الاسكندرية"),200,250))</f>
        <v>200</v>
      </c>
      <c r="E68" s="211">
        <f>SUMIF(Table1731[Column1],Table161229[[#This Row],[موقع العمل]],$Q$2:$Q$26)</f>
        <v>0</v>
      </c>
      <c r="F68" s="211" t="s">
        <v>140</v>
      </c>
      <c r="G68" s="214" t="s">
        <v>39</v>
      </c>
      <c r="I68" s="412">
        <v>1.5</v>
      </c>
      <c r="J68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300</v>
      </c>
      <c r="K68" s="240">
        <f ref="K68:K80" t="shared" si="14">B68*J68</f>
        <v>1200</v>
      </c>
      <c r="L68" s="241">
        <f ref="L68:L80" t="shared" si="15">(K68)/$G$84</f>
        <v>0.0031658869855609021</v>
      </c>
    </row>
    <row r="69" ht="18.75" s="216" customFormat="1">
      <c r="A69" s="211">
        <v>2</v>
      </c>
      <c r="B69" s="219">
        <v>3</v>
      </c>
      <c r="C69" s="220" t="s">
        <v>141</v>
      </c>
      <c r="D69" s="211">
        <f>IF((Table161229[[#This Row],[موقع العمل]]="المصنع"),200,IF((Table161229[[#This Row],[موقع العمل]]="الاسكندرية"),200,250))</f>
        <v>200</v>
      </c>
      <c r="E69" s="211">
        <f>SUMIF(Table1731[Column1],Table161229[[#This Row],[موقع العمل]],$Q$2:$Q$26)</f>
        <v>0</v>
      </c>
      <c r="F69" s="211" t="s">
        <v>140</v>
      </c>
      <c r="G69" s="214" t="s">
        <v>39</v>
      </c>
      <c r="I69" s="243">
        <v>1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200</v>
      </c>
      <c r="K69" s="240">
        <f t="shared" si="14"/>
        <v>600</v>
      </c>
      <c r="L69" s="241">
        <f t="shared" si="15"/>
        <v>0.0015829434927804511</v>
      </c>
    </row>
    <row r="70" ht="18.75" s="216" customFormat="1">
      <c r="A70" s="211">
        <v>3</v>
      </c>
      <c r="B70" s="219">
        <v>3</v>
      </c>
      <c r="C70" s="220" t="s">
        <v>142</v>
      </c>
      <c r="D70" s="211">
        <f>IF((Table161229[[#This Row],[موقع العمل]]="المصنع"),200,IF((Table161229[[#This Row],[موقع العمل]]="الاسكندرية"),200,250))</f>
        <v>200</v>
      </c>
      <c r="E70" s="211">
        <f>SUMIF(Table1731[Column1],Table161229[[#This Row],[موقع العمل]],$Q$2:$Q$26)</f>
        <v>0</v>
      </c>
      <c r="F70" s="211" t="s">
        <v>140</v>
      </c>
      <c r="G70" s="214" t="s">
        <v>39</v>
      </c>
      <c r="I70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600</v>
      </c>
      <c r="K70" s="240">
        <f t="shared" si="14"/>
        <v>1800</v>
      </c>
      <c r="L70" s="241">
        <f t="shared" si="15"/>
        <v>0.0047488304783413534</v>
      </c>
    </row>
    <row r="71" ht="18.75" s="216" customFormat="1">
      <c r="A71" s="211">
        <v>4</v>
      </c>
      <c r="B71" s="212">
        <v>3</v>
      </c>
      <c r="C71" s="220" t="s">
        <v>143</v>
      </c>
      <c r="D71" s="211">
        <f>IF((Table161229[[#This Row],[موقع العمل]]="المصنع"),200,IF((Table161229[[#This Row],[موقع العمل]]="الاسكندرية"),200,250))</f>
        <v>200</v>
      </c>
      <c r="E71" s="211">
        <f>SUMIF(Table1731[Column1],Table161229[[#This Row],[موقع العمل]],$Q$2:$Q$26)</f>
        <v>0</v>
      </c>
      <c r="F71" s="211" t="s">
        <v>140</v>
      </c>
      <c r="G71" s="214" t="s">
        <v>39</v>
      </c>
      <c r="I71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2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400</v>
      </c>
      <c r="K71" s="240">
        <f t="shared" si="14"/>
        <v>1200</v>
      </c>
      <c r="L71" s="241">
        <f t="shared" si="15"/>
        <v>0.0031658869855609021</v>
      </c>
    </row>
    <row r="72" ht="18.75" s="216" customFormat="1">
      <c r="A72" s="211">
        <v>5</v>
      </c>
      <c r="B72" s="212">
        <v>4</v>
      </c>
      <c r="C72" s="220" t="s">
        <v>144</v>
      </c>
      <c r="D72" s="211">
        <f>IF((Table161229[[#This Row],[موقع العمل]]="المصنع"),200,IF((Table161229[[#This Row],[موقع العمل]]="الاسكندرية"),200,250))</f>
        <v>250</v>
      </c>
      <c r="E72" s="211">
        <f>SUMIF(Table1731[Column1],Table161229[[#This Row],[موقع العمل]],$Q$2:$Q$26)</f>
        <v>75</v>
      </c>
      <c r="F72" s="211" t="str">
        <f>تسعير!$T$24</f>
        <v>الشيخ زايد</v>
      </c>
      <c r="G72" s="214" t="s">
        <v>39</v>
      </c>
      <c r="I72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3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975</v>
      </c>
      <c r="K72" s="240">
        <f t="shared" si="14"/>
        <v>3900</v>
      </c>
      <c r="L72" s="241">
        <f t="shared" si="15"/>
        <v>0.010289132703072933</v>
      </c>
    </row>
    <row r="73" ht="18.75" s="216" customFormat="1">
      <c r="A73" s="211">
        <v>6</v>
      </c>
      <c r="B73" s="212">
        <v>3</v>
      </c>
      <c r="C73" s="220" t="s">
        <v>145</v>
      </c>
      <c r="D73" s="211">
        <f>IF((Table161229[[#This Row],[موقع العمل]]="المصنع"),200,IF((Table161229[[#This Row],[موقع العمل]]="الاسكندرية"),200,250))</f>
        <v>250</v>
      </c>
      <c r="E73" s="211">
        <f>SUMIF(Table1731[Column1],Table161229[[#This Row],[موقع العمل]],$Q$2:$Q$26)</f>
        <v>75</v>
      </c>
      <c r="F73" s="211" t="str">
        <f>تسعير!$T$24</f>
        <v>الشيخ زايد</v>
      </c>
      <c r="G73" s="214" t="s">
        <v>39</v>
      </c>
      <c r="I73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4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1300</v>
      </c>
      <c r="K73" s="240">
        <f t="shared" si="14"/>
        <v>3900</v>
      </c>
      <c r="L73" s="241">
        <f t="shared" si="15"/>
        <v>0.010289132703072933</v>
      </c>
      <c r="N73" s="207"/>
      <c r="O73" s="207"/>
      <c r="P73" s="207"/>
      <c r="Q73" s="207"/>
      <c r="R73" s="207"/>
      <c r="S73" s="207"/>
      <c r="T73" s="207"/>
    </row>
    <row r="74" ht="18.75" s="216" customFormat="1">
      <c r="A74" s="211">
        <v>7</v>
      </c>
      <c r="B74" s="212">
        <v>0</v>
      </c>
      <c r="C74" s="220" t="s">
        <v>146</v>
      </c>
      <c r="D74" s="211">
        <f>IF((Table161229[[#This Row],[موقع العمل]]="المصنع"),200,IF((Table161229[[#This Row],[موقع العمل]]="الاسكندرية"),200,250))</f>
        <v>250</v>
      </c>
      <c r="E74" s="211">
        <f>SUMIF(Table1731[Column1],Table161229[[#This Row],[موقع العمل]],$Q$2:$Q$26)</f>
        <v>75</v>
      </c>
      <c r="F74" s="211" t="str">
        <f>تسعير!$T$24</f>
        <v>الشيخ زايد</v>
      </c>
      <c r="G74" s="214" t="s">
        <v>39</v>
      </c>
      <c r="I74" s="243"/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4" s="240">
        <f t="shared" si="14"/>
        <v>0</v>
      </c>
      <c r="L74" s="241">
        <f t="shared" si="15"/>
        <v>0</v>
      </c>
      <c r="N74" s="207"/>
      <c r="O74" s="207"/>
      <c r="P74" s="207"/>
      <c r="Q74" s="207"/>
      <c r="R74" s="207"/>
      <c r="S74" s="207"/>
      <c r="T74" s="207"/>
    </row>
    <row r="75" ht="18.75" s="216" customFormat="1">
      <c r="A75" s="211">
        <v>8</v>
      </c>
      <c r="B75" s="212">
        <v>4</v>
      </c>
      <c r="C75" s="220" t="s">
        <v>147</v>
      </c>
      <c r="D75" s="211">
        <f>IF((Table161229[[#This Row],[موقع العمل]]="المصنع"),200,IF((Table161229[[#This Row],[موقع العمل]]="الاسكندرية"),200,250))</f>
        <v>250</v>
      </c>
      <c r="E75" s="211">
        <f>SUMIF(Table1731[Column1],Table161229[[#This Row],[موقع العمل]],$Q$2:$Q$26)</f>
        <v>75</v>
      </c>
      <c r="F75" s="211" t="str">
        <f>تسعير!$T$24</f>
        <v>الشيخ زايد</v>
      </c>
      <c r="G75" s="214" t="s">
        <v>39</v>
      </c>
      <c r="I75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975</v>
      </c>
      <c r="K75" s="240">
        <f t="shared" si="14"/>
        <v>3900</v>
      </c>
      <c r="L75" s="241">
        <f t="shared" si="15"/>
        <v>0.010289132703072933</v>
      </c>
      <c r="N75" s="207"/>
      <c r="O75" s="207"/>
      <c r="P75" s="207"/>
      <c r="Q75" s="207"/>
      <c r="R75" s="207"/>
      <c r="S75" s="207"/>
      <c r="T75" s="207"/>
    </row>
    <row r="76" ht="18.75" s="216" customFormat="1">
      <c r="A76" s="211">
        <v>9</v>
      </c>
      <c r="B76" s="212">
        <f>(B72+B73+B74+B75)*2</f>
        <v>22</v>
      </c>
      <c r="C76" s="220" t="s">
        <v>148</v>
      </c>
      <c r="D76" s="211"/>
      <c r="E76" s="211"/>
      <c r="F76" s="211" t="str">
        <f>تسعير!$T$24</f>
        <v>الشيخ زايد</v>
      </c>
      <c r="G76" s="214"/>
      <c r="H76" s="247">
        <f>SUMIF(Table1731[Column1],Table161229[[#This Row],[موقع العمل]],$O$2:$O$26)</f>
        <v>120</v>
      </c>
      <c r="I76" s="247"/>
      <c r="J76" s="243">
        <f>Table161229[[#This Row],[Column12]]</f>
        <v>120</v>
      </c>
      <c r="K76" s="240">
        <f t="shared" si="14"/>
        <v>2640</v>
      </c>
      <c r="L76" s="241">
        <f t="shared" si="15"/>
        <v>0.0069649513682339846</v>
      </c>
      <c r="N76" s="207"/>
      <c r="O76" s="207"/>
      <c r="P76" s="207"/>
      <c r="Q76" s="207"/>
      <c r="R76" s="207"/>
      <c r="S76" s="207"/>
      <c r="T76" s="207"/>
    </row>
    <row r="77" ht="18.75" s="216" customFormat="1">
      <c r="A77" s="211">
        <v>10</v>
      </c>
      <c r="B77" s="212">
        <f>((I72+I73+I74+I75)*2)-2</f>
        <v>18</v>
      </c>
      <c r="C77" s="220" t="s">
        <v>149</v>
      </c>
      <c r="D77" s="211"/>
      <c r="E77" s="211"/>
      <c r="F77" s="211" t="str">
        <f>تسعير!$T$24</f>
        <v>الشيخ زايد</v>
      </c>
      <c r="G77" s="214"/>
      <c r="H77" s="247">
        <f>SUMIF(Table1731[Column1],Table161229[[#This Row],[موقع العمل]],$P$2:$P$26)</f>
        <v>250</v>
      </c>
      <c r="I77" s="247"/>
      <c r="J77" s="243">
        <f>Table161229[[#This Row],[Column12]]</f>
        <v>250</v>
      </c>
      <c r="K77" s="240">
        <f t="shared" si="14"/>
        <v>4500</v>
      </c>
      <c r="L77" s="241">
        <f t="shared" si="15"/>
        <v>0.011872076195853384</v>
      </c>
      <c r="N77" s="207"/>
      <c r="O77" s="207"/>
      <c r="P77" s="207"/>
      <c r="Q77" s="207"/>
      <c r="R77" s="207"/>
      <c r="S77" s="207"/>
      <c r="T77" s="207"/>
    </row>
    <row r="78" ht="18.75" s="216" customFormat="1">
      <c r="A78" s="211">
        <v>11</v>
      </c>
      <c r="B78" s="212">
        <v>2</v>
      </c>
      <c r="C78" s="220" t="s">
        <v>150</v>
      </c>
      <c r="D78" s="211"/>
      <c r="E78" s="211"/>
      <c r="F78" s="211" t="str">
        <f>تسعير!$T$24</f>
        <v>الشيخ زايد</v>
      </c>
      <c r="G78" s="214"/>
      <c r="H78" s="247">
        <f>SUMIF(Table1731[Column1],Table161229[[#This Row],[موقع العمل]],$R$2:$R$26)</f>
        <v>1500</v>
      </c>
      <c r="I78" s="247"/>
      <c r="J78" s="243">
        <f>Table161229[[#This Row],[Column12]]</f>
        <v>1500</v>
      </c>
      <c r="K78" s="240">
        <f t="shared" si="14"/>
        <v>3000</v>
      </c>
      <c r="L78" s="241">
        <f t="shared" si="15"/>
        <v>0.0079147174639022551</v>
      </c>
      <c r="N78" s="207"/>
      <c r="O78" s="207"/>
      <c r="P78" s="207"/>
      <c r="Q78" s="207"/>
      <c r="R78" s="207"/>
      <c r="S78" s="207"/>
      <c r="T78" s="207"/>
    </row>
    <row r="79" ht="18.75" s="216" customFormat="1">
      <c r="A79" s="211">
        <v>12</v>
      </c>
      <c r="B79" s="212">
        <v>1</v>
      </c>
      <c r="C79" s="220" t="s">
        <v>151</v>
      </c>
      <c r="D79" s="211"/>
      <c r="E79" s="211"/>
      <c r="F79" s="211" t="str">
        <f>تسعير!$T$24</f>
        <v>الشيخ زايد</v>
      </c>
      <c r="G79" s="214"/>
      <c r="H79" s="247">
        <f>SUMIF(Table1731[Column1],Table161229[[#This Row],[موقع العمل]],$S$2:$S$26)</f>
        <v>2300</v>
      </c>
      <c r="I79" s="247"/>
      <c r="J79" s="243">
        <f>Table161229[[#This Row],[Column12]]</f>
        <v>2300</v>
      </c>
      <c r="K79" s="240">
        <f t="shared" si="14"/>
        <v>2300</v>
      </c>
      <c r="L79" s="241">
        <f t="shared" si="15"/>
        <v>0.0060679500556583962</v>
      </c>
      <c r="N79" s="207"/>
      <c r="O79" s="207"/>
      <c r="P79" s="207"/>
      <c r="Q79" s="207"/>
      <c r="R79" s="207"/>
      <c r="S79" s="207"/>
      <c r="T79" s="207"/>
    </row>
    <row r="80" ht="18.75" s="216" customFormat="1">
      <c r="A80" s="211">
        <v>13</v>
      </c>
      <c r="B80" s="212">
        <f>B77</f>
        <v>18</v>
      </c>
      <c r="C80" s="220" t="s">
        <v>15</v>
      </c>
      <c r="D80" s="211"/>
      <c r="E80" s="211"/>
      <c r="F80" s="211" t="str">
        <f>تسعير!$T$24</f>
        <v>الشيخ زايد</v>
      </c>
      <c r="G80" s="214"/>
      <c r="H80" s="247">
        <f>SUMIF(Table1731[Column1],Table161229[[#This Row],[موقع العمل]],$T$2:$T$26)</f>
        <v>120</v>
      </c>
      <c r="I80" s="247"/>
      <c r="J80" s="243">
        <f>Table161229[[#This Row],[Column12]]</f>
        <v>120</v>
      </c>
      <c r="K80" s="240">
        <f t="shared" si="14"/>
        <v>2160</v>
      </c>
      <c r="L80" s="241">
        <f t="shared" si="15"/>
        <v>0.0056985965740096239</v>
      </c>
      <c r="N80" s="207"/>
      <c r="O80" s="207"/>
      <c r="P80" s="207"/>
      <c r="Q80" s="207"/>
      <c r="R80" s="207"/>
      <c r="S80" s="207"/>
      <c r="T80" s="207"/>
    </row>
    <row r="81" ht="18.75">
      <c r="A81" s="518" t="s">
        <v>58</v>
      </c>
      <c r="B81" s="519"/>
      <c r="C81" s="520" t="s">
        <v>58</v>
      </c>
      <c r="D81" s="518"/>
      <c r="E81" s="518"/>
      <c r="F81" s="521"/>
      <c r="G81" s="521"/>
      <c r="H81" s="522">
        <f>SUBTOTAL(109,Table161229[Column12])</f>
        <v>4290</v>
      </c>
      <c r="I81" s="518"/>
      <c r="J81" s="523"/>
      <c r="K81" s="524">
        <f>SUBTOTAL(109,Table161229[اجمالي])</f>
        <v>31100</v>
      </c>
      <c r="L81" s="525">
        <f>Table161229[[#Totals],[اجمالي]]/$G$84</f>
        <v>0.082049237709120051</v>
      </c>
    </row>
    <row r="82" ht="18.75">
      <c r="A82" s="216"/>
      <c r="B82" s="216"/>
      <c r="C82" s="217"/>
      <c r="D82" s="622"/>
      <c r="E82" s="622"/>
      <c r="F82" s="622"/>
      <c r="G82" s="622"/>
      <c r="H82" s="622"/>
      <c r="I82" s="622"/>
      <c r="J82" s="216"/>
      <c r="K82" s="216"/>
      <c r="L82" s="216"/>
    </row>
    <row r="83" ht="18.75">
      <c r="A83" s="211"/>
      <c r="B83" s="211"/>
      <c r="C83" s="218" t="s">
        <v>9</v>
      </c>
      <c r="D83" s="211" t="s">
        <v>152</v>
      </c>
      <c r="E83" s="211" t="s">
        <v>153</v>
      </c>
      <c r="F83" s="211" t="s">
        <v>154</v>
      </c>
      <c r="G83" s="211" t="s">
        <v>30</v>
      </c>
      <c r="H83" s="211"/>
      <c r="I83" s="211"/>
      <c r="J83" s="211"/>
      <c r="K83" s="245"/>
      <c r="L83" s="211"/>
    </row>
    <row r="84" ht="18.75">
      <c r="A84" s="211"/>
      <c r="B84" s="219"/>
      <c r="C84" s="213" t="s">
        <v>155</v>
      </c>
      <c r="D84" s="214"/>
      <c r="E84" s="211"/>
      <c r="F84" s="290"/>
      <c r="G84" s="291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379040.69395812473</v>
      </c>
      <c r="H84" s="211"/>
      <c r="I84" s="211"/>
      <c r="J84" s="243"/>
      <c r="K84" s="292"/>
      <c r="L84" s="293"/>
    </row>
    <row r="85" ht="18.75">
      <c r="A85" s="211"/>
      <c r="B85" s="212"/>
      <c r="C85" s="213" t="s">
        <v>156</v>
      </c>
      <c r="D85" s="214"/>
      <c r="E85" s="211"/>
      <c r="F85" s="320">
        <f>IF((F80="المقطم"),0.3,IF((F80="التجمع"),0.3,IF((F80="الشيخ زايد"),0.3,IF((F80="الاسكندرية"),0.5,IF((F74="الساحل"),0.5,0.35)))))</f>
        <v>0.3</v>
      </c>
      <c r="G85" s="291">
        <f>G84*(1+Table1832[[#This Row],[Column3]])</f>
        <v>492752.90214556217</v>
      </c>
      <c r="H85" s="211"/>
      <c r="I85" s="211"/>
      <c r="J85" s="243"/>
      <c r="K85" s="292"/>
      <c r="L85" s="293"/>
    </row>
    <row r="86" ht="18.75">
      <c r="A86" s="211"/>
      <c r="B86" s="219"/>
      <c r="H86" s="211"/>
      <c r="I86" s="211"/>
      <c r="J86" s="243"/>
      <c r="K86" s="292"/>
      <c r="L86" s="293"/>
    </row>
    <row r="87" ht="18.75">
      <c r="A87" s="211"/>
      <c r="B87" s="212"/>
      <c r="H87" s="211"/>
      <c r="I87" s="242"/>
      <c r="J87" s="243"/>
      <c r="K87" s="292"/>
      <c r="L87" s="293"/>
    </row>
    <row r="88" ht="18.75">
      <c r="A88" s="211"/>
      <c r="B88" s="219"/>
      <c r="H88" s="211"/>
      <c r="I88" s="242"/>
      <c r="J88" s="247"/>
      <c r="K88" s="292"/>
      <c r="L88" s="293"/>
    </row>
    <row r="89" ht="18.75">
      <c r="A89" s="211"/>
      <c r="B89" s="212"/>
      <c r="H89" s="211"/>
      <c r="I89" s="211"/>
      <c r="J89" s="242"/>
      <c r="K89" s="292"/>
      <c r="L89" s="216"/>
    </row>
  </sheetData>
  <sheetProtection selectLockedCells="1" selectUnlockedCells="1"/>
  <mergeCells>
    <mergeCell ref="D66:I66"/>
    <mergeCell ref="D82:I82"/>
    <mergeCell ref="A1:C2"/>
    <mergeCell ref="D29:I29"/>
    <mergeCell ref="D34:I34"/>
    <mergeCell ref="D52:I52"/>
    <mergeCell ref="D57:I57"/>
    <mergeCell ref="D62:I62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8:G80" xr:uid="{91A61668-EC25-4385-BF22-C35221D4F11E}">
      <formula1>$U$4:$U$5</formula1>
    </dataValidation>
    <dataValidation type="list" allowBlank="1" showInputMessage="1" showErrorMessage="1" sqref="F72:F80" xr:uid="{DED4F1F3-E672-4179-8C0C-C2FC78F01607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4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2"/>
  <dimension ref="A1:BB179"/>
  <sheetViews>
    <sheetView rightToLeft="1" zoomScale="70" zoomScaleNormal="70" workbookViewId="0">
      <selection activeCell="H22" sqref="H22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16384" width="9.140625" customWidth="1" style="1"/>
  </cols>
  <sheetData>
    <row r="1" ht="21">
      <c r="A1" s="390" t="s">
        <v>443</v>
      </c>
      <c r="B1" s="271">
        <f>(F1*D1)/10000</f>
        <v>12.5</v>
      </c>
      <c r="C1" s="272" t="s">
        <v>427</v>
      </c>
      <c r="D1" s="273">
        <f>تسعير!BA12</f>
        <v>500</v>
      </c>
      <c r="E1" s="272" t="s">
        <v>125</v>
      </c>
      <c r="F1" s="273">
        <f>تسعير!AV10</f>
        <v>250</v>
      </c>
      <c r="G1" s="167"/>
      <c r="H1" s="167"/>
      <c r="I1" s="167"/>
      <c r="J1" s="167"/>
      <c r="K1" s="167"/>
      <c r="L1" s="623" t="s">
        <v>0</v>
      </c>
      <c r="M1" s="624"/>
      <c r="N1" s="625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0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91" t="s">
        <v>444</v>
      </c>
      <c r="B2" s="187" t="s">
        <v>445</v>
      </c>
      <c r="C2" s="187" t="s">
        <v>446</v>
      </c>
      <c r="D2" s="187" t="s">
        <v>64</v>
      </c>
      <c r="E2" s="187" t="s">
        <v>447</v>
      </c>
      <c r="F2" s="187" t="s">
        <v>155</v>
      </c>
      <c r="G2" s="1" t="s">
        <v>9</v>
      </c>
      <c r="H2" s="1" t="s">
        <v>30</v>
      </c>
      <c r="I2" s="1" t="s">
        <v>154</v>
      </c>
      <c r="J2" s="1" t="s">
        <v>26</v>
      </c>
      <c r="L2" s="626"/>
      <c r="M2" s="627"/>
      <c r="N2" s="628"/>
      <c r="O2" s="203"/>
      <c r="P2" s="204"/>
      <c r="Q2" s="228">
        <f>O2*P2</f>
        <v>0</v>
      </c>
      <c r="R2" s="229" t="e">
        <f>R72/Q2</f>
        <v>#DIV/0!</v>
      </c>
      <c r="S2" s="230">
        <f>Sheet2!B12</f>
        <v>50000</v>
      </c>
      <c r="T2" s="231">
        <f>Sheet2!B13</f>
        <v>55000</v>
      </c>
      <c r="U2" s="232">
        <f>Sheet2!B14</f>
        <v>230000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448</v>
      </c>
      <c r="B3" s="187">
        <f>MAX(G3:I3)</f>
        <v>5</v>
      </c>
      <c r="C3" s="187">
        <v>2.25</v>
      </c>
      <c r="D3" s="187">
        <f>IF((تسعير!$AT$6="سادة"),((wavy1!$U$2+15000)/1000),IF((تسعير!$AT$6="خشبي"),((wavy1!$U$2+wavy1!$V$2)/1000),0))</f>
        <v>245</v>
      </c>
      <c r="E3" s="187">
        <v>2</v>
      </c>
      <c r="F3" s="392">
        <f>B3*C3*D3*E3</f>
        <v>5512.5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630" t="s">
        <v>17</v>
      </c>
      <c r="M3" s="631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18</v>
      </c>
      <c r="R3" s="632">
        <f>NOW()</f>
        <v>45447.291791192132</v>
      </c>
      <c r="S3" s="633"/>
      <c r="T3" s="633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.75" s="187" customFormat="1">
      <c r="A4" s="187" t="s">
        <v>449</v>
      </c>
      <c r="B4" s="187">
        <f>MAX(G4:J4)</f>
        <v>2.5</v>
      </c>
      <c r="C4" s="187">
        <v>0.56</v>
      </c>
      <c r="D4" s="187">
        <f>IF((تسعير!$AT$6="سادة"),((wavy1!$U$2+15000)/1000),IF((تسعير!$AT$6="خشبي"),((wavy1!$U$2+wavy1!$V$2)/1000),0))</f>
        <v>245</v>
      </c>
      <c r="E4" s="187">
        <f>CEILING(D1/60,1)+1</f>
        <v>10</v>
      </c>
      <c r="F4" s="392">
        <f>B4*C4*D4*E4</f>
        <v>3430.0000000000005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629" t="s">
        <v>20</v>
      </c>
      <c r="P4" s="629"/>
      <c r="Q4" s="629"/>
      <c r="R4" s="629"/>
      <c r="S4" s="629"/>
      <c r="T4" s="629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154</v>
      </c>
      <c r="AR4" s="207" t="s">
        <v>26</v>
      </c>
      <c r="AS4" s="207" t="s">
        <v>450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.75" s="187" customFormat="1">
      <c r="A5" s="187" t="s">
        <v>451</v>
      </c>
      <c r="B5" s="187">
        <f>B3*3</f>
        <v>15</v>
      </c>
      <c r="D5" s="187">
        <v>50</v>
      </c>
      <c r="E5" s="187">
        <v>2</v>
      </c>
      <c r="F5" s="392">
        <f>B5*D5*E5</f>
        <v>1500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64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IF((تسعير!AT5="A"),IF(((Table158[[#Totals],[المسطح]]+Table1662[[#Totals],[Column12]])&gt;0),(Table158[[#Totals],[المسطح]]+Table1662[[#Totals],[Column12]]-Q6+1)*Table663[[#This Row],[المعدل]]),0)</f>
        <v>0</v>
      </c>
      <c r="AN5" s="207"/>
      <c r="AO5" s="207" t="s">
        <v>452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.75" s="187" customFormat="1">
      <c r="A6" s="187" t="s">
        <v>453</v>
      </c>
      <c r="B6" s="187">
        <f>E4*2</f>
        <v>20</v>
      </c>
      <c r="D6" s="187">
        <v>15</v>
      </c>
      <c r="F6" s="392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42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43</v>
      </c>
      <c r="S6" s="211">
        <v>8.5</v>
      </c>
      <c r="T6" s="211">
        <f>Table158[[#This Row],[المسطح]]*Table158[[#This Row],[عدد]]</f>
        <v>6.48</v>
      </c>
      <c r="U6" s="243">
        <f>S6*$S$2/1000</f>
        <v>425</v>
      </c>
      <c r="V6" s="240">
        <f>M6*U6</f>
        <v>1275</v>
      </c>
      <c r="W6" s="241">
        <f>(V6)/$R$71</f>
        <v>0.021646885679981957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AM5*Table663[[#This Row],[المعدل]]+4</f>
        <v>4</v>
      </c>
      <c r="AN6" s="216"/>
      <c r="AO6" s="216" t="s">
        <v>454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.75" s="187" customFormat="1">
      <c r="A7" s="187" t="s">
        <v>455</v>
      </c>
      <c r="B7" s="187">
        <f>(((D1/(E4-1)+10)*(E4-1))*F1)/10000</f>
        <v>14.75</v>
      </c>
      <c r="D7" s="187">
        <v>225</v>
      </c>
      <c r="F7" s="392">
        <f t="shared" si="0"/>
        <v>3318.75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51</v>
      </c>
      <c r="O7" s="399">
        <v>0.1</v>
      </c>
      <c r="P7" s="399">
        <v>0.05</v>
      </c>
      <c r="Q7" s="216">
        <f>(Table158[[#This Row],[Column1]]+Table158[[#This Row],[Column2]])*12*Table158[[#This Row],[عدد]]</f>
        <v>4.5000000000000009</v>
      </c>
      <c r="R7" s="211" t="s">
        <v>43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1425</v>
      </c>
      <c r="V7" s="240">
        <f>M7*U7</f>
        <v>3562.5</v>
      </c>
      <c r="W7" s="241">
        <f>(V7)/$R$71</f>
        <v>0.060483945282302533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IF((تسعير!AT5="A"),IF(((Table158[[#Totals],[المسطح]]+Table1662[[#Totals],[Column12]])&gt;0),(Table158[[#Totals],[المسطح]]+Table1662[[#Totals],[Column12]]+1)*Table663[[#This Row],[المعدل]]),0)</f>
        <v>0</v>
      </c>
      <c r="AN7" s="216"/>
      <c r="AO7" s="216" t="s">
        <v>456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.75" s="187" customFormat="1">
      <c r="A8" s="187" t="s">
        <v>457</v>
      </c>
      <c r="B8" s="187">
        <f>MAX(G8:H8)</f>
        <v>3</v>
      </c>
      <c r="D8" s="187">
        <v>320</v>
      </c>
      <c r="F8" s="392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58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4837.5</v>
      </c>
      <c r="W8" s="244">
        <f>Table158[[#Totals],[اجمالي]]/$R$71</f>
        <v>0.08213083096228449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IF((تسعير!AT5="A"),IF(((Table158[[#Totals],[المسطح]]+Table1662[[#Totals],[Column12]])&gt;0),(Table158[[#Totals],[المسطح]]+Table1662[[#Totals],[Column12]]-Q6+1)*Table663[[#This Row],[المعدل]]),0)</f>
        <v>0</v>
      </c>
      <c r="AN8" s="216"/>
      <c r="AO8" s="216" t="s">
        <v>458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.75" s="187" customFormat="1">
      <c r="A9" s="187" t="s">
        <v>459</v>
      </c>
      <c r="B9" s="187">
        <v>2</v>
      </c>
      <c r="D9" s="187">
        <v>100</v>
      </c>
      <c r="F9" s="392">
        <f t="shared" si="0"/>
        <v>200</v>
      </c>
      <c r="G9" s="195"/>
      <c r="H9" s="195"/>
      <c r="I9" s="195"/>
      <c r="J9" s="195"/>
      <c r="L9" s="216"/>
      <c r="M9" s="216"/>
      <c r="N9" s="217"/>
      <c r="O9" s="629" t="s">
        <v>76</v>
      </c>
      <c r="P9" s="629"/>
      <c r="Q9" s="629"/>
      <c r="R9" s="629"/>
      <c r="S9" s="629"/>
      <c r="T9" s="629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460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.75" s="187" customFormat="1">
      <c r="A10" s="187" t="s">
        <v>461</v>
      </c>
      <c r="B10" s="187">
        <v>8</v>
      </c>
      <c r="D10" s="187">
        <v>35</v>
      </c>
      <c r="F10" s="392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63</v>
      </c>
      <c r="R10" s="211" t="s">
        <v>32</v>
      </c>
      <c r="S10" s="211" t="s">
        <v>33</v>
      </c>
      <c r="T10" s="211" t="s">
        <v>64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IF(AND((تسعير!$AT$5="B"),(Table158[[#Totals],[المسطح]]+Table1662[[#Totals],[Column12]])&gt;0),(((Table158[[#Totals],[المسطح]]+Table1662[[#Totals],[Column12]])+1)*Table663[[#This Row],[المعدل]]),0)</f>
        <v>4.596</v>
      </c>
      <c r="AN10" s="216"/>
      <c r="AO10" s="216" t="s">
        <v>462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.75" s="187" customFormat="1">
      <c r="A11" s="187" t="s">
        <v>463</v>
      </c>
      <c r="B11" s="187">
        <v>2</v>
      </c>
      <c r="D11" s="187">
        <v>100</v>
      </c>
      <c r="F11" s="392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81</v>
      </c>
      <c r="O11" s="214"/>
      <c r="P11" s="214"/>
      <c r="Q11" s="214"/>
      <c r="R11" s="211" t="s">
        <v>82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0.0067911798211708107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70</v>
      </c>
      <c r="AK11" s="216">
        <v>0.6</v>
      </c>
      <c r="AL11" s="216"/>
      <c r="AM11" s="216">
        <f>IF(AND((تسعير!$AT$5="B"),(Table158[[#Totals],[المسطح]]+Table1662[[#Totals],[Column12]])&gt;0),(((Table158[[#Totals],[المسطح]]+Table1662[[#Totals],[Column12]])+1)*Table663[[#This Row],[المعدل]]),0)</f>
        <v>4.596</v>
      </c>
      <c r="AN11" s="216"/>
      <c r="AO11" s="216" t="s">
        <v>464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.75" s="187" customFormat="1">
      <c r="A12" s="187" t="s">
        <v>465</v>
      </c>
      <c r="B12" s="187">
        <f>IF((تسعير!AT9=wavy1!A20),0,1)</f>
        <v>0</v>
      </c>
      <c r="D12" s="187">
        <v>500</v>
      </c>
      <c r="F12" s="392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87</v>
      </c>
      <c r="O12" s="214"/>
      <c r="P12" s="214"/>
      <c r="Q12" s="214"/>
      <c r="R12" s="211" t="s">
        <v>28</v>
      </c>
      <c r="S12" s="211"/>
      <c r="T12" s="242"/>
      <c r="U12" s="246">
        <v>85</v>
      </c>
      <c r="V12" s="240">
        <f t="shared" si="1"/>
        <v>170</v>
      </c>
      <c r="W12" s="241">
        <f t="shared" si="2" ca="1"/>
        <v>0.0028862514239975947</v>
      </c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78</v>
      </c>
      <c r="AK12" s="216">
        <v>0.1</v>
      </c>
      <c r="AL12" s="216"/>
      <c r="AM12" s="216">
        <f>IF(AND((تسعير!$AT$5="B"),(Table158[[#Totals],[المسطح]]+Table1662[[#Totals],[Column12]])&gt;0),(((Table158[[#Totals],[المسطح]]+Table1662[[#Totals],[Column12]])+1)*Table663[[#This Row],[المعدل]]),0)</f>
        <v>0.76600000000000013</v>
      </c>
      <c r="AN12" s="216"/>
      <c r="AO12" s="216" t="s">
        <v>466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.75" s="187" customFormat="1">
      <c r="A13" s="187" t="s">
        <v>467</v>
      </c>
      <c r="B13" s="187">
        <f>E4*2</f>
        <v>20</v>
      </c>
      <c r="D13" s="187">
        <v>10</v>
      </c>
      <c r="F13" s="392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89</v>
      </c>
      <c r="O13" s="214"/>
      <c r="P13" s="214"/>
      <c r="Q13" s="214"/>
      <c r="R13" s="211" t="s">
        <v>28</v>
      </c>
      <c r="S13" s="211"/>
      <c r="T13" s="242"/>
      <c r="U13" s="246">
        <v>75</v>
      </c>
      <c r="V13" s="240">
        <f t="shared" si="1"/>
        <v>75</v>
      </c>
      <c r="W13" s="241">
        <f t="shared" si="2" ca="1"/>
        <v>0.0012733462164695271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80</v>
      </c>
      <c r="AK13" s="216">
        <v>0.1</v>
      </c>
      <c r="AL13" s="216"/>
      <c r="AM13" s="216">
        <f>IF(AND((تسعير!$AT$5="B"),(Table158[[#Totals],[المسطح]]+Table1662[[#Totals],[Column12]])&gt;0),(((Table158[[#Totals],[المسطح]]+Table1662[[#Totals],[Column12]])+1)*Table663[[#This Row],[المعدل]]),0)</f>
        <v>0.76600000000000013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.75" s="187" customFormat="1">
      <c r="A14" s="195" t="s">
        <v>184</v>
      </c>
      <c r="B14" s="195">
        <f>IF((تسعير!AT9=wavy1!A20),1,0)</f>
        <v>1</v>
      </c>
      <c r="C14" s="195"/>
      <c r="D14" s="195">
        <v>8000</v>
      </c>
      <c r="E14" s="195"/>
      <c r="F14" s="392">
        <f t="shared" si="0"/>
        <v>8000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90</v>
      </c>
      <c r="O14" s="214"/>
      <c r="P14" s="214"/>
      <c r="Q14" s="214"/>
      <c r="R14" s="247" t="s">
        <v>91</v>
      </c>
      <c r="S14" s="247"/>
      <c r="T14" s="242"/>
      <c r="U14" s="246">
        <v>30</v>
      </c>
      <c r="V14" s="240">
        <f t="shared" si="1"/>
        <v>120</v>
      </c>
      <c r="W14" s="241">
        <f t="shared" si="2" ca="1"/>
        <v>0.002037353946351243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.75" s="187" customFormat="1">
      <c r="A15" s="394" t="s">
        <v>58</v>
      </c>
      <c r="B15" s="394"/>
      <c r="C15" s="394"/>
      <c r="D15" s="394"/>
      <c r="E15" s="394">
        <f>Table8[[#Totals],[اجمالي التكلفة]]/B1</f>
        <v>1912.1</v>
      </c>
      <c r="F15" s="395">
        <f>SUBTOTAL(109,Table8[اجمالي التكلفة])</f>
        <v>23901.25</v>
      </c>
      <c r="G15" s="394"/>
      <c r="H15" s="394"/>
      <c r="I15" s="394"/>
      <c r="J15" s="394"/>
      <c r="L15" s="211">
        <v>5</v>
      </c>
      <c r="M15" s="212"/>
      <c r="N15" s="213" t="s">
        <v>468</v>
      </c>
      <c r="O15" s="214"/>
      <c r="P15" s="214"/>
      <c r="Q15" s="214"/>
      <c r="R15" s="401" t="s">
        <v>469</v>
      </c>
      <c r="S15" s="250"/>
      <c r="T15" s="401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.75" s="187" customFormat="1">
      <c r="A16" s="195"/>
      <c r="B16" s="195"/>
      <c r="C16" s="195"/>
      <c r="D16" s="195"/>
      <c r="E16" s="195"/>
      <c r="F16" s="393"/>
      <c r="G16" s="195"/>
      <c r="H16" s="195"/>
      <c r="I16" s="195"/>
      <c r="J16" s="195"/>
      <c r="L16" s="211">
        <v>6</v>
      </c>
      <c r="M16" s="212"/>
      <c r="N16" s="213" t="s">
        <v>470</v>
      </c>
      <c r="O16" s="214"/>
      <c r="P16" s="214"/>
      <c r="Q16" s="214"/>
      <c r="R16" s="211" t="s">
        <v>471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.75" s="187" customFormat="1">
      <c r="B17" s="195"/>
      <c r="C17" s="195"/>
      <c r="D17" s="195"/>
      <c r="E17" s="195"/>
      <c r="F17" s="393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97</v>
      </c>
      <c r="O17" s="214"/>
      <c r="P17" s="214"/>
      <c r="Q17" s="214"/>
      <c r="R17" s="211" t="s">
        <v>91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0.040747078927024866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.75" s="187" customFormat="1">
      <c r="F18" s="392"/>
      <c r="G18" s="195"/>
      <c r="H18" s="195"/>
      <c r="I18" s="195"/>
      <c r="J18" s="195"/>
      <c r="L18" s="211" t="s">
        <v>58</v>
      </c>
      <c r="M18" s="212"/>
      <c r="N18" s="213" t="s">
        <v>58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3165</v>
      </c>
      <c r="W18" s="244">
        <f>Table1561[[#Totals],[اجمالي]]/$R$71</f>
        <v>0.053735210335014036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.75">
      <c r="A19" s="396" t="s">
        <v>472</v>
      </c>
      <c r="B19" s="397"/>
      <c r="C19" s="397"/>
      <c r="D19" s="397"/>
      <c r="E19" s="397"/>
      <c r="F19" s="397"/>
      <c r="G19" s="187"/>
      <c r="H19" s="187"/>
      <c r="I19" s="187"/>
      <c r="J19" s="187"/>
      <c r="L19" s="216"/>
      <c r="M19" s="216"/>
      <c r="N19" s="217"/>
      <c r="O19" s="629" t="s">
        <v>99</v>
      </c>
      <c r="P19" s="629"/>
      <c r="Q19" s="629"/>
      <c r="R19" s="629"/>
      <c r="S19" s="629"/>
      <c r="T19" s="629"/>
      <c r="U19" s="216"/>
      <c r="V19" s="216"/>
      <c r="W19" s="216"/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.75">
      <c r="A20" s="392" t="s">
        <v>184</v>
      </c>
      <c r="B20" s="397"/>
      <c r="C20" s="397"/>
      <c r="D20" s="397"/>
      <c r="E20" s="397"/>
      <c r="F20" s="397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63</v>
      </c>
      <c r="R20" s="211" t="s">
        <v>32</v>
      </c>
      <c r="S20" s="211" t="s">
        <v>33</v>
      </c>
      <c r="T20" s="211" t="s">
        <v>64</v>
      </c>
      <c r="U20" s="211" t="s">
        <v>35</v>
      </c>
      <c r="V20" s="245" t="s">
        <v>36</v>
      </c>
      <c r="W20" s="211" t="s">
        <v>37</v>
      </c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.75">
      <c r="A21" s="398"/>
      <c r="L21" s="211">
        <v>3</v>
      </c>
      <c r="M21" s="219">
        <f>IF((N3="A1"),2,IF((N3="A2"),2,0))</f>
        <v>0</v>
      </c>
      <c r="N21" s="220" t="s">
        <v>473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85</v>
      </c>
      <c r="S21" s="250">
        <v>7</v>
      </c>
      <c r="T21" s="211"/>
      <c r="U21" s="243">
        <f>S21*$S$2/1000</f>
        <v>350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.75">
      <c r="L22" s="211">
        <v>8</v>
      </c>
      <c r="M22" s="212">
        <f>M21*4</f>
        <v>0</v>
      </c>
      <c r="N22" s="213" t="s">
        <v>101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85</v>
      </c>
      <c r="S22" s="211">
        <v>0.75</v>
      </c>
      <c r="T22" s="211"/>
      <c r="U22" s="243">
        <f>S22*$S$2/1000</f>
        <v>37.5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.75">
      <c r="L23" s="211" t="s">
        <v>58</v>
      </c>
      <c r="M23" s="212">
        <f>SUBTOTAL(103,Table1662[عدد])</f>
        <v>2</v>
      </c>
      <c r="N23" s="213" t="s">
        <v>58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.75">
      <c r="L24" s="216"/>
      <c r="M24" s="216"/>
      <c r="N24" s="217"/>
      <c r="O24" s="629" t="s">
        <v>102</v>
      </c>
      <c r="P24" s="629"/>
      <c r="Q24" s="629"/>
      <c r="R24" s="629"/>
      <c r="S24" s="629"/>
      <c r="T24" s="629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63</v>
      </c>
      <c r="R25" s="211" t="s">
        <v>32</v>
      </c>
      <c r="S25" s="211" t="s">
        <v>33</v>
      </c>
      <c r="T25" s="211" t="s">
        <v>64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.75">
      <c r="L26" s="211">
        <v>3</v>
      </c>
      <c r="M26" s="222">
        <f>AM7/3</f>
        <v>0</v>
      </c>
      <c r="N26" s="213" t="s">
        <v>103</v>
      </c>
      <c r="O26" s="214"/>
      <c r="P26" s="214"/>
      <c r="Q26" s="214"/>
      <c r="R26" s="211" t="s">
        <v>104</v>
      </c>
      <c r="S26" s="211"/>
      <c r="T26" s="211"/>
      <c r="U26" s="248">
        <f>Sheet2!B24</f>
        <v>400</v>
      </c>
      <c r="V26" s="240">
        <f ref="V26:V34" t="shared" si="3">M26*U26</f>
        <v>0</v>
      </c>
      <c r="W26" s="241">
        <f ref="W26:W44" t="shared" si="4" ca="1">(V26)/$R$71</f>
        <v>0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.75">
      <c r="L27" s="211">
        <v>4</v>
      </c>
      <c r="M27" s="219">
        <v>3</v>
      </c>
      <c r="N27" s="218" t="s">
        <v>108</v>
      </c>
      <c r="O27" s="211"/>
      <c r="P27" s="211"/>
      <c r="Q27" s="211"/>
      <c r="R27" s="211" t="s">
        <v>109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0.00076400772988171619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.75">
      <c r="L28" s="211">
        <v>5</v>
      </c>
      <c r="M28" s="212">
        <v>3</v>
      </c>
      <c r="N28" s="218" t="s">
        <v>110</v>
      </c>
      <c r="O28" s="211"/>
      <c r="P28" s="211"/>
      <c r="Q28" s="211"/>
      <c r="R28" s="211" t="s">
        <v>109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0.00076400772988171619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.75">
      <c r="L29" s="211">
        <v>6</v>
      </c>
      <c r="M29" s="219">
        <v>1</v>
      </c>
      <c r="N29" s="213" t="s">
        <v>111</v>
      </c>
      <c r="O29" s="214"/>
      <c r="P29" s="214"/>
      <c r="Q29" s="214"/>
      <c r="R29" s="211" t="s">
        <v>112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0.00042444873882317567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.75">
      <c r="L30" s="211">
        <v>7</v>
      </c>
      <c r="M30" s="212">
        <v>1</v>
      </c>
      <c r="N30" s="213" t="s">
        <v>113</v>
      </c>
      <c r="O30" s="214"/>
      <c r="P30" s="214"/>
      <c r="Q30" s="214"/>
      <c r="R30" s="211" t="s">
        <v>112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0.0025466924329390541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.75">
      <c r="L31" s="211">
        <v>8</v>
      </c>
      <c r="M31" s="219">
        <v>2</v>
      </c>
      <c r="N31" s="213" t="s">
        <v>114</v>
      </c>
      <c r="O31" s="214"/>
      <c r="P31" s="214"/>
      <c r="Q31" s="214"/>
      <c r="R31" s="211" t="s">
        <v>85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0.0013582359642341621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.75">
      <c r="L32" s="211">
        <v>2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105</v>
      </c>
      <c r="S32" s="211"/>
      <c r="T32" s="211"/>
      <c r="U32" s="248">
        <f>Sheet2!B25</f>
        <v>105</v>
      </c>
      <c r="V32" s="240">
        <f t="shared" si="3"/>
        <v>221.05263157894737</v>
      </c>
      <c r="W32" s="241">
        <f t="shared" si="4" ca="1"/>
        <v>0.0037530204274891323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.75">
      <c r="L33" s="211">
        <v>1</v>
      </c>
      <c r="M33" s="222">
        <f>AM5</f>
        <v>0</v>
      </c>
      <c r="N33" s="213" t="s">
        <v>106</v>
      </c>
      <c r="O33" s="214"/>
      <c r="P33" s="214"/>
      <c r="Q33" s="214"/>
      <c r="R33" s="211" t="s">
        <v>85</v>
      </c>
      <c r="S33" s="211"/>
      <c r="T33" s="211"/>
      <c r="U33" s="248">
        <f>Sheet2!B26</f>
        <v>250</v>
      </c>
      <c r="V33" s="240">
        <f t="shared" si="3"/>
        <v>0</v>
      </c>
      <c r="W33" s="241">
        <f t="shared" si="4" ca="1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.75">
      <c r="L34" s="211">
        <v>9</v>
      </c>
      <c r="M34" s="222">
        <f>AM8</f>
        <v>0</v>
      </c>
      <c r="N34" s="213" t="s">
        <v>107</v>
      </c>
      <c r="O34" s="214"/>
      <c r="P34" s="214"/>
      <c r="Q34" s="214"/>
      <c r="R34" s="211" t="s">
        <v>85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 ca="1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.75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.75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.75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.75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.75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.75">
      <c r="L40" s="211"/>
      <c r="M40" s="212">
        <f>IF((تسعير!AT5="جلفنة و جوتن"),(Table158[[#Totals],[الوزن]]+Table1662[[#Totals],[الوزن]]),0)</f>
        <v>0</v>
      </c>
      <c r="N40" s="213" t="s">
        <v>132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0</v>
      </c>
      <c r="W40" s="251">
        <f t="shared" si="4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.75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5</v>
      </c>
      <c r="N41" s="213" t="s">
        <v>62</v>
      </c>
      <c r="O41" s="214"/>
      <c r="P41" s="214"/>
      <c r="Q41" s="214"/>
      <c r="R41" s="211" t="s">
        <v>115</v>
      </c>
      <c r="S41" s="211"/>
      <c r="T41" s="211"/>
      <c r="U41" s="248">
        <f>Sheet2!B18</f>
        <v>450</v>
      </c>
      <c r="V41" s="240">
        <f t="shared" si="5"/>
        <v>2250</v>
      </c>
      <c r="W41" s="251">
        <f t="shared" si="4" ca="1"/>
        <v>0.03820038649408581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.75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5</v>
      </c>
      <c r="N42" s="218" t="s">
        <v>70</v>
      </c>
      <c r="O42" s="214"/>
      <c r="P42" s="214"/>
      <c r="Q42" s="214"/>
      <c r="R42" s="218" t="s">
        <v>116</v>
      </c>
      <c r="S42" s="211"/>
      <c r="T42" s="211"/>
      <c r="U42" s="248">
        <f>Sheet2!B20</f>
        <v>550</v>
      </c>
      <c r="V42" s="240">
        <f t="shared" si="5"/>
        <v>2750</v>
      </c>
      <c r="W42" s="251">
        <f t="shared" si="4" ca="1"/>
        <v>0.046689361270549325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.75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5</v>
      </c>
      <c r="N43" s="218" t="s">
        <v>78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800</v>
      </c>
      <c r="W43" s="251">
        <f t="shared" si="4" ca="1"/>
        <v>0.013582359642341621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.75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5</v>
      </c>
      <c r="N44" s="218" t="s">
        <v>80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800</v>
      </c>
      <c r="W44" s="251">
        <f t="shared" si="4" ca="1"/>
        <v>0.013582359642341621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.75">
      <c r="L45" s="211" t="s">
        <v>58</v>
      </c>
      <c r="M45" s="212"/>
      <c r="N45" s="213" t="s">
        <v>58</v>
      </c>
      <c r="O45" s="214"/>
      <c r="P45" s="214"/>
      <c r="Q45" s="214"/>
      <c r="R45" s="211" t="s">
        <v>118</v>
      </c>
      <c r="S45" s="211"/>
      <c r="T45" s="211"/>
      <c r="U45" s="242"/>
      <c r="V45" s="240">
        <f>SUBTOTAL(109,Table1359[اجمالي])</f>
        <v>7166.0526315789475</v>
      </c>
      <c r="W45" s="244">
        <f>Table1359[[#Totals],[اجمالي]]/$R$71</f>
        <v>0.12166488007256733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.75">
      <c r="L47" s="216"/>
      <c r="M47" s="216"/>
      <c r="N47" s="217"/>
      <c r="O47" s="629" t="s">
        <v>131</v>
      </c>
      <c r="P47" s="629"/>
      <c r="Q47" s="629"/>
      <c r="R47" s="629"/>
      <c r="S47" s="629"/>
      <c r="T47" s="629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63</v>
      </c>
      <c r="R48" s="211" t="s">
        <v>32</v>
      </c>
      <c r="S48" s="211" t="s">
        <v>33</v>
      </c>
      <c r="T48" s="211" t="s">
        <v>64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.75">
      <c r="L49" s="211">
        <v>1</v>
      </c>
      <c r="M49" s="219">
        <v>0</v>
      </c>
      <c r="N49" s="214" t="s">
        <v>474</v>
      </c>
      <c r="O49" s="214"/>
      <c r="P49" s="211"/>
      <c r="Q49" s="216"/>
      <c r="R49" s="247" t="s">
        <v>475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.75">
      <c r="L50" s="211">
        <v>5</v>
      </c>
      <c r="M50" s="219">
        <v>1</v>
      </c>
      <c r="N50" s="213" t="s">
        <v>476</v>
      </c>
      <c r="O50" s="214"/>
      <c r="P50" s="211"/>
      <c r="Q50" s="216"/>
      <c r="R50" s="214"/>
      <c r="S50" s="211"/>
      <c r="T50" s="247"/>
      <c r="U50" s="248">
        <f>Table8[[#Totals],[اجمالي التكلفة]]</f>
        <v>23901.25</v>
      </c>
      <c r="V50" s="240">
        <f>M50*Table161368[[#This Row],[سعر الشبك ]]</f>
        <v>23901.25</v>
      </c>
      <c r="W50" s="241">
        <f t="shared" si="6" ca="1"/>
        <v>0.40579421675189709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23901.25</v>
      </c>
      <c r="V51" s="240">
        <f>M51*Table161368[[#This Row],[سعر الشبك ]]</f>
        <v>2390.125</v>
      </c>
      <c r="W51" s="241">
        <f t="shared" si="6" ca="1"/>
        <v>0.040579421675189707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.75">
      <c r="L52" s="211" t="s">
        <v>58</v>
      </c>
      <c r="M52" s="212"/>
      <c r="N52" s="213" t="s">
        <v>58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26291.375</v>
      </c>
      <c r="W52" s="244">
        <f>Table161368[[#Totals],[اجمالي]]/$R$71</f>
        <v>0.44637363842708683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.75">
      <c r="L53" s="216"/>
      <c r="M53" s="216"/>
      <c r="N53" s="217"/>
      <c r="O53" s="629" t="s">
        <v>133</v>
      </c>
      <c r="P53" s="629"/>
      <c r="Q53" s="629"/>
      <c r="R53" s="629"/>
      <c r="S53" s="629"/>
      <c r="T53" s="629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134</v>
      </c>
      <c r="P54" s="211" t="s">
        <v>12</v>
      </c>
      <c r="Q54" s="211" t="s">
        <v>135</v>
      </c>
      <c r="R54" s="211" t="s">
        <v>136</v>
      </c>
      <c r="S54" s="211" t="s">
        <v>63</v>
      </c>
      <c r="T54" s="211" t="s">
        <v>137</v>
      </c>
      <c r="U54" s="211" t="s">
        <v>138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.75">
      <c r="L55" s="211">
        <v>1</v>
      </c>
      <c r="M55" s="219">
        <v>2</v>
      </c>
      <c r="N55" s="220" t="s">
        <v>139</v>
      </c>
      <c r="O55" s="211">
        <f>IF((Table161267[[#This Row],[موقع العمل]]="المصنع"),200,IF((Table161267[[#This Row],[موقع العمل]]="الاسكندرية"),200,250))</f>
        <v>200</v>
      </c>
      <c r="P55" s="211">
        <f>SUMIF(Table1769[Column1],Table161267[[#This Row],[موقع العمل]],$AB$2:$AB$20)</f>
        <v>0</v>
      </c>
      <c r="Q55" s="211" t="s">
        <v>140</v>
      </c>
      <c r="R55" s="214" t="s">
        <v>39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5" s="240">
        <f ref="V55:V67" t="shared" si="7" ca="1">M55*U55</f>
        <v>400</v>
      </c>
      <c r="W55" s="241">
        <f ref="W55:W67" t="shared" si="8" ca="1">(V55)/$R$71</f>
        <v>0.0067911798211708107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.75">
      <c r="L56" s="211">
        <v>2</v>
      </c>
      <c r="M56" s="219">
        <v>2</v>
      </c>
      <c r="N56" s="220" t="s">
        <v>141</v>
      </c>
      <c r="O56" s="211">
        <f>IF((Table161267[[#This Row],[موقع العمل]]="المصنع"),200,IF((Table161267[[#This Row],[موقع العمل]]="الاسكندرية"),200,250))</f>
        <v>200</v>
      </c>
      <c r="P56" s="211">
        <f>SUMIF(Table1769[Column1],Table161267[[#This Row],[موقع العمل]],$AB$2:$AB$20)</f>
        <v>0</v>
      </c>
      <c r="Q56" s="211" t="s">
        <v>140</v>
      </c>
      <c r="R56" s="214" t="s">
        <v>39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6" s="240">
        <f t="shared" si="7" ca="1"/>
        <v>400</v>
      </c>
      <c r="W56" s="241">
        <f t="shared" si="8" ca="1"/>
        <v>0.0067911798211708107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.75">
      <c r="L57" s="211">
        <v>3</v>
      </c>
      <c r="M57" s="219">
        <v>3</v>
      </c>
      <c r="N57" s="220" t="s">
        <v>142</v>
      </c>
      <c r="O57" s="211">
        <f>IF((Table161267[[#This Row],[موقع العمل]]="المصنع"),200,IF((Table161267[[#This Row],[موقع العمل]]="الاسكندرية"),200,250))</f>
        <v>200</v>
      </c>
      <c r="P57" s="211">
        <f>SUMIF(Table1769[Column1],Table161267[[#This Row],[موقع العمل]],$AB$2:$AB$20)</f>
        <v>0</v>
      </c>
      <c r="Q57" s="211" t="s">
        <v>140</v>
      </c>
      <c r="R57" s="214" t="s">
        <v>39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7" s="240">
        <f t="shared" si="7" ca="1"/>
        <v>600</v>
      </c>
      <c r="W57" s="241">
        <f t="shared" si="8" ca="1"/>
        <v>0.010186769731756216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.75">
      <c r="L58" s="211">
        <v>4</v>
      </c>
      <c r="M58" s="212">
        <v>3</v>
      </c>
      <c r="N58" s="220" t="s">
        <v>143</v>
      </c>
      <c r="O58" s="211">
        <f>IF((Table161267[[#This Row],[موقع العمل]]="المصنع"),200,IF((Table161267[[#This Row],[موقع العمل]]="الاسكندرية"),200,250))</f>
        <v>200</v>
      </c>
      <c r="P58" s="211">
        <f>SUMIF(Table1769[Column1],Table161267[[#This Row],[موقع العمل]],$AB$2:$AB$20)</f>
        <v>0</v>
      </c>
      <c r="Q58" s="211" t="s">
        <v>140</v>
      </c>
      <c r="R58" s="214" t="s">
        <v>39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8" s="240">
        <f t="shared" si="7" ca="1"/>
        <v>600</v>
      </c>
      <c r="W58" s="241">
        <f t="shared" si="8" ca="1"/>
        <v>0.010186769731756216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.75">
      <c r="L59" s="211">
        <v>5</v>
      </c>
      <c r="M59" s="212">
        <v>4</v>
      </c>
      <c r="N59" s="220" t="s">
        <v>144</v>
      </c>
      <c r="O59" s="211">
        <f>IF((Table161267[[#This Row],[موقع العمل]]="المصنع"),200,IF((Table161267[[#This Row],[موقع العمل]]="الاسكندرية"),200,250))</f>
        <v>250</v>
      </c>
      <c r="P59" s="211">
        <f>SUMIF(Table1769[Column1],Table161267[[#This Row],[موقع العمل]],$AB$2:$AB$20)</f>
        <v>75</v>
      </c>
      <c r="Q59" s="211" t="str">
        <f>تسعير!$AT$4</f>
        <v>الشيخ زايد</v>
      </c>
      <c r="R59" s="214" t="s">
        <v>39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59" s="240">
        <f t="shared" si="7" ca="1"/>
        <v>2600</v>
      </c>
      <c r="W59" s="241">
        <f t="shared" si="8" ca="1"/>
        <v>0.044142668837610269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.75">
      <c r="L60" s="211">
        <v>6</v>
      </c>
      <c r="M60" s="212">
        <v>3</v>
      </c>
      <c r="N60" s="220" t="s">
        <v>145</v>
      </c>
      <c r="O60" s="211">
        <f>IF((Table161267[[#This Row],[موقع العمل]]="المصنع"),200,IF((Table161267[[#This Row],[موقع العمل]]="الاسكندرية"),200,250))</f>
        <v>250</v>
      </c>
      <c r="P60" s="211">
        <f>SUMIF(Table1769[Column1],Table161267[[#This Row],[موقع العمل]],$AB$2:$AB$20)</f>
        <v>75</v>
      </c>
      <c r="Q60" s="211" t="str">
        <f>تسعير!$AT$4</f>
        <v>الشيخ زايد</v>
      </c>
      <c r="R60" s="214" t="s">
        <v>39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60" s="240">
        <f t="shared" si="7" ca="1"/>
        <v>1950</v>
      </c>
      <c r="W60" s="241">
        <f t="shared" si="8" ca="1"/>
        <v>0.033107001628207705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.75">
      <c r="L61" s="211">
        <v>7</v>
      </c>
      <c r="M61" s="212">
        <v>0</v>
      </c>
      <c r="N61" s="220" t="s">
        <v>146</v>
      </c>
      <c r="O61" s="211">
        <f>IF((Table161267[[#This Row],[موقع العمل]]="المصنع"),200,IF((Table161267[[#This Row],[موقع العمل]]="الاسكندرية"),200,250))</f>
        <v>250</v>
      </c>
      <c r="P61" s="211">
        <f>SUMIF(Table1769[Column1],Table161267[[#This Row],[موقع العمل]],$AB$2:$AB$20)</f>
        <v>75</v>
      </c>
      <c r="Q61" s="211" t="str">
        <f>تسعير!$AT$4</f>
        <v>الشيخ زايد</v>
      </c>
      <c r="R61" s="214" t="s">
        <v>39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.75">
      <c r="L62" s="211">
        <v>8</v>
      </c>
      <c r="M62" s="212">
        <v>4</v>
      </c>
      <c r="N62" s="220" t="s">
        <v>147</v>
      </c>
      <c r="O62" s="211">
        <f>IF((Table161267[[#This Row],[موقع العمل]]="المصنع"),200,IF((Table161267[[#This Row],[موقع العمل]]="الاسكندرية"),200,250))</f>
        <v>250</v>
      </c>
      <c r="P62" s="211">
        <f>SUMIF(Table1769[Column1],Table161267[[#This Row],[موقع العمل]],$AB$2:$AB$20)</f>
        <v>75</v>
      </c>
      <c r="Q62" s="211" t="str">
        <f>تسعير!$AT$4</f>
        <v>الشيخ زايد</v>
      </c>
      <c r="R62" s="214" t="s">
        <v>39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325</v>
      </c>
      <c r="V62" s="240">
        <f t="shared" si="7" ca="1"/>
        <v>1300</v>
      </c>
      <c r="W62" s="241">
        <f t="shared" si="8" ca="1"/>
        <v>0.022071334418805134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.75">
      <c r="L63" s="211">
        <v>9</v>
      </c>
      <c r="M63" s="212">
        <f>(M59+M60+M61+M62)*2</f>
        <v>22</v>
      </c>
      <c r="N63" s="220" t="s">
        <v>148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120</v>
      </c>
      <c r="T63" s="247"/>
      <c r="U63" s="243">
        <f>Table161267[[#This Row],[Column12]]</f>
        <v>120</v>
      </c>
      <c r="V63" s="240">
        <f t="shared" si="7" ca="1"/>
        <v>2640</v>
      </c>
      <c r="W63" s="241">
        <f t="shared" si="8" ca="1"/>
        <v>0.044821786819727351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.75">
      <c r="L64" s="211">
        <v>10</v>
      </c>
      <c r="M64" s="212">
        <f>IF((تسعير!$AU$14="بالتات"),0,((T59+T60+T61+T62)*2)-3)</f>
        <v>7</v>
      </c>
      <c r="N64" s="220" t="s">
        <v>149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250</v>
      </c>
      <c r="T64" s="247"/>
      <c r="U64" s="243">
        <f>Table161267[[#This Row],[Column12]]</f>
        <v>250</v>
      </c>
      <c r="V64" s="240">
        <f t="shared" si="7" ca="1"/>
        <v>1750</v>
      </c>
      <c r="W64" s="241">
        <f t="shared" si="8" ca="1"/>
        <v>0.029711411717622295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.75">
      <c r="L65" s="211">
        <v>11</v>
      </c>
      <c r="M65" s="212">
        <v>0</v>
      </c>
      <c r="N65" s="220" t="s">
        <v>150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1500</v>
      </c>
      <c r="T65" s="247"/>
      <c r="U65" s="243">
        <f>Table161267[[#This Row],[Column12]]</f>
        <v>1500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.75">
      <c r="L66" s="211">
        <v>12</v>
      </c>
      <c r="M66" s="212">
        <f>IF((تسعير!$AU$14="بالتات"),1,2)</f>
        <v>2</v>
      </c>
      <c r="N66" s="220" t="s">
        <v>151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2300</v>
      </c>
      <c r="T66" s="247"/>
      <c r="U66" s="243">
        <f>Table161267[[#This Row],[Column12]]</f>
        <v>2300</v>
      </c>
      <c r="V66" s="240">
        <f t="shared" si="7" ca="1"/>
        <v>4600</v>
      </c>
      <c r="W66" s="241">
        <f t="shared" si="8" ca="1"/>
        <v>0.078098567943464328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.75">
      <c r="L67" s="211">
        <v>13</v>
      </c>
      <c r="M67" s="212">
        <f>IF((تسعير!$AU$14="بالتات"),0,M64-2)</f>
        <v>5</v>
      </c>
      <c r="N67" s="220" t="s">
        <v>15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120</v>
      </c>
      <c r="T67" s="247"/>
      <c r="U67" s="243">
        <f>Table161267[[#This Row],[Column12]]</f>
        <v>120</v>
      </c>
      <c r="V67" s="240">
        <f t="shared" si="7" ca="1"/>
        <v>600</v>
      </c>
      <c r="W67" s="241">
        <f t="shared" si="8" ca="1"/>
        <v>0.010186769731756216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.75">
      <c r="L68" s="518" t="s">
        <v>58</v>
      </c>
      <c r="M68" s="519"/>
      <c r="N68" s="520" t="s">
        <v>58</v>
      </c>
      <c r="O68" s="518"/>
      <c r="P68" s="518"/>
      <c r="Q68" s="521"/>
      <c r="R68" s="521"/>
      <c r="S68" s="522">
        <f>SUBTOTAL(109,Table161267[Column12])</f>
        <v>4290</v>
      </c>
      <c r="T68" s="518"/>
      <c r="U68" s="523"/>
      <c r="V68" s="524">
        <f>SUBTOTAL(109,Table161267[اجمالي])</f>
        <v>17440</v>
      </c>
      <c r="W68" s="525">
        <f>Table161267[[#Totals],[اجمالي]]/$R$71</f>
        <v>0.29609544020304734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.75">
      <c r="L69" s="216"/>
      <c r="M69" s="216"/>
      <c r="N69" s="217"/>
      <c r="O69" s="622"/>
      <c r="P69" s="622"/>
      <c r="Q69" s="622"/>
      <c r="R69" s="622"/>
      <c r="S69" s="622"/>
      <c r="T69" s="622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.75">
      <c r="L70" s="211"/>
      <c r="M70" s="211"/>
      <c r="N70" s="218" t="s">
        <v>9</v>
      </c>
      <c r="O70" s="211" t="s">
        <v>152</v>
      </c>
      <c r="P70" s="211" t="s">
        <v>153</v>
      </c>
      <c r="Q70" s="211" t="s">
        <v>154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.75">
      <c r="L71" s="211"/>
      <c r="M71" s="219"/>
      <c r="N71" s="213" t="s">
        <v>155</v>
      </c>
      <c r="O71" s="214"/>
      <c r="P71" s="211"/>
      <c r="Q71" s="290"/>
      <c r="R71" s="291">
        <f>Table161267[[#Totals],[اجمالي]]+Table161368[[#Totals],[اجمالي]]+Table1359[[#Totals],[اجمالي]]+Table1662[[#Totals],[اجمالي]]+Table1561[[#Totals],[اجمالي]]+Table158[[#Totals],[اجمالي]]</f>
        <v>58899.927631578947</v>
      </c>
      <c r="S71" s="211"/>
      <c r="T71" s="211"/>
      <c r="U71" s="243"/>
      <c r="V71" s="292"/>
      <c r="W71" s="293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.75">
      <c r="L72" s="211"/>
      <c r="M72" s="212"/>
      <c r="N72" s="213" t="s">
        <v>156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R71*(1+Table1870[[#This Row],[Column3]])</f>
        <v>76569.905921052632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12D7DFA-9CD3-470D-88FC-3E460BD27246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dimension ref="A1:AS179"/>
  <sheetViews>
    <sheetView rightToLeft="1" zoomScale="70" zoomScaleNormal="70" workbookViewId="0">
      <selection activeCell="F3" sqref="F3:F15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9.5703125" customWidth="1" style="1"/>
    <col min="39" max="39" width="18.42578125" customWidth="1" style="1"/>
    <col min="40" max="16384" width="9.140625" customWidth="1" style="1"/>
  </cols>
  <sheetData>
    <row r="1" ht="21">
      <c r="A1" s="390" t="s">
        <v>443</v>
      </c>
      <c r="B1" s="271">
        <f>(F1*D1)/10000</f>
        <v>35</v>
      </c>
      <c r="C1" s="272" t="s">
        <v>427</v>
      </c>
      <c r="D1" s="273">
        <f>تسعير!BL12</f>
        <v>700</v>
      </c>
      <c r="E1" s="272" t="s">
        <v>125</v>
      </c>
      <c r="F1" s="273">
        <f>تسعير!BG10</f>
        <v>500</v>
      </c>
      <c r="G1" s="167"/>
      <c r="H1" s="167"/>
      <c r="I1" s="167"/>
      <c r="J1" s="167"/>
      <c r="K1" s="167"/>
      <c r="L1" s="623" t="s">
        <v>0</v>
      </c>
      <c r="M1" s="624"/>
      <c r="N1" s="625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0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91" t="s">
        <v>444</v>
      </c>
      <c r="B2" s="187" t="s">
        <v>445</v>
      </c>
      <c r="C2" s="187" t="s">
        <v>446</v>
      </c>
      <c r="D2" s="187" t="s">
        <v>64</v>
      </c>
      <c r="E2" s="187" t="s">
        <v>447</v>
      </c>
      <c r="F2" s="187" t="s">
        <v>155</v>
      </c>
      <c r="G2" s="1" t="s">
        <v>9</v>
      </c>
      <c r="H2" s="1" t="s">
        <v>30</v>
      </c>
      <c r="I2" s="1" t="s">
        <v>154</v>
      </c>
      <c r="J2" s="1" t="s">
        <v>26</v>
      </c>
      <c r="L2" s="626"/>
      <c r="M2" s="627"/>
      <c r="N2" s="628"/>
      <c r="O2" s="203"/>
      <c r="P2" s="204"/>
      <c r="Q2" s="228">
        <f>O2*P2</f>
        <v>0</v>
      </c>
      <c r="R2" s="229" t="e">
        <f>R72/Q2</f>
        <v>#DIV/0!</v>
      </c>
      <c r="S2" s="230">
        <f>Sheet2!B12</f>
        <v>50000</v>
      </c>
      <c r="T2" s="231">
        <f>Sheet2!B13</f>
        <v>55000</v>
      </c>
      <c r="U2" s="232">
        <f>Sheet2!B14</f>
        <v>230000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448</v>
      </c>
      <c r="B3" s="187">
        <f>MAX(G3:I3)</f>
        <v>7</v>
      </c>
      <c r="C3" s="187">
        <v>2.25</v>
      </c>
      <c r="D3" s="187">
        <f>IF((تسعير!$AT$6="سادة"),((wavy1!$U$2+25000)/1000),IF((تسعير!$AT$6="خشبي"),((wavy1!$U$2+wavy1!$V$2)/1000),0))</f>
        <v>255</v>
      </c>
      <c r="E3" s="187">
        <v>2</v>
      </c>
      <c r="F3" s="392">
        <f>B3*C3*D3*E3</f>
        <v>8032.5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630" t="s">
        <v>17</v>
      </c>
      <c r="M3" s="631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18</v>
      </c>
      <c r="R3" s="632">
        <f>NOW()</f>
        <v>45447.291791192132</v>
      </c>
      <c r="S3" s="633"/>
      <c r="T3" s="633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.75" s="187" customFormat="1">
      <c r="A4" s="187" t="s">
        <v>449</v>
      </c>
      <c r="B4" s="187">
        <f>MAX(G4:J4)</f>
        <v>5</v>
      </c>
      <c r="C4" s="187">
        <v>0.56</v>
      </c>
      <c r="D4" s="187">
        <f>IF((تسعير!$AT$6="سادة"),((wavy1!$U$2+25000)/1000),IF((تسعير!$AT$6="خشبي"),((wavy1!$U$2+wavy1!$V$2)/1000),0))</f>
        <v>255</v>
      </c>
      <c r="E4" s="187">
        <f>CEILING(D1/60,1)+1</f>
        <v>13</v>
      </c>
      <c r="F4" s="392">
        <f>B4*C4*D4*E4</f>
        <v>9282.0000000000018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629" t="s">
        <v>20</v>
      </c>
      <c r="P4" s="629"/>
      <c r="Q4" s="629"/>
      <c r="R4" s="629"/>
      <c r="S4" s="629"/>
      <c r="T4" s="629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/>
      <c r="AP4" s="207"/>
      <c r="AQ4" s="207"/>
      <c r="AR4" s="207"/>
      <c r="AS4" s="207"/>
    </row>
    <row r="5" ht="18.75" s="187" customFormat="1">
      <c r="A5" s="187" t="s">
        <v>451</v>
      </c>
      <c r="B5" s="187">
        <f>B3*3</f>
        <v>21</v>
      </c>
      <c r="D5" s="187">
        <v>50</v>
      </c>
      <c r="E5" s="187">
        <v>2</v>
      </c>
      <c r="F5" s="392">
        <f>B5*D5*E5</f>
        <v>2100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64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.75" s="187" customFormat="1">
      <c r="A6" s="187" t="s">
        <v>453</v>
      </c>
      <c r="B6" s="187">
        <f>E4*2</f>
        <v>26</v>
      </c>
      <c r="D6" s="187">
        <v>15</v>
      </c>
      <c r="F6" s="392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42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43</v>
      </c>
      <c r="S6" s="211">
        <v>8.5</v>
      </c>
      <c r="T6" s="211"/>
      <c r="U6" s="243">
        <f>S6*$S$2/1000</f>
        <v>425</v>
      </c>
      <c r="V6" s="240">
        <f>M6*U6</f>
        <v>0</v>
      </c>
      <c r="W6" s="241">
        <f>(V6)/$R$71</f>
        <v>0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.75" s="187" customFormat="1">
      <c r="A7" s="187" t="s">
        <v>455</v>
      </c>
      <c r="B7" s="187">
        <f>(((D1/(E4-1)+10)*(E4-1))*F1)/10000</f>
        <v>41.000000000000007</v>
      </c>
      <c r="D7" s="187">
        <v>225</v>
      </c>
      <c r="F7" s="392">
        <f t="shared" si="0"/>
        <v>9225.0000000000018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51</v>
      </c>
      <c r="O7" s="399">
        <v>0.1</v>
      </c>
      <c r="P7" s="399">
        <v>0.05</v>
      </c>
      <c r="Q7" s="216">
        <f>(Table15855[[#This Row],[Column1]]+Table15855[[#This Row],[Column2]])*12*Table15855[[#This Row],[عدد]]</f>
        <v>7.2000000000000011</v>
      </c>
      <c r="R7" s="211" t="s">
        <v>43</v>
      </c>
      <c r="S7" s="211">
        <v>28.5</v>
      </c>
      <c r="T7" s="211"/>
      <c r="U7" s="243">
        <f>S7*$S$2/1000</f>
        <v>1425</v>
      </c>
      <c r="V7" s="240">
        <f>M7*U7</f>
        <v>5700</v>
      </c>
      <c r="W7" s="241">
        <f>(V7)/$R$71</f>
        <v>0.07411478731735259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.75" s="187" customFormat="1">
      <c r="A8" s="187" t="s">
        <v>457</v>
      </c>
      <c r="B8" s="187">
        <f>MAX(G8:H8)</f>
        <v>6</v>
      </c>
      <c r="D8" s="187">
        <v>320</v>
      </c>
      <c r="F8" s="392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58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5700</v>
      </c>
      <c r="W8" s="244">
        <f>Table15855[[#Totals],[اجمالي]]/$R$71</f>
        <v>0.07411478731735259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.75" s="187" customFormat="1">
      <c r="A9" s="187" t="s">
        <v>459</v>
      </c>
      <c r="B9" s="187">
        <v>2</v>
      </c>
      <c r="D9" s="187">
        <v>100</v>
      </c>
      <c r="F9" s="392">
        <f t="shared" si="0"/>
        <v>200</v>
      </c>
      <c r="G9" s="195"/>
      <c r="H9" s="195"/>
      <c r="I9" s="195"/>
      <c r="J9" s="195"/>
      <c r="L9" s="216"/>
      <c r="M9" s="216"/>
      <c r="N9" s="217"/>
      <c r="O9" s="629" t="s">
        <v>76</v>
      </c>
      <c r="P9" s="629"/>
      <c r="Q9" s="629"/>
      <c r="R9" s="629"/>
      <c r="S9" s="629"/>
      <c r="T9" s="629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/>
      <c r="AP9" s="216"/>
      <c r="AQ9" s="216"/>
      <c r="AR9" s="216"/>
      <c r="AS9" s="216"/>
    </row>
    <row r="10" ht="18.75" s="187" customFormat="1">
      <c r="A10" s="187" t="s">
        <v>461</v>
      </c>
      <c r="B10" s="187">
        <v>8</v>
      </c>
      <c r="D10" s="187">
        <v>35</v>
      </c>
      <c r="F10" s="392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63</v>
      </c>
      <c r="R10" s="211" t="s">
        <v>32</v>
      </c>
      <c r="S10" s="211" t="s">
        <v>33</v>
      </c>
      <c r="T10" s="211" t="s">
        <v>64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.75" s="187" customFormat="1">
      <c r="A11" s="187" t="s">
        <v>463</v>
      </c>
      <c r="B11" s="187">
        <v>2</v>
      </c>
      <c r="D11" s="187">
        <v>100</v>
      </c>
      <c r="F11" s="392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81</v>
      </c>
      <c r="O11" s="214"/>
      <c r="P11" s="214"/>
      <c r="Q11" s="214"/>
      <c r="R11" s="211" t="s">
        <v>82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0.0052010377064808837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/>
      <c r="AK11" s="216"/>
      <c r="AL11" s="216"/>
      <c r="AM11" s="216"/>
      <c r="AN11" s="216"/>
      <c r="AO11" s="216"/>
      <c r="AP11" s="216"/>
      <c r="AQ11" s="216"/>
      <c r="AR11" s="216"/>
      <c r="AS11" s="216"/>
    </row>
    <row r="12" ht="18.75" s="187" customFormat="1">
      <c r="A12" s="187" t="s">
        <v>465</v>
      </c>
      <c r="B12" s="187">
        <f>IF((تسعير!BE9=A20),0,1)</f>
        <v>0</v>
      </c>
      <c r="D12" s="187">
        <v>500</v>
      </c>
      <c r="F12" s="392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87</v>
      </c>
      <c r="O12" s="214"/>
      <c r="P12" s="214"/>
      <c r="Q12" s="214"/>
      <c r="R12" s="211" t="s">
        <v>28</v>
      </c>
      <c r="S12" s="211"/>
      <c r="T12" s="242"/>
      <c r="U12" s="246">
        <v>85</v>
      </c>
      <c r="V12" s="240">
        <f t="shared" si="1"/>
        <v>170</v>
      </c>
      <c r="W12" s="241">
        <f t="shared" si="2"/>
        <v>0.0022104410252543755</v>
      </c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70</v>
      </c>
      <c r="AK12" s="216">
        <v>0.6</v>
      </c>
      <c r="AL12" s="216"/>
      <c r="AM12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.75" s="187" customFormat="1">
      <c r="A13" s="187" t="s">
        <v>467</v>
      </c>
      <c r="B13" s="187">
        <f>E4*2</f>
        <v>26</v>
      </c>
      <c r="D13" s="187">
        <v>10</v>
      </c>
      <c r="F13" s="392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89</v>
      </c>
      <c r="O13" s="214"/>
      <c r="P13" s="214"/>
      <c r="Q13" s="214"/>
      <c r="R13" s="211" t="s">
        <v>28</v>
      </c>
      <c r="S13" s="211"/>
      <c r="T13" s="242"/>
      <c r="U13" s="246">
        <v>75</v>
      </c>
      <c r="V13" s="240">
        <f t="shared" si="1"/>
        <v>75</v>
      </c>
      <c r="W13" s="241">
        <f t="shared" si="2"/>
        <v>0.00097519456996516564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73</v>
      </c>
      <c r="AK13" s="216"/>
      <c r="AL13" s="216"/>
      <c r="AM13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.75" s="187" customFormat="1">
      <c r="A14" s="195" t="s">
        <v>184</v>
      </c>
      <c r="B14" s="195">
        <f>IF((تسعير!BE9=A20),1,0)</f>
        <v>1</v>
      </c>
      <c r="C14" s="195"/>
      <c r="D14" s="195">
        <v>8000</v>
      </c>
      <c r="E14" s="195"/>
      <c r="F14" s="392">
        <f t="shared" si="0"/>
        <v>8000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90</v>
      </c>
      <c r="O14" s="214"/>
      <c r="P14" s="214"/>
      <c r="Q14" s="214"/>
      <c r="R14" s="247" t="s">
        <v>91</v>
      </c>
      <c r="S14" s="247"/>
      <c r="T14" s="242"/>
      <c r="U14" s="246">
        <v>30</v>
      </c>
      <c r="V14" s="240">
        <f t="shared" si="1"/>
        <v>480</v>
      </c>
      <c r="W14" s="241">
        <f t="shared" si="2"/>
        <v>0.0062412452477770605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8"/>
      <c r="AK14" s="216"/>
      <c r="AL14" s="216"/>
      <c r="AM14" s="216"/>
      <c r="AN14" s="216"/>
      <c r="AO14" s="216"/>
      <c r="AP14" s="216"/>
      <c r="AQ14" s="216"/>
      <c r="AR14" s="216"/>
      <c r="AS14" s="216"/>
    </row>
    <row r="15" ht="18.75" s="187" customFormat="1">
      <c r="A15" s="195"/>
      <c r="B15" s="195"/>
      <c r="C15" s="195"/>
      <c r="D15" s="195"/>
      <c r="E15" s="195"/>
      <c r="F15" s="393"/>
      <c r="G15" s="195"/>
      <c r="H15" s="195"/>
      <c r="I15" s="195"/>
      <c r="J15" s="195"/>
      <c r="L15" s="211">
        <v>5</v>
      </c>
      <c r="M15" s="212"/>
      <c r="N15" s="213" t="s">
        <v>468</v>
      </c>
      <c r="O15" s="214"/>
      <c r="P15" s="214"/>
      <c r="Q15" s="214"/>
      <c r="R15" s="401" t="s">
        <v>469</v>
      </c>
      <c r="S15" s="250"/>
      <c r="T15" s="401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8" t="s">
        <v>78</v>
      </c>
      <c r="AK15" s="216">
        <v>0.1</v>
      </c>
      <c r="AL15" s="216"/>
      <c r="AM15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.75" s="187" customFormat="1">
      <c r="A16" s="195"/>
      <c r="B16" s="195"/>
      <c r="C16" s="195"/>
      <c r="D16" s="195"/>
      <c r="E16" s="195"/>
      <c r="F16" s="393"/>
      <c r="G16" s="195"/>
      <c r="H16" s="195"/>
      <c r="I16" s="195"/>
      <c r="J16" s="195"/>
      <c r="L16" s="211">
        <v>6</v>
      </c>
      <c r="M16" s="212"/>
      <c r="N16" s="213" t="s">
        <v>470</v>
      </c>
      <c r="O16" s="214"/>
      <c r="P16" s="214"/>
      <c r="Q16" s="214"/>
      <c r="R16" s="211" t="s">
        <v>471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8" t="s">
        <v>80</v>
      </c>
      <c r="AK16" s="216">
        <v>0.1</v>
      </c>
      <c r="AL16" s="216"/>
      <c r="AM16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.75" s="187" customFormat="1">
      <c r="A17" s="394" t="s">
        <v>58</v>
      </c>
      <c r="B17" s="394"/>
      <c r="C17" s="394"/>
      <c r="D17" s="394"/>
      <c r="E17" s="394">
        <f>Table823[[#Totals],[اجمالي التكلفة]]/B1</f>
        <v>1139.7</v>
      </c>
      <c r="F17" s="395">
        <f>SUBTOTAL(109,Table823[اجمالي التكلفة])</f>
        <v>39889.5</v>
      </c>
      <c r="G17" s="394"/>
      <c r="H17" s="394"/>
      <c r="I17" s="394"/>
      <c r="J17" s="394"/>
      <c r="L17" s="211">
        <v>7</v>
      </c>
      <c r="M17" s="212">
        <f>IF((N3="d1"),4,IF((N3="d2"),4,0))</f>
        <v>0</v>
      </c>
      <c r="N17" s="213" t="s">
        <v>97</v>
      </c>
      <c r="O17" s="214"/>
      <c r="P17" s="214"/>
      <c r="Q17" s="214"/>
      <c r="R17" s="211" t="s">
        <v>91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.75" s="187" customFormat="1">
      <c r="F18" s="392"/>
      <c r="G18" s="195"/>
      <c r="H18" s="195"/>
      <c r="I18" s="195"/>
      <c r="J18" s="195"/>
      <c r="L18" s="211" t="s">
        <v>58</v>
      </c>
      <c r="M18" s="212"/>
      <c r="N18" s="213" t="s">
        <v>58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1125</v>
      </c>
      <c r="W18" s="244">
        <f>Table156140[[#Totals],[اجمالي]]/$R$71</f>
        <v>0.014627918549477485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.75">
      <c r="A19" s="396" t="s">
        <v>472</v>
      </c>
      <c r="B19" s="397"/>
      <c r="C19" s="397"/>
      <c r="D19" s="397"/>
      <c r="E19" s="397"/>
      <c r="F19" s="397"/>
      <c r="G19" s="187"/>
      <c r="H19" s="187"/>
      <c r="I19" s="187"/>
      <c r="J19" s="187"/>
      <c r="L19" s="216"/>
      <c r="M19" s="216"/>
      <c r="N19" s="217"/>
      <c r="O19" s="629" t="s">
        <v>99</v>
      </c>
      <c r="P19" s="629"/>
      <c r="Q19" s="629"/>
      <c r="R19" s="629"/>
      <c r="S19" s="629"/>
      <c r="T19" s="629"/>
      <c r="U19" s="216"/>
      <c r="V19" s="216"/>
      <c r="W19" s="216"/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.75">
      <c r="A20" s="392" t="s">
        <v>184</v>
      </c>
      <c r="B20" s="397"/>
      <c r="C20" s="397"/>
      <c r="D20" s="397"/>
      <c r="E20" s="397"/>
      <c r="F20" s="397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63</v>
      </c>
      <c r="R20" s="211" t="s">
        <v>32</v>
      </c>
      <c r="S20" s="211" t="s">
        <v>33</v>
      </c>
      <c r="T20" s="211" t="s">
        <v>64</v>
      </c>
      <c r="U20" s="211" t="s">
        <v>35</v>
      </c>
      <c r="V20" s="245" t="s">
        <v>36</v>
      </c>
      <c r="W20" s="211" t="s">
        <v>37</v>
      </c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.75">
      <c r="A21" s="398"/>
      <c r="L21" s="211">
        <v>3</v>
      </c>
      <c r="M21" s="219">
        <f>IF((N3="c1"),4,IF((N3="c2"),4,0))</f>
        <v>4</v>
      </c>
      <c r="N21" s="220" t="s">
        <v>473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85</v>
      </c>
      <c r="S21" s="250">
        <v>7</v>
      </c>
      <c r="T21" s="211"/>
      <c r="U21" s="243">
        <f>S21*$S$2/1000</f>
        <v>350</v>
      </c>
      <c r="V21" s="240">
        <f>M21*U21</f>
        <v>1400</v>
      </c>
      <c r="W21" s="241">
        <f>(V21)/$R$71</f>
        <v>0.018203631972683092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.75">
      <c r="L22" s="211">
        <v>8</v>
      </c>
      <c r="M22" s="212">
        <f>M21*4</f>
        <v>16</v>
      </c>
      <c r="N22" s="213" t="s">
        <v>101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85</v>
      </c>
      <c r="S22" s="211">
        <v>0.75</v>
      </c>
      <c r="T22" s="211"/>
      <c r="U22" s="243">
        <f>S22*$S$2/1000</f>
        <v>37.5</v>
      </c>
      <c r="V22" s="240">
        <f>M22*U22</f>
        <v>600</v>
      </c>
      <c r="W22" s="251">
        <f>(V22)/$R$71</f>
        <v>0.0078015565597213251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.75">
      <c r="L23" s="211" t="s">
        <v>58</v>
      </c>
      <c r="M23" s="212">
        <f>SUBTOTAL(103,Table166241[عدد])</f>
        <v>2</v>
      </c>
      <c r="N23" s="213" t="s">
        <v>58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2000</v>
      </c>
      <c r="W23" s="244">
        <f>Table166241[[#Totals],[اجمالي]]/$R$71</f>
        <v>0.026005188532404418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.75">
      <c r="L24" s="216"/>
      <c r="M24" s="216"/>
      <c r="N24" s="217"/>
      <c r="O24" s="629" t="s">
        <v>102</v>
      </c>
      <c r="P24" s="629"/>
      <c r="Q24" s="629"/>
      <c r="R24" s="629"/>
      <c r="S24" s="629"/>
      <c r="T24" s="629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63</v>
      </c>
      <c r="R25" s="211" t="s">
        <v>32</v>
      </c>
      <c r="S25" s="211" t="s">
        <v>33</v>
      </c>
      <c r="T25" s="211" t="s">
        <v>64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.75">
      <c r="L26" s="211">
        <v>1</v>
      </c>
      <c r="M26" s="222">
        <f>AM7/3</f>
        <v>0.75666666666666682</v>
      </c>
      <c r="N26" s="213" t="s">
        <v>103</v>
      </c>
      <c r="O26" s="214"/>
      <c r="P26" s="214"/>
      <c r="Q26" s="214"/>
      <c r="R26" s="211" t="s">
        <v>104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0.0039354518645705362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.75">
      <c r="L27" s="211">
        <v>2</v>
      </c>
      <c r="M27" s="219">
        <v>3</v>
      </c>
      <c r="N27" s="218" t="s">
        <v>108</v>
      </c>
      <c r="O27" s="211"/>
      <c r="P27" s="211"/>
      <c r="Q27" s="211"/>
      <c r="R27" s="211" t="s">
        <v>109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0.00058511674197909936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.75">
      <c r="L28" s="211">
        <v>3</v>
      </c>
      <c r="M28" s="212">
        <v>3</v>
      </c>
      <c r="N28" s="218" t="s">
        <v>110</v>
      </c>
      <c r="O28" s="211"/>
      <c r="P28" s="211"/>
      <c r="Q28" s="211"/>
      <c r="R28" s="211" t="s">
        <v>109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0.00058511674197909936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.75">
      <c r="L29" s="211">
        <v>4</v>
      </c>
      <c r="M29" s="219">
        <v>3</v>
      </c>
      <c r="N29" s="213" t="s">
        <v>111</v>
      </c>
      <c r="O29" s="214"/>
      <c r="P29" s="214"/>
      <c r="Q29" s="214"/>
      <c r="R29" s="211" t="s">
        <v>112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0.00097519456996516564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.75">
      <c r="L30" s="211">
        <v>5</v>
      </c>
      <c r="M30" s="212">
        <v>3</v>
      </c>
      <c r="N30" s="213" t="s">
        <v>113</v>
      </c>
      <c r="O30" s="214"/>
      <c r="P30" s="214"/>
      <c r="Q30" s="214"/>
      <c r="R30" s="211" t="s">
        <v>112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0.0058511674197909936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.75">
      <c r="L31" s="211">
        <v>6</v>
      </c>
      <c r="M31" s="219">
        <v>3</v>
      </c>
      <c r="N31" s="213" t="s">
        <v>114</v>
      </c>
      <c r="O31" s="214"/>
      <c r="P31" s="214"/>
      <c r="Q31" s="214"/>
      <c r="R31" s="211" t="s">
        <v>85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0.0015603113119442651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.75">
      <c r="L32" s="211">
        <v>7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105</v>
      </c>
      <c r="S32" s="211"/>
      <c r="T32" s="211"/>
      <c r="U32" s="248">
        <f>Sheet2!B25</f>
        <v>105</v>
      </c>
      <c r="V32" s="240">
        <f t="shared" si="3"/>
        <v>221.05263157894737</v>
      </c>
      <c r="W32" s="241">
        <f t="shared" si="4"/>
        <v>0.00287425767989733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.75">
      <c r="L33" s="211">
        <v>8</v>
      </c>
      <c r="M33" s="222">
        <f>AM5</f>
        <v>0</v>
      </c>
      <c r="N33" s="213" t="s">
        <v>106</v>
      </c>
      <c r="O33" s="214"/>
      <c r="P33" s="214"/>
      <c r="Q33" s="214"/>
      <c r="R33" s="211" t="s">
        <v>85</v>
      </c>
      <c r="S33" s="211"/>
      <c r="T33" s="211"/>
      <c r="U33" s="248">
        <f>Sheet2!B26</f>
        <v>250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.75">
      <c r="L34" s="211">
        <v>9</v>
      </c>
      <c r="M34" s="222">
        <f>AM8</f>
        <v>0</v>
      </c>
      <c r="N34" s="213" t="s">
        <v>107</v>
      </c>
      <c r="O34" s="214"/>
      <c r="P34" s="214"/>
      <c r="Q34" s="214"/>
      <c r="R34" s="211" t="s">
        <v>85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.75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.75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.75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.75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.75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.75">
      <c r="L40" s="211">
        <v>15</v>
      </c>
      <c r="M40" s="212">
        <f>IF((تسعير!BE5="B"),(Table15855[[#Totals],[الوزن]]+Table166241[[#Totals],[الوزن]]),0)</f>
        <v>154</v>
      </c>
      <c r="N40" s="213" t="s">
        <v>132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0.0400479903399028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.75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62</v>
      </c>
      <c r="O41" s="214"/>
      <c r="P41" s="214"/>
      <c r="Q41" s="214"/>
      <c r="R41" s="211" t="s">
        <v>115</v>
      </c>
      <c r="S41" s="211"/>
      <c r="T41" s="211"/>
      <c r="U41" s="248">
        <f>Sheet2!B18</f>
        <v>450</v>
      </c>
      <c r="V41" s="240">
        <f t="shared" si="5"/>
        <v>4500</v>
      </c>
      <c r="W41" s="251">
        <f t="shared" si="4"/>
        <v>0.058511674197909938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.75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70</v>
      </c>
      <c r="O42" s="214"/>
      <c r="P42" s="214"/>
      <c r="Q42" s="214"/>
      <c r="R42" s="218" t="s">
        <v>116</v>
      </c>
      <c r="S42" s="211"/>
      <c r="T42" s="211"/>
      <c r="U42" s="248">
        <f>Sheet2!B20</f>
        <v>550</v>
      </c>
      <c r="V42" s="240">
        <f t="shared" si="5"/>
        <v>5500</v>
      </c>
      <c r="W42" s="251">
        <f t="shared" si="4"/>
        <v>0.071514268464112143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.75">
      <c r="L43" s="211">
        <v>18</v>
      </c>
      <c r="M43" s="212">
        <f>AM15</f>
        <v>0.90800000000000025</v>
      </c>
      <c r="N43" s="218" t="s">
        <v>78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145.28000000000003</v>
      </c>
      <c r="W43" s="251">
        <f t="shared" si="4"/>
        <v>0.0018890168949938573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.75">
      <c r="L44" s="211">
        <v>19</v>
      </c>
      <c r="M44" s="212">
        <f>AM16</f>
        <v>0.90800000000000025</v>
      </c>
      <c r="N44" s="218" t="s">
        <v>80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145.28000000000003</v>
      </c>
      <c r="W44" s="251">
        <f t="shared" si="4"/>
        <v>0.0018890168949938573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.75">
      <c r="L45" s="518" t="s">
        <v>58</v>
      </c>
      <c r="M45" s="519"/>
      <c r="N45" s="520" t="s">
        <v>58</v>
      </c>
      <c r="O45" s="521"/>
      <c r="P45" s="521"/>
      <c r="Q45" s="521"/>
      <c r="R45" s="518" t="s">
        <v>118</v>
      </c>
      <c r="S45" s="518"/>
      <c r="T45" s="518"/>
      <c r="U45" s="523"/>
      <c r="V45" s="524">
        <f>SUBTOTAL(109,Table135926[اجمالي])</f>
        <v>14629.279298245616</v>
      </c>
      <c r="W45" s="525">
        <f>Table135926[[#Totals],[اجمالي]]/$R$71</f>
        <v>0.1902185831220391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.75">
      <c r="L47" s="216"/>
      <c r="M47" s="216"/>
      <c r="N47" s="217"/>
      <c r="O47" s="629" t="s">
        <v>131</v>
      </c>
      <c r="P47" s="629"/>
      <c r="Q47" s="629"/>
      <c r="R47" s="629"/>
      <c r="S47" s="629"/>
      <c r="T47" s="629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63</v>
      </c>
      <c r="R48" s="211" t="s">
        <v>32</v>
      </c>
      <c r="S48" s="211" t="s">
        <v>33</v>
      </c>
      <c r="T48" s="211" t="s">
        <v>64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.75">
      <c r="L49" s="211">
        <v>1</v>
      </c>
      <c r="M49" s="219">
        <v>0</v>
      </c>
      <c r="N49" s="214" t="s">
        <v>474</v>
      </c>
      <c r="O49" s="214"/>
      <c r="P49" s="211"/>
      <c r="Q49" s="216"/>
      <c r="R49" s="247" t="s">
        <v>475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.75">
      <c r="L50" s="211">
        <v>5</v>
      </c>
      <c r="M50" s="219">
        <v>1</v>
      </c>
      <c r="N50" s="213" t="s">
        <v>476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39889.5</v>
      </c>
      <c r="V50" s="240">
        <f>M50*Table16136845[[#This Row],[سعر الشبك ]]</f>
        <v>39889.5</v>
      </c>
      <c r="W50" s="241">
        <f t="shared" si="6"/>
        <v>0.518666983981673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39889.5</v>
      </c>
      <c r="V51" s="240">
        <f>M51*Table16136845[[#This Row],[سعر الشبك ]]</f>
        <v>3988.9500000000003</v>
      </c>
      <c r="W51" s="241">
        <f t="shared" si="6"/>
        <v>0.0518666983981673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.75">
      <c r="L52" s="211" t="s">
        <v>58</v>
      </c>
      <c r="M52" s="212"/>
      <c r="N52" s="213" t="s">
        <v>58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43878.45</v>
      </c>
      <c r="W52" s="244">
        <f>Table16136845[[#Totals],[اجمالي]]/$R$71</f>
        <v>0.57053368237984026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.75">
      <c r="L53" s="216"/>
      <c r="M53" s="216"/>
      <c r="N53" s="217"/>
      <c r="O53" s="629" t="s">
        <v>133</v>
      </c>
      <c r="P53" s="629"/>
      <c r="Q53" s="629"/>
      <c r="R53" s="629"/>
      <c r="S53" s="629"/>
      <c r="T53" s="629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134</v>
      </c>
      <c r="P54" s="211" t="s">
        <v>12</v>
      </c>
      <c r="Q54" s="211" t="s">
        <v>135</v>
      </c>
      <c r="R54" s="211" t="s">
        <v>136</v>
      </c>
      <c r="S54" s="211" t="s">
        <v>63</v>
      </c>
      <c r="T54" s="211" t="s">
        <v>137</v>
      </c>
      <c r="U54" s="211" t="s">
        <v>138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.75">
      <c r="L55" s="211">
        <v>1</v>
      </c>
      <c r="M55" s="219">
        <v>2</v>
      </c>
      <c r="N55" s="220" t="s">
        <v>139</v>
      </c>
      <c r="O55" s="211">
        <f>IF((Table16126744[[#This Row],[موقع العمل]]="المصنع"),200,IF((Table16126744[[#This Row],[موقع العمل]]="الاسكندرية"),200,250))</f>
        <v>200</v>
      </c>
      <c r="P55" s="211">
        <f>SUMIF(Table176946[Column1],Table16126744[[#This Row],[موقع العمل]],$AB$2:$AB$20)</f>
        <v>0</v>
      </c>
      <c r="Q55" s="211" t="s">
        <v>140</v>
      </c>
      <c r="R55" s="214" t="s">
        <v>39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5" s="240">
        <f ref="V55:V67" t="shared" si="7">M55*U55</f>
        <v>800</v>
      </c>
      <c r="W55" s="241">
        <f ref="W55:W67" t="shared" si="8">(V55)/$R$71</f>
        <v>0.010402075412961767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.75">
      <c r="L56" s="211">
        <v>2</v>
      </c>
      <c r="M56" s="219">
        <v>2</v>
      </c>
      <c r="N56" s="220" t="s">
        <v>141</v>
      </c>
      <c r="O56" s="211">
        <f>IF((Table16126744[[#This Row],[موقع العمل]]="المصنع"),200,IF((Table16126744[[#This Row],[موقع العمل]]="الاسكندرية"),200,250))</f>
        <v>200</v>
      </c>
      <c r="P56" s="211">
        <f>SUMIF(Table176946[Column1],Table16126744[[#This Row],[موقع العمل]],$AB$2:$AB$20)</f>
        <v>0</v>
      </c>
      <c r="Q56" s="211" t="s">
        <v>140</v>
      </c>
      <c r="R56" s="214" t="s">
        <v>39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6" s="240">
        <f t="shared" si="7"/>
        <v>800</v>
      </c>
      <c r="W56" s="241">
        <f t="shared" si="8"/>
        <v>0.010402075412961767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.75">
      <c r="L57" s="211">
        <v>3</v>
      </c>
      <c r="M57" s="219">
        <v>2</v>
      </c>
      <c r="N57" s="220" t="s">
        <v>142</v>
      </c>
      <c r="O57" s="211">
        <f>IF((Table16126744[[#This Row],[موقع العمل]]="المصنع"),200,IF((Table16126744[[#This Row],[موقع العمل]]="الاسكندرية"),200,250))</f>
        <v>200</v>
      </c>
      <c r="P57" s="211">
        <f>SUMIF(Table176946[Column1],Table16126744[[#This Row],[موقع العمل]],$AB$2:$AB$20)</f>
        <v>0</v>
      </c>
      <c r="Q57" s="211" t="s">
        <v>140</v>
      </c>
      <c r="R57" s="214" t="s">
        <v>39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7" s="240">
        <f t="shared" si="7"/>
        <v>400</v>
      </c>
      <c r="W57" s="241">
        <f t="shared" si="8"/>
        <v>0.0052010377064808837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.75">
      <c r="L58" s="211">
        <v>4</v>
      </c>
      <c r="M58" s="212">
        <v>3</v>
      </c>
      <c r="N58" s="220" t="s">
        <v>143</v>
      </c>
      <c r="O58" s="211">
        <f>IF((Table16126744[[#This Row],[موقع العمل]]="المصنع"),200,IF((Table16126744[[#This Row],[موقع العمل]]="الاسكندرية"),200,250))</f>
        <v>200</v>
      </c>
      <c r="P58" s="211">
        <f>SUMIF(Table176946[Column1],Table16126744[[#This Row],[موقع العمل]],$AB$2:$AB$20)</f>
        <v>0</v>
      </c>
      <c r="Q58" s="211" t="s">
        <v>140</v>
      </c>
      <c r="R58" s="214" t="s">
        <v>39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8" s="240">
        <f t="shared" si="7"/>
        <v>600</v>
      </c>
      <c r="W58" s="241">
        <f t="shared" si="8"/>
        <v>0.0078015565597213251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.75">
      <c r="L59" s="211">
        <v>5</v>
      </c>
      <c r="M59" s="212">
        <v>4</v>
      </c>
      <c r="N59" s="220" t="s">
        <v>144</v>
      </c>
      <c r="O59" s="211">
        <f>IF((Table16126744[[#This Row],[موقع العمل]]="المصنع"),200,IF((Table16126744[[#This Row],[موقع العمل]]="الاسكندرية"),200,250))</f>
        <v>250</v>
      </c>
      <c r="P59" s="211">
        <f>SUMIF(Table176946[Column1],Table16126744[[#This Row],[موقع العمل]],$AB$2:$AB$20)</f>
        <v>75</v>
      </c>
      <c r="Q59" s="402" t="str">
        <f>تسعير!$BE$4</f>
        <v>التجمع</v>
      </c>
      <c r="R59" s="214" t="s">
        <v>39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59" s="240">
        <f t="shared" si="7"/>
        <v>1300</v>
      </c>
      <c r="W59" s="241">
        <f t="shared" si="8"/>
        <v>0.016903372546062872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.75">
      <c r="L60" s="211">
        <v>6</v>
      </c>
      <c r="M60" s="212">
        <v>3</v>
      </c>
      <c r="N60" s="220" t="s">
        <v>145</v>
      </c>
      <c r="O60" s="211">
        <f>IF((Table16126744[[#This Row],[موقع العمل]]="المصنع"),200,IF((Table16126744[[#This Row],[موقع العمل]]="الاسكندرية"),200,250))</f>
        <v>250</v>
      </c>
      <c r="P60" s="211">
        <f>SUMIF(Table176946[Column1],Table16126744[[#This Row],[موقع العمل]],$AB$2:$AB$20)</f>
        <v>75</v>
      </c>
      <c r="Q60" s="402" t="str">
        <f>تسعير!$BE$4</f>
        <v>التجمع</v>
      </c>
      <c r="R60" s="214" t="s">
        <v>39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.75">
      <c r="L61" s="211">
        <v>7</v>
      </c>
      <c r="M61" s="212">
        <v>0</v>
      </c>
      <c r="N61" s="220" t="s">
        <v>146</v>
      </c>
      <c r="O61" s="211">
        <f>IF((Table16126744[[#This Row],[موقع العمل]]="المصنع"),200,IF((Table16126744[[#This Row],[موقع العمل]]="الاسكندرية"),200,250))</f>
        <v>250</v>
      </c>
      <c r="P61" s="211">
        <f>SUMIF(Table176946[Column1],Table16126744[[#This Row],[موقع العمل]],$AB$2:$AB$20)</f>
        <v>75</v>
      </c>
      <c r="Q61" s="402" t="str">
        <f>تسعير!$BE$4</f>
        <v>التجمع</v>
      </c>
      <c r="R61" s="214" t="s">
        <v>39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.75">
      <c r="L62" s="211">
        <v>8</v>
      </c>
      <c r="M62" s="212">
        <v>3</v>
      </c>
      <c r="N62" s="220" t="s">
        <v>147</v>
      </c>
      <c r="O62" s="211">
        <f>IF((Table16126744[[#This Row],[موقع العمل]]="المصنع"),200,IF((Table16126744[[#This Row],[موقع العمل]]="الاسكندرية"),200,250))</f>
        <v>250</v>
      </c>
      <c r="P62" s="211">
        <f>SUMIF(Table176946[Column1],Table16126744[[#This Row],[موقع العمل]],$AB$2:$AB$20)</f>
        <v>75</v>
      </c>
      <c r="Q62" s="402" t="str">
        <f>تسعير!$BE$4</f>
        <v>التجمع</v>
      </c>
      <c r="R62" s="214" t="s">
        <v>39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62" s="240">
        <f t="shared" si="7"/>
        <v>975</v>
      </c>
      <c r="W62" s="241">
        <f t="shared" si="8"/>
        <v>0.012677529409547153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.75">
      <c r="L63" s="211">
        <v>9</v>
      </c>
      <c r="M63" s="212">
        <f>(M59+M60+M61+M62)*2</f>
        <v>20</v>
      </c>
      <c r="N63" s="220" t="s">
        <v>148</v>
      </c>
      <c r="O63" s="211"/>
      <c r="P63" s="211"/>
      <c r="Q63" s="402" t="str">
        <f>تسعير!$BE$4</f>
        <v>التجمع</v>
      </c>
      <c r="R63" s="214"/>
      <c r="S63" s="247">
        <f>SUMIF(Y2:Y20,Table16126744[[#This Row],[موقع العمل]],$Z$2:$Z$20)</f>
        <v>120</v>
      </c>
      <c r="T63" s="247"/>
      <c r="U63" s="243">
        <f>Table16126744[[#This Row],[Column12]]</f>
        <v>120</v>
      </c>
      <c r="V63" s="240">
        <f t="shared" si="7"/>
        <v>2400</v>
      </c>
      <c r="W63" s="241">
        <f t="shared" si="8"/>
        <v>0.0312062262388853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.75">
      <c r="L64" s="211">
        <v>10</v>
      </c>
      <c r="M64" s="212">
        <f>IF((تسعير!$BF$14="بالتات"),0,((T59+T60+T61+T62)*2)-3)</f>
        <v>0</v>
      </c>
      <c r="N64" s="220" t="s">
        <v>149</v>
      </c>
      <c r="O64" s="211"/>
      <c r="P64" s="211"/>
      <c r="Q64" s="402" t="str">
        <f>تسعير!$BE$4</f>
        <v>التجمع</v>
      </c>
      <c r="R64" s="214"/>
      <c r="S64" s="247">
        <f>SUMIF(Y2:Y20,Table16126744[[#This Row],[موقع العمل]],$AA$2:$AA$20)</f>
        <v>250</v>
      </c>
      <c r="T64" s="247"/>
      <c r="U64" s="243">
        <f>Table16126744[[#This Row],[Column12]]</f>
        <v>250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.75">
      <c r="L65" s="211">
        <v>11</v>
      </c>
      <c r="M65" s="212">
        <v>0</v>
      </c>
      <c r="N65" s="220" t="s">
        <v>150</v>
      </c>
      <c r="O65" s="211"/>
      <c r="P65" s="211"/>
      <c r="Q65" s="402" t="str">
        <f>تسعير!$BE$4</f>
        <v>التجمع</v>
      </c>
      <c r="R65" s="214"/>
      <c r="S65" s="247">
        <f>SUMIF(Y2:Y20,Table16126744[[#This Row],[موقع العمل]],$AC$2:$AC$20)</f>
        <v>1600</v>
      </c>
      <c r="T65" s="247"/>
      <c r="U65" s="243">
        <f>Table16126744[[#This Row],[Column12]]</f>
        <v>1600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.75">
      <c r="L66" s="211">
        <v>12</v>
      </c>
      <c r="M66" s="212">
        <f>IF((تسعير!$BF$14="بالتات"),1,2)</f>
        <v>1</v>
      </c>
      <c r="N66" s="220" t="s">
        <v>151</v>
      </c>
      <c r="O66" s="211"/>
      <c r="P66" s="211"/>
      <c r="Q66" s="402" t="str">
        <f>تسعير!$BE$4</f>
        <v>التجمع</v>
      </c>
      <c r="R66" s="214"/>
      <c r="S66" s="247">
        <f>SUMIF(Y2:Y20,Table16126744[[#This Row],[موقع العمل]],$AD$2:$AD$20)</f>
        <v>2300</v>
      </c>
      <c r="T66" s="247"/>
      <c r="U66" s="243">
        <f>Table16126744[[#This Row],[Column12]]</f>
        <v>2300</v>
      </c>
      <c r="V66" s="240">
        <f t="shared" si="7"/>
        <v>2300</v>
      </c>
      <c r="W66" s="241">
        <f t="shared" si="8"/>
        <v>0.029905966812265081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.75">
      <c r="L67" s="211">
        <v>13</v>
      </c>
      <c r="M67" s="212">
        <f>IF((تسعير!$BF$14="بالتات"),0,M64-2)</f>
        <v>0</v>
      </c>
      <c r="N67" s="220" t="s">
        <v>15</v>
      </c>
      <c r="O67" s="211"/>
      <c r="P67" s="211"/>
      <c r="Q67" s="402" t="str">
        <f>تسعير!$BE$4</f>
        <v>التجمع</v>
      </c>
      <c r="R67" s="214"/>
      <c r="S67" s="247">
        <f>SUMIF(Y2:Y20,Table16126744[[#This Row],[موقع العمل]],$AE$2:$AE$20)</f>
        <v>120</v>
      </c>
      <c r="T67" s="247"/>
      <c r="U67" s="243">
        <f>Table16126744[[#This Row],[Column12]]</f>
        <v>120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.75">
      <c r="L68" s="518" t="s">
        <v>58</v>
      </c>
      <c r="M68" s="519"/>
      <c r="N68" s="520" t="s">
        <v>58</v>
      </c>
      <c r="O68" s="518"/>
      <c r="P68" s="518"/>
      <c r="Q68" s="521"/>
      <c r="R68" s="521"/>
      <c r="S68" s="522">
        <f>SUBTOTAL(109,Table16126744[Column12])</f>
        <v>4390</v>
      </c>
      <c r="T68" s="518"/>
      <c r="U68" s="523"/>
      <c r="V68" s="524">
        <f>SUBTOTAL(109,Table16126744[اجمالي])</f>
        <v>9575</v>
      </c>
      <c r="W68" s="525">
        <f>Table16126744[[#Totals],[اجمالي]]/$R$71</f>
        <v>0.12449984009888615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.75">
      <c r="L69" s="216"/>
      <c r="M69" s="216"/>
      <c r="N69" s="217"/>
      <c r="O69" s="622"/>
      <c r="P69" s="622"/>
      <c r="Q69" s="622"/>
      <c r="R69" s="622"/>
      <c r="S69" s="622"/>
      <c r="T69" s="622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.75">
      <c r="L70" s="211"/>
      <c r="M70" s="211"/>
      <c r="N70" s="218" t="s">
        <v>9</v>
      </c>
      <c r="O70" s="211" t="s">
        <v>152</v>
      </c>
      <c r="P70" s="211" t="s">
        <v>153</v>
      </c>
      <c r="Q70" s="211" t="s">
        <v>154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.75">
      <c r="L71" s="211"/>
      <c r="M71" s="219"/>
      <c r="N71" s="213" t="s">
        <v>155</v>
      </c>
      <c r="O71" s="214"/>
      <c r="P71" s="211"/>
      <c r="Q71" s="290"/>
      <c r="R71" s="291">
        <f>Table16126744[[#Totals],[اجمالي]]+Table16136845[[#Totals],[اجمالي]]+Table135926[[#Totals],[اجمالي]]+Table166241[[#Totals],[اجمالي]]+Table156140[[#Totals],[اجمالي]]+Table15855[[#Totals],[اجمالي]]</f>
        <v>76907.729298245613</v>
      </c>
      <c r="S71" s="211"/>
      <c r="T71" s="211"/>
      <c r="U71" s="243"/>
      <c r="V71" s="292"/>
      <c r="W71" s="403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.75">
      <c r="L72" s="211"/>
      <c r="M72" s="212"/>
      <c r="N72" s="213" t="s">
        <v>156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R71*(1+Table187054[[#This Row],[Column3]])</f>
        <v>99980.0480877193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3652DA82-2731-47DB-9EFA-B290E4EAC555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4"/>
  <dimension ref="A1:AG92"/>
  <sheetViews>
    <sheetView rightToLeft="1" topLeftCell="J58" zoomScale="85" zoomScaleNormal="85" workbookViewId="0">
      <selection activeCell="S87" sqref="S87"/>
    </sheetView>
  </sheetViews>
  <sheetFormatPr defaultColWidth="9.140625" defaultRowHeight="15"/>
  <cols>
    <col min="1" max="1" width="11.28515625" customWidth="1" style="323"/>
    <col min="2" max="2" width="11.5703125" customWidth="1" style="323"/>
    <col min="3" max="3" width="38" customWidth="1" style="323"/>
    <col min="4" max="4" width="12.28515625" customWidth="1" style="323"/>
    <col min="5" max="5" width="16.28515625" customWidth="1" style="324"/>
    <col min="6" max="6" width="11.85546875" customWidth="1" style="323"/>
    <col min="7" max="7" width="7.42578125" customWidth="1" style="323"/>
    <col min="8" max="8" width="22.7109375" customWidth="1" style="323"/>
    <col min="9" max="9" width="11.85546875" customWidth="1" style="323"/>
    <col min="10" max="10" width="11.5703125" customWidth="1" style="323"/>
    <col min="11" max="11" width="13.140625" customWidth="1" style="323"/>
    <col min="12" max="12" width="3.85546875" customWidth="1"/>
    <col min="13" max="13" width="23.85546875" customWidth="1"/>
    <col min="14" max="14" width="14.7109375" customWidth="1"/>
    <col min="15" max="15" width="12.85546875" customWidth="1"/>
    <col min="17" max="17" width="14.140625" customWidth="1"/>
    <col min="18" max="18" width="17.42578125" customWidth="1"/>
    <col min="19" max="19" width="16.7109375" customWidth="1"/>
    <col min="21" max="21" width="1.140625" customWidth="1"/>
    <col min="22" max="22" width="19" customWidth="1"/>
    <col min="23" max="23" width="14.5703125" customWidth="1"/>
    <col min="24" max="24" width="2.5703125" customWidth="1"/>
    <col min="25" max="25" width="22" customWidth="1"/>
    <col min="26" max="28" width="14.7109375" customWidth="1"/>
    <col min="30" max="30" width="27.7109375" customWidth="1"/>
    <col min="31" max="31" width="12.85546875" customWidth="1"/>
    <col min="32" max="32" width="14.5703125" customWidth="1"/>
  </cols>
  <sheetData>
    <row r="1">
      <c r="A1" s="325"/>
      <c r="B1" s="326"/>
      <c r="C1" s="326"/>
      <c r="D1" s="326"/>
      <c r="E1" s="327"/>
      <c r="F1" s="326"/>
      <c r="G1" s="326"/>
      <c r="H1" s="326"/>
      <c r="I1" s="326"/>
      <c r="J1" s="326"/>
      <c r="K1" s="326"/>
      <c r="L1" s="359"/>
      <c r="M1" s="359"/>
      <c r="N1" s="359"/>
      <c r="O1" s="359"/>
      <c r="P1" s="360"/>
      <c r="R1" s="382"/>
      <c r="S1" s="326"/>
      <c r="T1" s="326"/>
      <c r="U1" s="326"/>
      <c r="V1" s="327"/>
      <c r="W1" s="326"/>
      <c r="X1" s="326"/>
      <c r="Y1" s="326"/>
      <c r="Z1" s="326"/>
      <c r="AA1" s="326"/>
      <c r="AB1" s="326"/>
      <c r="AC1" s="359"/>
      <c r="AD1" s="359"/>
      <c r="AE1" s="359"/>
      <c r="AF1" s="359"/>
      <c r="AG1" s="360"/>
    </row>
    <row r="2" ht="18.75">
      <c r="A2" s="561" t="s">
        <v>477</v>
      </c>
      <c r="B2" s="324" t="s">
        <v>198</v>
      </c>
      <c r="C2" s="324" t="s">
        <v>478</v>
      </c>
      <c r="E2" s="324" t="s">
        <v>9</v>
      </c>
      <c r="F2" s="323" t="s">
        <v>30</v>
      </c>
      <c r="H2" s="329" t="s">
        <v>9</v>
      </c>
      <c r="I2" s="361" t="s">
        <v>479</v>
      </c>
      <c r="J2" s="362" t="s">
        <v>480</v>
      </c>
      <c r="K2" s="363" t="s">
        <v>481</v>
      </c>
      <c r="M2" s="364" t="s">
        <v>482</v>
      </c>
      <c r="N2" s="364" t="s">
        <v>483</v>
      </c>
      <c r="O2" s="0" t="s">
        <v>9</v>
      </c>
      <c r="P2" s="365"/>
      <c r="R2" s="340"/>
      <c r="S2" s="323" t="s">
        <v>198</v>
      </c>
      <c r="T2" s="323" t="s">
        <v>478</v>
      </c>
      <c r="U2" s="323"/>
      <c r="V2" s="324" t="s">
        <v>9</v>
      </c>
      <c r="W2" s="323" t="s">
        <v>30</v>
      </c>
      <c r="X2" s="323"/>
      <c r="Y2" s="339" t="s">
        <v>9</v>
      </c>
      <c r="Z2" s="387" t="s">
        <v>479</v>
      </c>
      <c r="AA2" s="331" t="s">
        <v>480</v>
      </c>
      <c r="AB2" s="331" t="s">
        <v>481</v>
      </c>
      <c r="AD2" s="0" t="s">
        <v>482</v>
      </c>
      <c r="AE2" s="0" t="s">
        <v>483</v>
      </c>
      <c r="AF2" s="0" t="s">
        <v>9</v>
      </c>
      <c r="AG2" s="365"/>
    </row>
    <row r="3" ht="22.5" customHeight="1">
      <c r="A3" s="330" t="s">
        <v>180</v>
      </c>
      <c r="B3" s="331">
        <v>2.5</v>
      </c>
      <c r="C3" s="331">
        <v>11.75</v>
      </c>
      <c r="E3" s="331" t="s">
        <v>181</v>
      </c>
      <c r="F3" s="331">
        <f>Sheet2!B42</f>
        <v>450</v>
      </c>
      <c r="H3" s="565" t="s">
        <v>484</v>
      </c>
      <c r="I3" s="366">
        <v>2</v>
      </c>
      <c r="J3" s="367">
        <v>75</v>
      </c>
      <c r="K3" s="368">
        <f ref="K3:K10" t="shared" si="0">I3*J3</f>
        <v>150</v>
      </c>
      <c r="M3" s="369" t="s">
        <v>485</v>
      </c>
      <c r="N3" s="369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0</v>
      </c>
      <c r="O3" s="369" t="str">
        <f>IF((N6&gt;0),"OK","WAIT")</f>
        <v>WAIT</v>
      </c>
      <c r="P3" s="365"/>
      <c r="R3" s="340"/>
      <c r="S3" s="383" t="s">
        <v>452</v>
      </c>
      <c r="T3" s="331">
        <v>17</v>
      </c>
      <c r="U3" s="323"/>
      <c r="V3" s="331" t="s">
        <v>181</v>
      </c>
      <c r="W3" s="331">
        <f>Sheet2!B42</f>
        <v>450</v>
      </c>
      <c r="X3" s="323"/>
      <c r="Y3" s="339" t="s">
        <v>486</v>
      </c>
      <c r="Z3" s="375">
        <v>8</v>
      </c>
      <c r="AA3" s="331">
        <v>50</v>
      </c>
      <c r="AB3" s="331">
        <f ref="AB3:AB11" t="shared" si="1">Z3*AA3</f>
        <v>400</v>
      </c>
      <c r="AD3" s="388" t="s">
        <v>485</v>
      </c>
      <c r="AE3" s="388">
        <f>IF((تسعير!AH28="3*3"),1,IF((تسعير!AH28="4*4"),2,no))</f>
        <v>2</v>
      </c>
      <c r="AF3" s="388"/>
      <c r="AG3" s="365"/>
    </row>
    <row r="4" ht="19.5" customHeight="1">
      <c r="A4" s="330" t="s">
        <v>180</v>
      </c>
      <c r="B4" s="331">
        <v>2.7</v>
      </c>
      <c r="C4" s="331">
        <v>13.5</v>
      </c>
      <c r="E4" s="331" t="s">
        <v>487</v>
      </c>
      <c r="F4" s="331">
        <f>Sheet2!B43</f>
        <v>160</v>
      </c>
      <c r="H4" s="565" t="s">
        <v>488</v>
      </c>
      <c r="I4" s="366">
        <v>2</v>
      </c>
      <c r="J4" s="367"/>
      <c r="K4" s="368">
        <f t="shared" si="0"/>
        <v>0</v>
      </c>
      <c r="M4" s="369" t="s">
        <v>489</v>
      </c>
      <c r="N4" s="369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0</v>
      </c>
      <c r="O4" s="369" t="str">
        <f>IF((N10=0),"WAIT","OK")</f>
        <v>OK</v>
      </c>
      <c r="P4" s="365"/>
      <c r="R4" s="340"/>
      <c r="S4" s="383" t="s">
        <v>200</v>
      </c>
      <c r="T4" s="331">
        <v>18.75</v>
      </c>
      <c r="U4" s="323"/>
      <c r="V4" s="331" t="s">
        <v>487</v>
      </c>
      <c r="W4" s="331">
        <f>Sheet2!B43</f>
        <v>160</v>
      </c>
      <c r="X4" s="323"/>
      <c r="Y4" s="339" t="s">
        <v>488</v>
      </c>
      <c r="Z4" s="375">
        <v>2</v>
      </c>
      <c r="AA4" s="331">
        <v>15</v>
      </c>
      <c r="AB4" s="331">
        <f t="shared" si="1"/>
        <v>30</v>
      </c>
      <c r="AD4" s="388" t="s">
        <v>489</v>
      </c>
      <c r="AE4" s="388">
        <f>IF((AE3=1),T3,IF((AE3=2),Table122[[#This Row],[ميزان]],no))</f>
        <v>18.75</v>
      </c>
      <c r="AF4" s="388"/>
      <c r="AG4" s="365"/>
    </row>
    <row r="5" ht="18.75">
      <c r="A5" s="330" t="s">
        <v>180</v>
      </c>
      <c r="B5" s="331">
        <v>3</v>
      </c>
      <c r="C5" s="331">
        <v>13.5</v>
      </c>
      <c r="E5" s="331" t="s">
        <v>201</v>
      </c>
      <c r="F5" s="331">
        <f>Sheet2!B44</f>
        <v>175</v>
      </c>
      <c r="H5" s="565" t="s">
        <v>490</v>
      </c>
      <c r="I5" s="366">
        <v>16</v>
      </c>
      <c r="J5" s="367">
        <v>10</v>
      </c>
      <c r="K5" s="368">
        <f t="shared" si="0"/>
        <v>160</v>
      </c>
      <c r="M5" s="369" t="s">
        <v>491</v>
      </c>
      <c r="N5" s="369">
        <f>IF((تسعير!AL8="خشبي"),'شماسي و كانتليفر'!F8,IF((تسعير!AL8="سادة"),'شماسي و كانتليفر'!F9,0))</f>
        <v>25</v>
      </c>
      <c r="O5" s="369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WAIT</v>
      </c>
      <c r="P5" s="365"/>
      <c r="R5" s="340"/>
      <c r="S5" s="331"/>
      <c r="T5" s="331"/>
      <c r="U5" s="323"/>
      <c r="V5" s="331" t="s">
        <v>201</v>
      </c>
      <c r="W5" s="331">
        <f>Sheet2!B44</f>
        <v>175</v>
      </c>
      <c r="X5" s="323"/>
      <c r="Y5" s="339" t="s">
        <v>492</v>
      </c>
      <c r="Z5" s="375">
        <v>1</v>
      </c>
      <c r="AA5" s="331">
        <v>150</v>
      </c>
      <c r="AB5" s="331">
        <f t="shared" si="1"/>
        <v>150</v>
      </c>
      <c r="AD5" s="388" t="s">
        <v>491</v>
      </c>
      <c r="AE5" s="388">
        <f>IF((تسعير!AI28="خشبي"),W8,IF((تسعير!AI28="سادة"),W9,IF((تسعير!AI28="ذهبي"),W10,0)))</f>
        <v>25</v>
      </c>
      <c r="AF5" s="388"/>
      <c r="AG5" s="365"/>
    </row>
    <row r="6" ht="18.75">
      <c r="A6" s="330" t="s">
        <v>180</v>
      </c>
      <c r="B6" s="331">
        <v>3.5</v>
      </c>
      <c r="C6" s="331">
        <v>14.6</v>
      </c>
      <c r="E6" s="331" t="s">
        <v>493</v>
      </c>
      <c r="F6" s="331">
        <v>250</v>
      </c>
      <c r="H6" s="565" t="s">
        <v>494</v>
      </c>
      <c r="I6" s="366">
        <v>16</v>
      </c>
      <c r="J6" s="367">
        <v>1</v>
      </c>
      <c r="K6" s="368">
        <f t="shared" si="0"/>
        <v>16</v>
      </c>
      <c r="M6" s="369" t="s">
        <v>495</v>
      </c>
      <c r="N6" s="369">
        <f>(N5+'شماسي و كانتليفر'!F10)*(N4)</f>
        <v>0</v>
      </c>
      <c r="O6" s="369" t="str">
        <f>IF((N5=0),"WAIT","OK")</f>
        <v>OK</v>
      </c>
      <c r="P6" s="365"/>
      <c r="R6" s="340"/>
      <c r="S6" s="331"/>
      <c r="T6" s="331">
        <v>37</v>
      </c>
      <c r="U6" s="323"/>
      <c r="V6" s="331" t="s">
        <v>496</v>
      </c>
      <c r="W6" s="331">
        <v>250</v>
      </c>
      <c r="X6" s="323"/>
      <c r="Y6" s="339" t="s">
        <v>497</v>
      </c>
      <c r="Z6" s="375">
        <v>1</v>
      </c>
      <c r="AA6" s="331">
        <v>150</v>
      </c>
      <c r="AB6" s="331">
        <f t="shared" si="1"/>
        <v>150</v>
      </c>
      <c r="AD6" s="388" t="s">
        <v>495</v>
      </c>
      <c r="AE6" s="388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4781.25</v>
      </c>
      <c r="AF6" s="388"/>
      <c r="AG6" s="365"/>
    </row>
    <row r="7" ht="18.75">
      <c r="A7" s="330" t="s">
        <v>498</v>
      </c>
      <c r="B7" s="331">
        <v>2</v>
      </c>
      <c r="C7" s="331">
        <v>10.5</v>
      </c>
      <c r="E7" s="331" t="s">
        <v>9</v>
      </c>
      <c r="F7" s="331" t="s">
        <v>30</v>
      </c>
      <c r="H7" s="565" t="s">
        <v>499</v>
      </c>
      <c r="I7" s="366">
        <v>2</v>
      </c>
      <c r="J7" s="367">
        <v>80</v>
      </c>
      <c r="K7" s="368">
        <f t="shared" si="0"/>
        <v>160</v>
      </c>
      <c r="M7" s="369" t="s">
        <v>500</v>
      </c>
      <c r="N7" s="369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450</v>
      </c>
      <c r="O7" s="369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WAIT</v>
      </c>
      <c r="P7" s="365"/>
      <c r="R7" s="340"/>
      <c r="S7" s="331"/>
      <c r="T7" s="331">
        <v>45</v>
      </c>
      <c r="U7" s="323"/>
      <c r="V7" s="331" t="s">
        <v>9</v>
      </c>
      <c r="W7" s="331" t="s">
        <v>30</v>
      </c>
      <c r="X7" s="323"/>
      <c r="Y7" s="339" t="s">
        <v>501</v>
      </c>
      <c r="Z7" s="375">
        <v>1</v>
      </c>
      <c r="AA7" s="331">
        <v>150</v>
      </c>
      <c r="AB7" s="331">
        <f t="shared" si="1"/>
        <v>150</v>
      </c>
      <c r="AD7" s="388" t="s">
        <v>500</v>
      </c>
      <c r="AE7" s="388">
        <f>IF((تسعير!AJ28="اسباني"),W3,IF((تسعير!AJ28="بولي استر"),W5,IF((تسعير!AJ28="hdpe"),W4,IF((تسعير!AJ28="مصري"),W6,0))))</f>
        <v>175</v>
      </c>
      <c r="AF7" s="388"/>
      <c r="AG7" s="365"/>
    </row>
    <row r="8" ht="18.75">
      <c r="A8" s="330" t="s">
        <v>498</v>
      </c>
      <c r="B8" s="331">
        <v>2.5</v>
      </c>
      <c r="C8" s="331">
        <v>11.75</v>
      </c>
      <c r="E8" s="331" t="s">
        <v>177</v>
      </c>
      <c r="F8" s="331">
        <f>Table626[[#This Row],[Column2]]</f>
        <v>60</v>
      </c>
      <c r="H8" s="565" t="s">
        <v>502</v>
      </c>
      <c r="I8" s="366">
        <v>2</v>
      </c>
      <c r="J8" s="367">
        <v>20</v>
      </c>
      <c r="K8" s="368">
        <f t="shared" si="0"/>
        <v>40</v>
      </c>
      <c r="M8" s="369" t="s">
        <v>503</v>
      </c>
      <c r="N8" s="369" t="str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error</v>
      </c>
      <c r="O8" s="369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65"/>
      <c r="R8" s="340"/>
      <c r="S8" s="331"/>
      <c r="T8" s="331"/>
      <c r="U8" s="323"/>
      <c r="V8" s="331" t="s">
        <v>177</v>
      </c>
      <c r="W8" s="331">
        <f>Sheet2!B15/1000</f>
        <v>60</v>
      </c>
      <c r="X8" s="323"/>
      <c r="Y8" s="339" t="s">
        <v>504</v>
      </c>
      <c r="Z8" s="375">
        <v>2</v>
      </c>
      <c r="AA8" s="331">
        <v>50</v>
      </c>
      <c r="AB8" s="331">
        <f t="shared" si="1"/>
        <v>100</v>
      </c>
      <c r="AD8" s="388" t="s">
        <v>503</v>
      </c>
      <c r="AE8" s="388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24</v>
      </c>
      <c r="AF8" s="388"/>
      <c r="AG8" s="365"/>
    </row>
    <row r="9" ht="18.75">
      <c r="A9" s="330" t="s">
        <v>498</v>
      </c>
      <c r="B9" s="331">
        <v>3</v>
      </c>
      <c r="C9" s="331">
        <v>13.5</v>
      </c>
      <c r="E9" s="331" t="s">
        <v>169</v>
      </c>
      <c r="F9" s="331">
        <f>Table626[[#This Row],[Column2]]</f>
        <v>25</v>
      </c>
      <c r="H9" s="565" t="s">
        <v>505</v>
      </c>
      <c r="I9" s="366">
        <v>7</v>
      </c>
      <c r="J9" s="367">
        <v>5</v>
      </c>
      <c r="K9" s="368">
        <f t="shared" si="0"/>
        <v>35</v>
      </c>
      <c r="M9" s="369" t="s">
        <v>506</v>
      </c>
      <c r="N9" s="369" t="e">
        <f>N8*N7</f>
        <v>#VALUE!</v>
      </c>
      <c r="O9" s="369"/>
      <c r="P9" s="365"/>
      <c r="R9" s="340"/>
      <c r="S9" s="331"/>
      <c r="T9" s="331"/>
      <c r="U9" s="323"/>
      <c r="V9" s="331" t="s">
        <v>169</v>
      </c>
      <c r="W9" s="331">
        <f>Sheet2!B41</f>
        <v>25</v>
      </c>
      <c r="X9" s="323"/>
      <c r="Y9" s="339" t="s">
        <v>507</v>
      </c>
      <c r="Z9" s="375">
        <v>36</v>
      </c>
      <c r="AA9" s="331">
        <v>25</v>
      </c>
      <c r="AB9" s="331">
        <f t="shared" si="1"/>
        <v>900</v>
      </c>
      <c r="AD9" s="388" t="s">
        <v>506</v>
      </c>
      <c r="AE9" s="388">
        <f>AE8*AE7</f>
        <v>4200</v>
      </c>
      <c r="AF9" s="388"/>
      <c r="AG9" s="365"/>
    </row>
    <row r="10" ht="18.75">
      <c r="A10" s="330" t="s">
        <v>498</v>
      </c>
      <c r="B10" s="331">
        <v>3.3</v>
      </c>
      <c r="C10" s="331">
        <v>16.5</v>
      </c>
      <c r="E10" s="331" t="s">
        <v>226</v>
      </c>
      <c r="F10" s="331">
        <f>W11</f>
        <v>230</v>
      </c>
      <c r="H10" s="565" t="s">
        <v>508</v>
      </c>
      <c r="I10" s="366">
        <v>8</v>
      </c>
      <c r="J10" s="367">
        <v>50</v>
      </c>
      <c r="K10" s="368">
        <f t="shared" si="0"/>
        <v>400</v>
      </c>
      <c r="M10" s="369" t="s">
        <v>509</v>
      </c>
      <c r="N10" s="369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4361</v>
      </c>
      <c r="O10" s="369"/>
      <c r="P10" s="365"/>
      <c r="R10" s="340"/>
      <c r="S10" s="331"/>
      <c r="T10" s="331"/>
      <c r="U10" s="323"/>
      <c r="V10" s="331" t="s">
        <v>510</v>
      </c>
      <c r="W10" s="331">
        <v>90</v>
      </c>
      <c r="X10" s="323"/>
      <c r="Y10" s="339" t="s">
        <v>511</v>
      </c>
      <c r="Z10" s="375">
        <v>1</v>
      </c>
      <c r="AA10" s="331">
        <v>75</v>
      </c>
      <c r="AB10" s="331">
        <f t="shared" si="1"/>
        <v>75</v>
      </c>
      <c r="AD10" s="388" t="s">
        <v>509</v>
      </c>
      <c r="AE10" s="388">
        <f>IF(تسعير!AG28="جملة",(((W12+W13)/2)+Table424[[#Totals],[قيمة]]),IF(تسعير!AG28="قطاعي",(((W12+W13))+Table424[[#Totals],[قيمة]]),0))</f>
        <v>7830</v>
      </c>
      <c r="AF10" s="388"/>
      <c r="AG10" s="365"/>
    </row>
    <row r="11" ht="18.75">
      <c r="A11" s="562"/>
      <c r="B11" s="562"/>
      <c r="C11" s="564"/>
      <c r="E11" s="332" t="s">
        <v>512</v>
      </c>
      <c r="F11" s="333">
        <v>450</v>
      </c>
      <c r="H11" s="374" t="s">
        <v>513</v>
      </c>
      <c r="I11" s="370"/>
      <c r="J11" s="371"/>
      <c r="K11" s="372">
        <v>250</v>
      </c>
      <c r="M11" s="369" t="s">
        <v>514</v>
      </c>
      <c r="N11" s="369">
        <f>IF(OR(تسعير!AN8="double",تسعير!AN8="single مطرز"),'شماسي و كانتليفر'!F13,0)</f>
        <v>0</v>
      </c>
      <c r="O11" s="369"/>
      <c r="P11" s="365"/>
      <c r="R11" s="340"/>
      <c r="S11" s="323"/>
      <c r="T11" s="323"/>
      <c r="U11" s="323"/>
      <c r="V11" s="331" t="s">
        <v>226</v>
      </c>
      <c r="W11" s="331">
        <f>Sheet2!B14/1000</f>
        <v>230</v>
      </c>
      <c r="X11" s="323"/>
      <c r="Y11" s="339" t="s">
        <v>515</v>
      </c>
      <c r="Z11" s="375">
        <v>1</v>
      </c>
      <c r="AA11" s="331">
        <v>75</v>
      </c>
      <c r="AB11" s="331">
        <f t="shared" si="1"/>
        <v>75</v>
      </c>
      <c r="AD11" s="388" t="s">
        <v>514</v>
      </c>
      <c r="AE11" s="388">
        <f>IF(تسعير!AK28="no",0,W14)</f>
        <v>1200</v>
      </c>
      <c r="AF11" s="388"/>
      <c r="AG11" s="365"/>
    </row>
    <row r="12" ht="18.75">
      <c r="A12" s="328"/>
      <c r="E12" s="334" t="s">
        <v>516</v>
      </c>
      <c r="F12" s="335">
        <v>450</v>
      </c>
      <c r="H12" s="373" t="s">
        <v>517</v>
      </c>
      <c r="I12" s="366"/>
      <c r="J12" s="367"/>
      <c r="K12" s="373">
        <v>2700</v>
      </c>
      <c r="M12" s="369" t="s">
        <v>518</v>
      </c>
      <c r="N12" s="369">
        <f>'شماسي و كانتليفر'!K12</f>
        <v>2700</v>
      </c>
      <c r="O12" s="369"/>
      <c r="P12" s="365"/>
      <c r="R12" s="340"/>
      <c r="S12" s="323"/>
      <c r="T12" s="323"/>
      <c r="U12" s="323"/>
      <c r="V12" s="331" t="s">
        <v>512</v>
      </c>
      <c r="W12" s="331">
        <v>500</v>
      </c>
      <c r="X12" s="323"/>
      <c r="Y12" s="388" t="s">
        <v>517</v>
      </c>
      <c r="Z12" s="375"/>
      <c r="AA12" s="331"/>
      <c r="AB12" s="217">
        <f>Sheet2!B45</f>
        <v>4000</v>
      </c>
      <c r="AD12" s="388" t="s">
        <v>519</v>
      </c>
      <c r="AE12" s="388">
        <f>IF(تسعير!AG28="نصف جملة",((AE6+AE9+AE10+AE11+تسعير!AL28)*1.25),IF(تسعير!AG28="جملة",(((AE6+AE9+AE10+AE11+تسعير!AL28)*1.275)),((AE6+AE9+AE10+AE11+تسعير!AL28)*1.3)))</f>
        <v>23414.625</v>
      </c>
      <c r="AF12" s="388"/>
      <c r="AG12" s="365"/>
    </row>
    <row r="13" ht="18.75">
      <c r="A13" s="328"/>
      <c r="E13" s="336" t="s">
        <v>520</v>
      </c>
      <c r="F13" s="337">
        <v>1200</v>
      </c>
      <c r="H13" s="338" t="s">
        <v>58</v>
      </c>
      <c r="I13" s="371"/>
      <c r="J13" s="371"/>
      <c r="K13" s="374">
        <f>SUBTOTAL(109,Table4[قيمة])</f>
        <v>3911</v>
      </c>
      <c r="M13" s="369" t="s">
        <v>519</v>
      </c>
      <c r="N13" s="369" t="e">
        <f>IF(تسعير!AI8="نصف جملة",((N6+N9+N10+N11+تسعير!AO8)*1.275),IF(تسعير!AI8="جملة",(((N6+N9+N10+N11+تسعير!AO8)*1.25)),((N6+N9+N10+N11+تسعير!AO8)*1.3)))</f>
        <v>#VALUE!</v>
      </c>
      <c r="O13" s="369"/>
      <c r="P13" s="365"/>
      <c r="R13" s="340"/>
      <c r="S13" s="323"/>
      <c r="T13" s="323"/>
      <c r="U13" s="323"/>
      <c r="V13" s="331" t="s">
        <v>516</v>
      </c>
      <c r="W13" s="331">
        <v>500</v>
      </c>
      <c r="X13" s="323"/>
      <c r="Y13" s="339" t="s">
        <v>521</v>
      </c>
      <c r="Z13" s="375">
        <v>8</v>
      </c>
      <c r="AA13" s="331">
        <v>100</v>
      </c>
      <c r="AB13" s="331">
        <f>Table424[[#This Row],[سعر الوحدة]]*Table424[[#This Row],[عدد/الشمسية]]</f>
        <v>800</v>
      </c>
      <c r="AG13" s="365"/>
    </row>
    <row r="14" ht="18.75">
      <c r="A14" s="328"/>
      <c r="H14" s="339"/>
      <c r="I14" s="375"/>
      <c r="J14" s="331"/>
      <c r="K14" s="331"/>
      <c r="M14" s="369"/>
      <c r="N14" s="369"/>
      <c r="O14" s="369"/>
      <c r="P14" s="365"/>
      <c r="R14" s="340"/>
      <c r="S14" s="323"/>
      <c r="T14" s="323"/>
      <c r="U14" s="323"/>
      <c r="V14" s="331" t="s">
        <v>520</v>
      </c>
      <c r="W14" s="331">
        <f>Sheet2!B54</f>
        <v>1200</v>
      </c>
      <c r="X14" s="323"/>
      <c r="Y14" s="339"/>
      <c r="Z14" s="375"/>
      <c r="AA14" s="331"/>
      <c r="AB14" s="331"/>
      <c r="AG14" s="365"/>
    </row>
    <row r="15" ht="18.75">
      <c r="A15" s="328"/>
      <c r="H15" s="324" t="s">
        <v>198</v>
      </c>
      <c r="I15" s="323" t="s">
        <v>522</v>
      </c>
      <c r="J15" s="323" t="s">
        <v>523</v>
      </c>
      <c r="K15" s="323" t="s">
        <v>524</v>
      </c>
      <c r="M15" s="369"/>
      <c r="N15" s="369"/>
      <c r="O15" s="369"/>
      <c r="P15" s="365"/>
      <c r="R15" s="340"/>
      <c r="S15" s="323"/>
      <c r="T15" s="323"/>
      <c r="U15" s="323"/>
      <c r="V15" s="324"/>
      <c r="W15" s="323"/>
      <c r="X15" s="323"/>
      <c r="Y15" s="339" t="s">
        <v>58</v>
      </c>
      <c r="Z15" s="331"/>
      <c r="AA15" s="331"/>
      <c r="AB15" s="331">
        <f>SUBTOTAL(109,Table424[قيمة])</f>
        <v>6830</v>
      </c>
      <c r="AG15" s="365"/>
    </row>
    <row r="16" ht="18.75">
      <c r="A16" s="328"/>
      <c r="E16" s="324" t="s">
        <v>9</v>
      </c>
      <c r="F16" s="324" t="s">
        <v>30</v>
      </c>
      <c r="H16" s="331" t="s">
        <v>525</v>
      </c>
      <c r="I16" s="331">
        <v>5.8</v>
      </c>
      <c r="J16" s="331">
        <v>8.6</v>
      </c>
      <c r="K16" s="331">
        <v>11.4</v>
      </c>
      <c r="M16" s="369"/>
      <c r="N16" s="369" t="e">
        <f>N6+N9+N10+N11+تسعير!AO8</f>
        <v>#VALUE!</v>
      </c>
      <c r="O16" s="369"/>
      <c r="P16" s="365"/>
      <c r="R16" s="340"/>
      <c r="S16" s="323"/>
      <c r="T16" s="323"/>
      <c r="U16" s="323"/>
      <c r="V16" s="324"/>
      <c r="W16" s="323"/>
      <c r="X16" s="323"/>
      <c r="Y16" s="339"/>
      <c r="Z16" s="375"/>
      <c r="AA16" s="331"/>
      <c r="AB16" s="331"/>
      <c r="AG16" s="365"/>
    </row>
    <row r="17" ht="18.75">
      <c r="A17" s="340"/>
      <c r="E17" s="324" t="s">
        <v>199</v>
      </c>
      <c r="F17" s="323" t="s">
        <v>182</v>
      </c>
      <c r="H17" s="331" t="s">
        <v>526</v>
      </c>
      <c r="I17" s="331">
        <v>5.65</v>
      </c>
      <c r="J17" s="331" t="s">
        <v>527</v>
      </c>
      <c r="K17" s="331" t="s">
        <v>527</v>
      </c>
      <c r="P17" s="365"/>
      <c r="R17" s="340"/>
      <c r="V17" s="324" t="s">
        <v>9</v>
      </c>
      <c r="W17" s="323" t="s">
        <v>30</v>
      </c>
      <c r="X17" s="323"/>
      <c r="Y17" s="324" t="s">
        <v>198</v>
      </c>
      <c r="Z17" s="323" t="s">
        <v>522</v>
      </c>
      <c r="AA17" s="323" t="s">
        <v>523</v>
      </c>
      <c r="AB17" s="323" t="s">
        <v>524</v>
      </c>
      <c r="AG17" s="365"/>
    </row>
    <row r="18" ht="18.75">
      <c r="A18" s="340"/>
      <c r="E18" s="324" t="s">
        <v>528</v>
      </c>
      <c r="F18" s="323" t="s">
        <v>215</v>
      </c>
      <c r="H18" s="331" t="s">
        <v>529</v>
      </c>
      <c r="I18" s="331">
        <v>6.1</v>
      </c>
      <c r="J18" s="331" t="s">
        <v>527</v>
      </c>
      <c r="K18" s="331" t="s">
        <v>527</v>
      </c>
      <c r="P18" s="365"/>
      <c r="R18" s="340"/>
      <c r="V18" s="331" t="s">
        <v>199</v>
      </c>
      <c r="W18" s="339" t="s">
        <v>182</v>
      </c>
      <c r="X18" s="323"/>
      <c r="Y18" s="331" t="s">
        <v>452</v>
      </c>
      <c r="Z18" s="331">
        <v>10</v>
      </c>
      <c r="AA18" s="331">
        <v>13</v>
      </c>
      <c r="AB18" s="331">
        <v>16</v>
      </c>
      <c r="AG18" s="365"/>
    </row>
    <row r="19" ht="18.75">
      <c r="A19" s="340"/>
      <c r="E19" s="324" t="s">
        <v>179</v>
      </c>
      <c r="F19" s="323" t="s">
        <v>202</v>
      </c>
      <c r="H19" s="331" t="s">
        <v>530</v>
      </c>
      <c r="I19" s="331">
        <v>6.5</v>
      </c>
      <c r="J19" s="331" t="s">
        <v>527</v>
      </c>
      <c r="K19" s="331" t="s">
        <v>527</v>
      </c>
      <c r="P19" s="365"/>
      <c r="R19" s="340"/>
      <c r="V19" s="331" t="s">
        <v>528</v>
      </c>
      <c r="W19" s="339" t="s">
        <v>215</v>
      </c>
      <c r="X19" s="323"/>
      <c r="Y19" s="331" t="s">
        <v>200</v>
      </c>
      <c r="Z19" s="331">
        <v>16</v>
      </c>
      <c r="AA19" s="331">
        <v>20</v>
      </c>
      <c r="AB19" s="331">
        <v>24</v>
      </c>
      <c r="AG19" s="365"/>
    </row>
    <row r="20" ht="18.75">
      <c r="A20" s="340"/>
      <c r="F20" s="323" t="s">
        <v>531</v>
      </c>
      <c r="H20" s="331" t="s">
        <v>532</v>
      </c>
      <c r="I20" s="331">
        <v>7.5</v>
      </c>
      <c r="J20" s="331" t="s">
        <v>527</v>
      </c>
      <c r="K20" s="331" t="s">
        <v>527</v>
      </c>
      <c r="P20" s="365"/>
      <c r="R20" s="340"/>
      <c r="V20" s="331"/>
      <c r="W20" s="339" t="s">
        <v>202</v>
      </c>
      <c r="X20" s="323"/>
      <c r="Y20" s="331"/>
      <c r="Z20" s="331"/>
      <c r="AA20" s="331"/>
      <c r="AB20" s="331"/>
      <c r="AG20" s="365"/>
    </row>
    <row r="21" ht="18.75">
      <c r="A21" s="340"/>
      <c r="H21" s="331" t="s">
        <v>533</v>
      </c>
      <c r="I21" s="331">
        <v>7.1</v>
      </c>
      <c r="J21" s="331">
        <v>10.6</v>
      </c>
      <c r="K21" s="331">
        <v>14.1</v>
      </c>
      <c r="P21" s="365"/>
      <c r="R21" s="340"/>
      <c r="V21" s="324"/>
      <c r="W21" s="323"/>
      <c r="X21" s="323"/>
      <c r="Y21" s="331"/>
      <c r="Z21" s="331"/>
      <c r="AA21" s="331"/>
      <c r="AB21" s="331"/>
      <c r="AG21" s="365"/>
    </row>
    <row r="22" ht="18.75">
      <c r="A22" s="340"/>
      <c r="H22" s="331" t="s">
        <v>534</v>
      </c>
      <c r="I22" s="331">
        <v>8.5</v>
      </c>
      <c r="J22" s="331">
        <v>12.8</v>
      </c>
      <c r="K22" s="331">
        <v>17.1</v>
      </c>
      <c r="P22" s="365"/>
      <c r="R22" s="340"/>
      <c r="AG22" s="365"/>
    </row>
    <row r="23" ht="18.75">
      <c r="A23" s="340"/>
      <c r="H23" s="331" t="s">
        <v>535</v>
      </c>
      <c r="I23" s="331">
        <v>9.4</v>
      </c>
      <c r="J23" s="331">
        <v>14</v>
      </c>
      <c r="K23" s="331">
        <v>18.5</v>
      </c>
      <c r="P23" s="365"/>
      <c r="R23" s="340"/>
      <c r="AG23" s="365"/>
    </row>
    <row r="24" ht="18.75">
      <c r="A24" s="328"/>
      <c r="H24" s="563"/>
      <c r="I24" s="563"/>
      <c r="J24" s="563"/>
      <c r="K24" s="563"/>
      <c r="P24" s="365"/>
      <c r="R24" s="340"/>
      <c r="AG24" s="365"/>
    </row>
    <row r="25">
      <c r="A25" s="341"/>
      <c r="B25" s="342"/>
      <c r="C25" s="342"/>
      <c r="D25" s="342"/>
      <c r="E25" s="343"/>
      <c r="F25" s="342"/>
      <c r="G25" s="342"/>
      <c r="H25" s="342"/>
      <c r="I25" s="342"/>
      <c r="J25" s="342"/>
      <c r="K25" s="342"/>
      <c r="L25" s="376"/>
      <c r="M25" s="376"/>
      <c r="N25" s="376"/>
      <c r="O25" s="376"/>
      <c r="P25" s="377"/>
      <c r="R25" s="340"/>
      <c r="AG25" s="365"/>
    </row>
    <row r="26">
      <c r="A26" s="325"/>
      <c r="B26" s="326"/>
      <c r="C26" s="326"/>
      <c r="D26" s="326"/>
      <c r="E26" s="327"/>
      <c r="F26" s="326"/>
      <c r="G26" s="326"/>
      <c r="H26" s="326"/>
      <c r="I26" s="326"/>
      <c r="J26" s="326"/>
      <c r="K26" s="326"/>
      <c r="L26" s="359"/>
      <c r="M26" s="359"/>
      <c r="N26" s="359"/>
      <c r="O26" s="359"/>
      <c r="P26" s="360"/>
      <c r="R26" s="340"/>
      <c r="V26" s="376"/>
      <c r="W26" s="376"/>
      <c r="X26" s="376"/>
      <c r="Y26" s="376"/>
      <c r="Z26" s="376"/>
      <c r="AA26" s="376"/>
      <c r="AB26" s="376"/>
      <c r="AC26" s="376"/>
      <c r="AD26" s="376"/>
      <c r="AE26" s="376"/>
      <c r="AF26" s="376"/>
      <c r="AG26" s="377"/>
    </row>
    <row r="27">
      <c r="A27" s="344" t="s">
        <v>28</v>
      </c>
      <c r="B27" s="345" t="s">
        <v>478</v>
      </c>
      <c r="C27" s="345" t="s">
        <v>29</v>
      </c>
      <c r="D27" s="345" t="s">
        <v>536</v>
      </c>
      <c r="E27" s="346" t="s">
        <v>450</v>
      </c>
      <c r="F27" s="345" t="s">
        <v>537</v>
      </c>
      <c r="G27" s="345" t="s">
        <v>444</v>
      </c>
      <c r="H27" s="345"/>
      <c r="I27" s="345"/>
      <c r="J27" s="345"/>
      <c r="K27" s="345"/>
      <c r="L27" s="378"/>
      <c r="M27" s="378"/>
      <c r="N27" s="378"/>
      <c r="O27" s="378"/>
      <c r="P27" s="378"/>
      <c r="Q27" s="378"/>
      <c r="R27" s="378"/>
      <c r="S27" s="378"/>
      <c r="T27" s="378"/>
      <c r="U27" s="384"/>
    </row>
    <row r="28" ht="20.25" customHeight="1">
      <c r="A28" s="347">
        <f>IF((تسعير!T53="بالتات"),0,(تسعير!T47+1))</f>
        <v>2</v>
      </c>
      <c r="B28" s="331">
        <v>78</v>
      </c>
      <c r="C28" s="339" t="s">
        <v>538</v>
      </c>
      <c r="D28" s="331">
        <f>Sheet2!B12/1000</f>
        <v>50</v>
      </c>
      <c r="E28" s="324">
        <f>Table12[[#This Row],[سعر]]*Table12[[#This Row],[ميزان]]*Table12[[#This Row],[عدد]]</f>
        <v>7800</v>
      </c>
      <c r="F28" s="323">
        <f>16*3.14*Table12[[#This Row],[عدد]]*0.05</f>
        <v>5.0240000000000009</v>
      </c>
      <c r="G28" s="323">
        <f>Table12[[#This Row],[ميزان]]*Table12[[#This Row],[عدد]]</f>
        <v>156</v>
      </c>
      <c r="U28" s="385"/>
    </row>
    <row r="29" ht="35.25" customHeight="1">
      <c r="A29" s="347">
        <f>IF((تسعير!T53="بالتات"),(تسعير!T47+1),0)</f>
        <v>0</v>
      </c>
      <c r="B29" s="331">
        <v>62</v>
      </c>
      <c r="C29" s="339" t="s">
        <v>539</v>
      </c>
      <c r="D29" s="331">
        <f>Sheet2!B12/1000</f>
        <v>50</v>
      </c>
      <c r="E29" s="324">
        <f>Table12[[#This Row],[سعر]]*Table12[[#This Row],[ميزان]]*Table12[[#This Row],[عدد]]</f>
        <v>0</v>
      </c>
      <c r="F29" s="348">
        <f>16*3.14*Table12[[#This Row],[عدد]]*0.04</f>
        <v>0</v>
      </c>
      <c r="G29" s="323">
        <f>Table12[[#This Row],[ميزان]]*Table12[[#This Row],[عدد]]</f>
        <v>0</v>
      </c>
      <c r="I29" s="216"/>
      <c r="J29" s="216"/>
      <c r="K29" s="217"/>
      <c r="L29" s="629" t="s">
        <v>133</v>
      </c>
      <c r="M29" s="629"/>
      <c r="N29" s="629"/>
      <c r="O29" s="629"/>
      <c r="P29" s="629"/>
      <c r="Q29" s="629"/>
      <c r="R29" s="216"/>
      <c r="S29" s="216"/>
      <c r="T29" s="216"/>
      <c r="U29" s="385"/>
    </row>
    <row r="30" ht="35.25" customHeight="1">
      <c r="A30" s="347">
        <f>A28+A29</f>
        <v>2</v>
      </c>
      <c r="B30" s="331">
        <v>28</v>
      </c>
      <c r="C30" s="339" t="s">
        <v>540</v>
      </c>
      <c r="D30" s="331">
        <f>Sheet2!B12/1000</f>
        <v>50</v>
      </c>
      <c r="E30" s="324">
        <f>Table12[[#This Row],[سعر]]*Table12[[#This Row],[ميزان]]*Table12[[#This Row],[عدد]]</f>
        <v>2800</v>
      </c>
      <c r="F30" s="323">
        <f>3*6*Table12[[#This Row],[عدد]]/10</f>
        <v>3.6</v>
      </c>
      <c r="G30" s="323">
        <f>Table12[[#This Row],[ميزان]]*Table12[[#This Row],[عدد]]</f>
        <v>56</v>
      </c>
      <c r="I30" s="211" t="s">
        <v>541</v>
      </c>
      <c r="J30" s="218" t="s">
        <v>29</v>
      </c>
      <c r="K30" s="211" t="s">
        <v>134</v>
      </c>
      <c r="L30" s="211" t="s">
        <v>12</v>
      </c>
      <c r="M30" s="211" t="s">
        <v>135</v>
      </c>
      <c r="N30" s="211" t="s">
        <v>136</v>
      </c>
      <c r="O30" s="211" t="s">
        <v>63</v>
      </c>
      <c r="P30" s="211" t="s">
        <v>137</v>
      </c>
      <c r="Q30" s="211" t="s">
        <v>138</v>
      </c>
      <c r="R30" s="245" t="s">
        <v>36</v>
      </c>
      <c r="S30" s="211" t="s">
        <v>37</v>
      </c>
      <c r="U30" s="385"/>
    </row>
    <row r="31" ht="35.25" customHeight="1">
      <c r="A31" s="347">
        <f>A30</f>
        <v>2</v>
      </c>
      <c r="B31" s="331">
        <v>15</v>
      </c>
      <c r="C31" s="339" t="s">
        <v>542</v>
      </c>
      <c r="D31" s="331">
        <f>(Sheet2!B12/1000)+12</f>
        <v>62</v>
      </c>
      <c r="E31" s="324">
        <f>Table12[[#This Row],[سعر]]*Table12[[#This Row],[ميزان]]*Table12[[#This Row],[عدد]]</f>
        <v>1860</v>
      </c>
      <c r="F31" s="323">
        <f>16*3.14*Table12[[#This Row],[عدد]]</f>
        <v>100.48</v>
      </c>
      <c r="I31" s="212">
        <v>4</v>
      </c>
      <c r="J31" s="379" t="s">
        <v>139</v>
      </c>
      <c r="K31" s="211">
        <f>IF((Table161243[[#This Row],[موقع العمل]]="المصنع"),200,IF((Table161243[[#This Row],[موقع العمل]]="الاسكندرية"),200,250))</f>
        <v>200</v>
      </c>
      <c r="L31" s="211">
        <f>SUMIF(Table17[Column1],Table161243[[#This Row],[موقع العمل]],Table17[بدل الوجبة])</f>
        <v>0</v>
      </c>
      <c r="M31" s="211" t="s">
        <v>140</v>
      </c>
      <c r="N31" s="214" t="s">
        <v>39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1" s="240">
        <f>Table161243[[#This Row],[الايام]]*Q31</f>
        <v>800</v>
      </c>
      <c r="S31" s="241" t="e">
        <f ref="S31:S43" t="shared" si="2">(R31)/$G$84</f>
        <v>#DIV/0!</v>
      </c>
      <c r="U31" s="385"/>
    </row>
    <row r="32" ht="35.25" customHeight="1">
      <c r="A32" s="347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31">
        <v>23</v>
      </c>
      <c r="C32" s="339" t="s">
        <v>543</v>
      </c>
      <c r="D32" s="331">
        <f>(Sheet2!B12/1000)+12</f>
        <v>62</v>
      </c>
      <c r="E32" s="324">
        <f>Table12[[#This Row],[سعر]]*Table12[[#This Row],[ميزان]]*Table12[[#This Row],[عدد]]</f>
        <v>5704</v>
      </c>
      <c r="I32" s="212">
        <v>2</v>
      </c>
      <c r="J32" s="379" t="s">
        <v>141</v>
      </c>
      <c r="K32" s="211">
        <f>IF((Table161243[[#This Row],[موقع العمل]]="المصنع"),200,IF((Table161243[[#This Row],[موقع العمل]]="الاسكندرية"),200,250))</f>
        <v>200</v>
      </c>
      <c r="L32" s="211">
        <f>SUMIF(Table17[Column1],Table161243[[#This Row],[موقع العمل]],Table17[بدل الوجبة])</f>
        <v>0</v>
      </c>
      <c r="M32" s="211" t="s">
        <v>140</v>
      </c>
      <c r="N32" s="214" t="s">
        <v>39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2" s="240">
        <f>Table161243[[#This Row],[الايام]]*Q32</f>
        <v>400</v>
      </c>
      <c r="S32" s="241" t="e">
        <f t="shared" si="2"/>
        <v>#DIV/0!</v>
      </c>
      <c r="U32" s="385"/>
    </row>
    <row r="33" ht="35.25" customHeight="1">
      <c r="A33" s="347">
        <f>A30</f>
        <v>2</v>
      </c>
      <c r="B33" s="331">
        <v>1</v>
      </c>
      <c r="C33" s="339" t="s">
        <v>247</v>
      </c>
      <c r="D33" s="331">
        <f>Sheet2!B50</f>
        <v>150</v>
      </c>
      <c r="E33" s="324">
        <f>Table12[[#This Row],[سعر]]*Table12[[#This Row],[ميزان]]*Table12[[#This Row],[عدد]]</f>
        <v>300</v>
      </c>
      <c r="I33" s="212">
        <v>3</v>
      </c>
      <c r="J33" s="379" t="s">
        <v>142</v>
      </c>
      <c r="K33" s="211">
        <f>IF((Table161243[[#This Row],[موقع العمل]]="المصنع"),200,IF((Table161243[[#This Row],[موقع العمل]]="الاسكندرية"),200,250))</f>
        <v>200</v>
      </c>
      <c r="L33" s="211">
        <f>SUMIF(Table17[Column1],Table161243[[#This Row],[موقع العمل]],Table17[بدل الوجبة])</f>
        <v>0</v>
      </c>
      <c r="M33" s="211" t="s">
        <v>140</v>
      </c>
      <c r="N33" s="214" t="s">
        <v>39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400</v>
      </c>
      <c r="R33" s="240">
        <f>Table161243[[#This Row],[الايام]]*Q33</f>
        <v>1200</v>
      </c>
      <c r="S33" s="241" t="e">
        <f t="shared" si="2"/>
        <v>#DIV/0!</v>
      </c>
      <c r="U33" s="385"/>
    </row>
    <row r="34" ht="35.25" customHeight="1">
      <c r="A34" s="347">
        <f>(A31+A32)*2</f>
        <v>12</v>
      </c>
      <c r="B34" s="331">
        <v>1</v>
      </c>
      <c r="C34" s="339" t="s">
        <v>544</v>
      </c>
      <c r="D34" s="331">
        <f>Sheet2!B51</f>
        <v>150</v>
      </c>
      <c r="E34" s="324">
        <f>Table12[[#This Row],[سعر]]*Table12[[#This Row],[ميزان]]*Table12[[#This Row],[عدد]]</f>
        <v>1800</v>
      </c>
      <c r="I34" s="212">
        <v>0</v>
      </c>
      <c r="J34" s="379" t="s">
        <v>143</v>
      </c>
      <c r="K34" s="211">
        <f>IF((Table161243[[#This Row],[موقع العمل]]="المصنع"),200,IF((Table161243[[#This Row],[موقع العمل]]="الاسكندرية"),200,250))</f>
        <v>200</v>
      </c>
      <c r="L34" s="211">
        <f>SUMIF(Table17[Column1],Table161243[[#This Row],[موقع العمل]],Table17[بدل الوجبة])</f>
        <v>0</v>
      </c>
      <c r="M34" s="211" t="s">
        <v>140</v>
      </c>
      <c r="N34" s="214" t="s">
        <v>39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85"/>
    </row>
    <row r="35" ht="35.25" customHeight="1">
      <c r="A35" s="347">
        <f>تسعير!T47*4</f>
        <v>4</v>
      </c>
      <c r="B35" s="331">
        <v>1</v>
      </c>
      <c r="C35" s="339" t="s">
        <v>545</v>
      </c>
      <c r="D35" s="331">
        <f>Sheet2!B53</f>
        <v>100</v>
      </c>
      <c r="E35" s="324">
        <f>Table12[[#This Row],[سعر]]*Table12[[#This Row],[ميزان]]*Table12[[#This Row],[عدد]]</f>
        <v>400</v>
      </c>
      <c r="I35" s="212">
        <v>4</v>
      </c>
      <c r="J35" s="379" t="s">
        <v>144</v>
      </c>
      <c r="K35" s="211">
        <f>IF((Table161243[[#This Row],[موقع العمل]]="المصنع"),200,IF((Table161243[[#This Row],[موقع العمل]]="الاسكندرية"),200,250))</f>
        <v>250</v>
      </c>
      <c r="L35" s="211">
        <f>SUMIF(Table17[Column1],Table161243[[#This Row],[موقع العمل]],Table17[بدل الوجبة])</f>
        <v>75</v>
      </c>
      <c r="M35" s="211" t="str">
        <f>تسعير!$T$45</f>
        <v>الشيخ زايد</v>
      </c>
      <c r="N35" s="214" t="s">
        <v>39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325</v>
      </c>
      <c r="R35" s="240">
        <f>Table161243[[#This Row],[الايام]]*Q35</f>
        <v>1300</v>
      </c>
      <c r="S35" s="241" t="e">
        <f t="shared" si="2"/>
        <v>#DIV/0!</v>
      </c>
      <c r="U35" s="385"/>
    </row>
    <row r="36" ht="35.25" customHeight="1">
      <c r="A36" s="347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31">
        <v>1</v>
      </c>
      <c r="C36" s="339" t="s">
        <v>546</v>
      </c>
      <c r="D36" s="331">
        <f>Sheet2!B47</f>
        <v>160</v>
      </c>
      <c r="E36" s="324">
        <f>Table12[[#This Row],[سعر]]*Table12[[#This Row],[ميزان]]*Table12[[#This Row],[عدد]]</f>
        <v>5280</v>
      </c>
      <c r="I36" s="212">
        <v>3</v>
      </c>
      <c r="J36" s="379" t="s">
        <v>145</v>
      </c>
      <c r="K36" s="211">
        <f>IF((Table161243[[#This Row],[موقع العمل]]="المصنع"),200,IF((Table161243[[#This Row],[موقع العمل]]="الاسكندرية"),200,250))</f>
        <v>250</v>
      </c>
      <c r="L36" s="211">
        <f>SUMIF(Table17[Column1],Table161243[[#This Row],[موقع العمل]],Table17[بدل الوجبة])</f>
        <v>75</v>
      </c>
      <c r="M36" s="211" t="str">
        <f>تسعير!$T$45</f>
        <v>الشيخ زايد</v>
      </c>
      <c r="N36" s="214" t="s">
        <v>39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650</v>
      </c>
      <c r="R36" s="240">
        <f>Table161243[[#This Row],[الايام]]*Q36</f>
        <v>1950</v>
      </c>
      <c r="S36" s="241" t="e">
        <f t="shared" si="2"/>
        <v>#DIV/0!</v>
      </c>
      <c r="U36" s="385"/>
    </row>
    <row r="37" ht="35.25" customHeight="1">
      <c r="A37" s="349">
        <f>IF((تسعير!T46="A"),Table12[[#This Row],[Column7]],IF((تسعير!T46="B"),Table12[[#This Row],[Column6]]))</f>
        <v>3.4</v>
      </c>
      <c r="B37" s="331">
        <v>1</v>
      </c>
      <c r="C37" s="339" t="s">
        <v>107</v>
      </c>
      <c r="D37" s="331">
        <f>Sheet2!B27</f>
        <v>510</v>
      </c>
      <c r="E37" s="350">
        <f>Table12[[#This Row],[سعر]]*Table12[[#This Row],[ميزان]]*Table12[[#This Row],[عدد]]</f>
        <v>1734</v>
      </c>
      <c r="F37" s="323">
        <f>ROUND((Table12[[#This Row],[Column7]]*1.8),1)</f>
        <v>6.1</v>
      </c>
      <c r="G37" s="351">
        <f>ROUND((F29+F30+F28+F48+F52)*0.4,1)</f>
        <v>3.4</v>
      </c>
      <c r="I37" s="212">
        <v>3</v>
      </c>
      <c r="J37" s="379" t="s">
        <v>146</v>
      </c>
      <c r="K37" s="211">
        <f>IF((Table161243[[#This Row],[موقع العمل]]="المصنع"),200,IF((Table161243[[#This Row],[موقع العمل]]="الاسكندرية"),200,250))</f>
        <v>250</v>
      </c>
      <c r="L37" s="211">
        <f>SUMIF(Table17[Column1],Table161243[[#This Row],[موقع العمل]],Table17[بدل الوجبة])</f>
        <v>75</v>
      </c>
      <c r="M37" s="211" t="str">
        <f>تسعير!$T$45</f>
        <v>الشيخ زايد</v>
      </c>
      <c r="N37" s="214" t="s">
        <v>39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325</v>
      </c>
      <c r="R37" s="240">
        <f>Table161243[[#This Row],[الايام]]*Q37</f>
        <v>975</v>
      </c>
      <c r="S37" s="241" t="e">
        <f t="shared" si="2"/>
        <v>#DIV/0!</v>
      </c>
      <c r="U37" s="385"/>
    </row>
    <row r="38" ht="35.25" customHeight="1">
      <c r="A38" s="349">
        <f>IF((تسعير!T46="A"),Table12[[#This Row],[Column7]],IF((تسعير!T46="B"),Table12[[#This Row],[Column6]]))</f>
        <v>3.4</v>
      </c>
      <c r="B38" s="331">
        <v>1</v>
      </c>
      <c r="C38" s="339" t="s">
        <v>106</v>
      </c>
      <c r="D38" s="331">
        <f>Sheet2!B26</f>
        <v>250</v>
      </c>
      <c r="E38" s="350">
        <f>Table12[[#This Row],[سعر]]*Table12[[#This Row],[ميزان]]*Table12[[#This Row],[عدد]]</f>
        <v>850</v>
      </c>
      <c r="F38" s="323">
        <f>ROUND((Table12[[#This Row],[Column7]]*1.8),1)</f>
        <v>6.1</v>
      </c>
      <c r="G38" s="351">
        <f>ROUND((F29+F30+F28+F48+F52)*0.4,1)</f>
        <v>3.4</v>
      </c>
      <c r="I38" s="212">
        <v>0</v>
      </c>
      <c r="J38" s="379" t="s">
        <v>147</v>
      </c>
      <c r="K38" s="211">
        <f>IF((Table161243[[#This Row],[موقع العمل]]="المصنع"),200,IF((Table161243[[#This Row],[موقع العمل]]="الاسكندرية"),200,250))</f>
        <v>250</v>
      </c>
      <c r="L38" s="211">
        <f>SUMIF(Table17[Column1],Table161243[[#This Row],[موقع العمل]],Table17[بدل الوجبة])</f>
        <v>75</v>
      </c>
      <c r="M38" s="211" t="str">
        <f>تسعير!$T$45</f>
        <v>الشيخ زايد</v>
      </c>
      <c r="N38" s="214" t="s">
        <v>39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85"/>
    </row>
    <row r="39" ht="35.25" customHeight="1">
      <c r="A39" s="349">
        <f>IF((تسعير!T46="A"),Table12[[#This Row],[Column7]],IF((تسعير!T46="B"),Table12[[#This Row],[Column6]]))</f>
        <v>3.4</v>
      </c>
      <c r="B39" s="331">
        <v>1</v>
      </c>
      <c r="C39" s="339" t="s">
        <v>45</v>
      </c>
      <c r="D39" s="331">
        <f>Sheet2!B26</f>
        <v>250</v>
      </c>
      <c r="E39" s="350">
        <f>Table12[[#This Row],[سعر]]*Table12[[#This Row],[ميزان]]*Table12[[#This Row],[عدد]]</f>
        <v>850</v>
      </c>
      <c r="F39" s="323">
        <f>ROUND((Table12[[#This Row],[Column7]]*1.8),1)</f>
        <v>6.1</v>
      </c>
      <c r="G39" s="351">
        <f>ROUND((F29+F30+F28+F48+F52)*0.4,1)</f>
        <v>3.4</v>
      </c>
      <c r="I39" s="212">
        <f>(I35+I36+I37+I38)*2</f>
        <v>20</v>
      </c>
      <c r="J39" s="379" t="s">
        <v>148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120</v>
      </c>
      <c r="P39" s="247"/>
      <c r="Q39" s="243">
        <f>Table161243[[#This Row],[Column12]]</f>
        <v>120</v>
      </c>
      <c r="R39" s="240">
        <f ref="R39:R43" t="shared" si="3">I39*Q39</f>
        <v>2400</v>
      </c>
      <c r="S39" s="241" t="e">
        <f t="shared" si="2"/>
        <v>#DIV/0!</v>
      </c>
      <c r="U39" s="385"/>
    </row>
    <row r="40" ht="35.25" customHeight="1">
      <c r="A40" s="349">
        <f>ROUND((F29+F30)*0.4/3,0)</f>
        <v>0</v>
      </c>
      <c r="B40" s="331">
        <v>1</v>
      </c>
      <c r="C40" s="339" t="s">
        <v>103</v>
      </c>
      <c r="D40" s="331">
        <f>Sheet2!B24</f>
        <v>400</v>
      </c>
      <c r="E40" s="350">
        <f>Table12[[#This Row],[سعر]]*Table12[[#This Row],[ميزان]]*Table12[[#This Row],[عدد]]</f>
        <v>0</v>
      </c>
      <c r="I40" s="212">
        <f>((P35+P36+P37+P38)*2)-2</f>
        <v>6</v>
      </c>
      <c r="J40" s="379" t="s">
        <v>149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250</v>
      </c>
      <c r="P40" s="247"/>
      <c r="Q40" s="243">
        <f>Table161243[[#This Row],[Column12]]</f>
        <v>250</v>
      </c>
      <c r="R40" s="240">
        <f t="shared" si="3"/>
        <v>1500</v>
      </c>
      <c r="S40" s="241" t="e">
        <f t="shared" si="2"/>
        <v>#DIV/0!</v>
      </c>
      <c r="U40" s="385"/>
    </row>
    <row r="41" ht="35.25" customHeight="1">
      <c r="A41" s="349">
        <f>ROUND((F29+F30)*0.4,0)</f>
        <v>1</v>
      </c>
      <c r="B41" s="331">
        <v>1</v>
      </c>
      <c r="C41" s="339" t="s">
        <v>108</v>
      </c>
      <c r="D41" s="331">
        <f>Sheet2!B48</f>
        <v>20</v>
      </c>
      <c r="E41" s="350">
        <f>Table12[[#This Row],[سعر]]*Table12[[#This Row],[ميزان]]*Table12[[#This Row],[عدد]]</f>
        <v>20</v>
      </c>
      <c r="I41" s="212">
        <v>2</v>
      </c>
      <c r="J41" s="379" t="s">
        <v>150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1500</v>
      </c>
      <c r="P41" s="247"/>
      <c r="Q41" s="243">
        <f>Table161243[[#This Row],[Column12]]</f>
        <v>1500</v>
      </c>
      <c r="R41" s="240">
        <f t="shared" si="3"/>
        <v>3000</v>
      </c>
      <c r="S41" s="241" t="e">
        <f t="shared" si="2"/>
        <v>#DIV/0!</v>
      </c>
      <c r="U41" s="385"/>
    </row>
    <row r="42" ht="35.25" customHeight="1">
      <c r="A42" s="349">
        <f>ROUND((F29+F30)*0.4,0)</f>
        <v>1</v>
      </c>
      <c r="B42" s="331">
        <v>1</v>
      </c>
      <c r="C42" s="339" t="s">
        <v>110</v>
      </c>
      <c r="D42" s="331">
        <f>Sheet2!B48</f>
        <v>20</v>
      </c>
      <c r="E42" s="350">
        <f>Table12[[#This Row],[سعر]]*Table12[[#This Row],[ميزان]]*Table12[[#This Row],[عدد]]</f>
        <v>20</v>
      </c>
      <c r="I42" s="212">
        <v>2</v>
      </c>
      <c r="J42" s="379" t="s">
        <v>151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2300</v>
      </c>
      <c r="P42" s="247"/>
      <c r="Q42" s="243">
        <f>Table161243[[#This Row],[Column12]]</f>
        <v>2300</v>
      </c>
      <c r="R42" s="240">
        <f t="shared" si="3"/>
        <v>4600</v>
      </c>
      <c r="S42" s="241" t="e">
        <f t="shared" si="2"/>
        <v>#DIV/0!</v>
      </c>
      <c r="U42" s="385"/>
    </row>
    <row r="43" ht="35.25" customHeight="1">
      <c r="A43" s="349">
        <f>ROUND((F29+F30)*0.4,0)</f>
        <v>1</v>
      </c>
      <c r="B43" s="331">
        <v>1</v>
      </c>
      <c r="C43" s="339" t="s">
        <v>111</v>
      </c>
      <c r="D43" s="331">
        <v>25</v>
      </c>
      <c r="E43" s="350">
        <f>Table12[[#This Row],[سعر]]*Table12[[#This Row],[ميزان]]*Table12[[#This Row],[عدد]]</f>
        <v>25</v>
      </c>
      <c r="I43" s="212">
        <f>I40</f>
        <v>6</v>
      </c>
      <c r="J43" s="379" t="s">
        <v>15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120</v>
      </c>
      <c r="P43" s="247"/>
      <c r="Q43" s="243">
        <f>Table161243[[#This Row],[Column12]]</f>
        <v>120</v>
      </c>
      <c r="R43" s="240">
        <f t="shared" si="3"/>
        <v>720</v>
      </c>
      <c r="S43" s="241" t="e">
        <f t="shared" si="2"/>
        <v>#DIV/0!</v>
      </c>
      <c r="U43" s="385"/>
    </row>
    <row r="44" ht="35.25" customHeight="1">
      <c r="A44" s="349">
        <f>ROUND((F29+F30)*0.4,0)</f>
        <v>1</v>
      </c>
      <c r="B44" s="331">
        <v>1</v>
      </c>
      <c r="C44" s="339" t="s">
        <v>113</v>
      </c>
      <c r="D44" s="331">
        <f>Sheet2!B48</f>
        <v>20</v>
      </c>
      <c r="E44" s="350">
        <f>Table12[[#This Row],[سعر]]*Table12[[#This Row],[ميزان]]*Table12[[#This Row],[عدد]]</f>
        <v>20</v>
      </c>
      <c r="I44" s="519"/>
      <c r="J44" s="520" t="s">
        <v>58</v>
      </c>
      <c r="K44" s="518"/>
      <c r="L44" s="518"/>
      <c r="M44" s="521"/>
      <c r="N44" s="521"/>
      <c r="O44" s="522">
        <f>SUBTOTAL(109,Table161243[Column12])</f>
        <v>4290</v>
      </c>
      <c r="P44" s="518"/>
      <c r="Q44" s="523"/>
      <c r="R44" s="524">
        <f>SUBTOTAL(109,Table161243[اجمالي])</f>
        <v>18845</v>
      </c>
      <c r="S44" s="525" t="e">
        <f>Table161243[[#Totals],[اجمالي]]/$G$84</f>
        <v>#DIV/0!</v>
      </c>
      <c r="U44" s="385"/>
    </row>
    <row r="45" ht="35.25" customHeight="1">
      <c r="A45" s="349">
        <f>ROUND((F29+F30)*0.4/3,0)</f>
        <v>0</v>
      </c>
      <c r="B45" s="331">
        <v>1</v>
      </c>
      <c r="C45" s="339" t="s">
        <v>114</v>
      </c>
      <c r="D45" s="331">
        <v>40</v>
      </c>
      <c r="E45" s="350">
        <f>Table12[[#This Row],[سعر]]*Table12[[#This Row],[ميزان]]*Table12[[#This Row],[عدد]]</f>
        <v>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85"/>
    </row>
    <row r="46" ht="25.5" customHeight="1">
      <c r="A46" s="349">
        <f>IF((تسعير!T46="A"),0,IF((تسعير!T46="B"),(G52+G48+G30+G29+G28)))</f>
        <v>0</v>
      </c>
      <c r="B46" s="331">
        <v>1</v>
      </c>
      <c r="C46" s="339" t="s">
        <v>132</v>
      </c>
      <c r="D46" s="331">
        <v>20</v>
      </c>
      <c r="E46" s="324">
        <f>Table12[[#This Row],[سعر]]*Table12[[#This Row],[ميزان]]*Table12[[#This Row],[عدد]]</f>
        <v>0</v>
      </c>
      <c r="U46" s="385"/>
    </row>
    <row r="47" ht="25.5" customHeight="1">
      <c r="A47" s="349">
        <f>IF((تسعير!T53="بالتات"),0,(A28+A29))</f>
        <v>2</v>
      </c>
      <c r="B47" s="331">
        <v>1</v>
      </c>
      <c r="C47" s="339" t="s">
        <v>547</v>
      </c>
      <c r="D47" s="331">
        <f>Sheet2!B49</f>
        <v>1200</v>
      </c>
      <c r="E47" s="350">
        <f>Table12[[#This Row],[سعر]]*Table12[[#This Row],[ميزان]]*Table12[[#This Row],[عدد]]</f>
        <v>2400</v>
      </c>
      <c r="J47" s="218" t="s">
        <v>9</v>
      </c>
      <c r="K47" s="211" t="s">
        <v>152</v>
      </c>
      <c r="L47" s="211" t="s">
        <v>153</v>
      </c>
      <c r="M47" s="211" t="s">
        <v>154</v>
      </c>
      <c r="N47" s="211" t="s">
        <v>30</v>
      </c>
      <c r="U47" s="385"/>
    </row>
    <row r="48" ht="25.5" customHeight="1">
      <c r="A48" s="349">
        <f>IF((تسعير!T53="بالتات"),(A28+A29),0)</f>
        <v>0</v>
      </c>
      <c r="B48" s="331">
        <v>30</v>
      </c>
      <c r="C48" s="339" t="s">
        <v>548</v>
      </c>
      <c r="D48" s="331">
        <f>Sheet2!B12/1000</f>
        <v>50</v>
      </c>
      <c r="E48" s="350">
        <f>Table12[[#This Row],[سعر]]*Table12[[#This Row],[ميزان]]*Table12[[#This Row],[عدد]]</f>
        <v>0</v>
      </c>
      <c r="F48" s="323">
        <f>0.5*0.5*Table12[[#This Row],[عدد]]</f>
        <v>0</v>
      </c>
      <c r="G48" s="323">
        <f>Table12[[#This Row],[ميزان]]*Table12[[#This Row],[عدد]]</f>
        <v>0</v>
      </c>
      <c r="J48" s="213" t="s">
        <v>549</v>
      </c>
      <c r="K48" s="214"/>
      <c r="L48" s="211"/>
      <c r="M48" s="290"/>
      <c r="N48" s="214">
        <f>IF((تسعير!T52='شماسي و كانتليفر'!F19),(N49-E28-E47-Table12[[#This Row],[Column5]]-E49-E50-E52-R42-R41-R39-(P31*K31)),0)</f>
        <v>0</v>
      </c>
      <c r="U48" s="385"/>
    </row>
    <row r="49" ht="25.5" customHeight="1">
      <c r="A49" s="349">
        <f>A48*2</f>
        <v>0</v>
      </c>
      <c r="B49" s="331">
        <v>1</v>
      </c>
      <c r="C49" s="339" t="s">
        <v>550</v>
      </c>
      <c r="D49" s="331">
        <v>250</v>
      </c>
      <c r="E49" s="350">
        <f>Table12[[#This Row],[سعر]]*Table12[[#This Row],[ميزان]]*Table12[[#This Row],[عدد]]</f>
        <v>0</v>
      </c>
      <c r="J49" s="380" t="s">
        <v>551</v>
      </c>
      <c r="K49" s="214"/>
      <c r="L49" s="211"/>
      <c r="M49" s="290"/>
      <c r="N49" s="291">
        <f>Table12[[#Totals],[Column5]]+Table161243[[#Totals],[اجمالي]]</f>
        <v>52708</v>
      </c>
      <c r="U49" s="385"/>
    </row>
    <row r="50" ht="25.5" customHeight="1">
      <c r="A50" s="349">
        <f>A47*2</f>
        <v>4</v>
      </c>
      <c r="B50" s="331">
        <v>10</v>
      </c>
      <c r="C50" s="339" t="s">
        <v>552</v>
      </c>
      <c r="D50" s="331">
        <f>Sheet2!B12/1000</f>
        <v>50</v>
      </c>
      <c r="E50" s="350">
        <f>Table12[[#This Row],[سعر]]*Table12[[#This Row],[ميزان]]*Table12[[#This Row],[عدد]]</f>
        <v>2000</v>
      </c>
      <c r="J50" s="213" t="s">
        <v>155</v>
      </c>
      <c r="K50" s="214"/>
      <c r="L50" s="211"/>
      <c r="M50" s="290"/>
      <c r="N50" s="291">
        <f>N49+N48</f>
        <v>52708</v>
      </c>
      <c r="U50" s="385"/>
    </row>
    <row r="51" ht="25.5" customHeight="1">
      <c r="A51" s="349">
        <f>ROUND((F29+F30)*0.4/3,0)</f>
        <v>0</v>
      </c>
      <c r="B51" s="331">
        <v>1</v>
      </c>
      <c r="C51" s="339" t="s">
        <v>81</v>
      </c>
      <c r="D51" s="331">
        <f>Sheet2!B28</f>
        <v>400</v>
      </c>
      <c r="E51" s="350">
        <f>Table12[[#This Row],[سعر]]*Table12[[#This Row],[ميزان]]*Table12[[#This Row],[عدد]]</f>
        <v>0</v>
      </c>
      <c r="J51" s="213" t="s">
        <v>156</v>
      </c>
      <c r="K51" s="214"/>
      <c r="L51" s="211"/>
      <c r="M51" s="320">
        <f>IF((M40="المقطم"),0.3,IF((M40="التجمع"),0.3,IF((M40="الشيخ زايد"),0.3,IF((M40="الاسكندرية"),0.5,IF((M40="الساحل"),0.5,0.35)))))</f>
        <v>0.3</v>
      </c>
      <c r="N51" s="291">
        <f>N50*(1+Table1856[[#This Row],[Column3]])</f>
        <v>68520.400000000009</v>
      </c>
      <c r="U51" s="385"/>
    </row>
    <row r="52" ht="25.5" customHeight="1">
      <c r="A52" s="349">
        <f>A48*4</f>
        <v>0</v>
      </c>
      <c r="B52" s="331">
        <v>1</v>
      </c>
      <c r="C52" s="339" t="s">
        <v>553</v>
      </c>
      <c r="D52" s="331">
        <f>Sheet2!B12/1000</f>
        <v>50</v>
      </c>
      <c r="E52" s="350">
        <f>Table12[[#This Row],[سعر]]*Table12[[#This Row],[ميزان]]*Table12[[#This Row],[عدد]]</f>
        <v>0</v>
      </c>
      <c r="F52" s="323">
        <f>0.15*0.15/2*Table12[[#This Row],[عدد]]</f>
        <v>0</v>
      </c>
      <c r="G52" s="323">
        <f>Table12[[#This Row],[ميزان]]*Table12[[#This Row],[عدد]]</f>
        <v>0</v>
      </c>
      <c r="U52" s="385"/>
    </row>
    <row r="53" ht="25.5" customHeight="1">
      <c r="A53" s="349">
        <f>ROUND((F29+F30)*0.4/3,0)</f>
        <v>0</v>
      </c>
      <c r="B53" s="331">
        <v>1</v>
      </c>
      <c r="C53" s="339" t="s">
        <v>554</v>
      </c>
      <c r="D53" s="331">
        <v>200</v>
      </c>
      <c r="E53" s="350">
        <f>Table12[[#This Row],[سعر]]*Table12[[#This Row],[ميزان]]*Table12[[#This Row],[عدد]]</f>
        <v>0</v>
      </c>
      <c r="U53" s="385"/>
    </row>
    <row r="54">
      <c r="A54" s="352" t="s">
        <v>58</v>
      </c>
      <c r="E54" s="350">
        <f>SUBTOTAL(109,Table12[Column5])</f>
        <v>33863</v>
      </c>
      <c r="F54" s="353">
        <f>Table12[[#Totals],[Column5]]/(تسعير!T54*تسعير!T55/10000)</f>
        <v>1354.52</v>
      </c>
      <c r="G54" s="323">
        <f>SUBTOTAL(103,Table12[Column7])</f>
        <v>8</v>
      </c>
      <c r="U54" s="385"/>
    </row>
    <row r="55">
      <c r="A55" s="354"/>
      <c r="U55" s="385"/>
    </row>
    <row r="56">
      <c r="A56" s="354"/>
      <c r="U56" s="385"/>
    </row>
    <row r="57">
      <c r="A57" s="354"/>
      <c r="U57" s="385"/>
    </row>
    <row r="58">
      <c r="A58" s="355"/>
      <c r="B58" s="356"/>
      <c r="C58" s="356"/>
      <c r="D58" s="356"/>
      <c r="E58" s="357"/>
      <c r="F58" s="356"/>
      <c r="G58" s="356"/>
      <c r="H58" s="356"/>
      <c r="I58" s="356"/>
      <c r="J58" s="356"/>
      <c r="K58" s="356"/>
      <c r="L58" s="381"/>
      <c r="M58" s="381"/>
      <c r="N58" s="381"/>
      <c r="O58" s="381"/>
      <c r="P58" s="381"/>
      <c r="Q58" s="381"/>
      <c r="R58" s="381"/>
      <c r="S58" s="381"/>
      <c r="T58" s="381"/>
      <c r="U58" s="386"/>
    </row>
    <row r="59">
      <c r="A59" s="325"/>
      <c r="B59" s="326"/>
      <c r="C59" s="326"/>
      <c r="D59" s="326"/>
      <c r="E59" s="327"/>
      <c r="F59" s="326"/>
      <c r="G59" s="326"/>
      <c r="H59" s="326"/>
      <c r="I59" s="326"/>
      <c r="J59" s="326"/>
      <c r="K59" s="326"/>
      <c r="L59" s="359"/>
      <c r="M59" s="359"/>
      <c r="N59" s="359"/>
      <c r="O59" s="359"/>
      <c r="P59" s="360"/>
      <c r="R59" s="340"/>
    </row>
    <row r="60">
      <c r="A60" s="344" t="s">
        <v>28</v>
      </c>
      <c r="B60" s="345" t="s">
        <v>478</v>
      </c>
      <c r="C60" s="345" t="s">
        <v>29</v>
      </c>
      <c r="D60" s="345" t="s">
        <v>536</v>
      </c>
      <c r="E60" s="346" t="s">
        <v>450</v>
      </c>
      <c r="F60" s="345" t="s">
        <v>537</v>
      </c>
      <c r="G60" s="345" t="s">
        <v>444</v>
      </c>
      <c r="H60" s="345"/>
      <c r="I60" s="345"/>
      <c r="J60" s="345"/>
      <c r="K60" s="345"/>
      <c r="L60" s="378"/>
      <c r="M60" s="378"/>
      <c r="N60" s="378"/>
      <c r="O60" s="378"/>
      <c r="P60" s="378"/>
      <c r="Q60" s="378"/>
      <c r="R60" s="378"/>
      <c r="S60" s="378"/>
      <c r="T60" s="378"/>
    </row>
    <row r="61" ht="18.75">
      <c r="A61" s="358">
        <f>IF((تسعير!T71="بالتات"),0,(تسعير!T65+1))</f>
        <v>2</v>
      </c>
      <c r="B61" s="331">
        <v>78</v>
      </c>
      <c r="C61" s="339" t="s">
        <v>538</v>
      </c>
      <c r="D61" s="331">
        <f>Sheet2!$B$12/1000</f>
        <v>50</v>
      </c>
      <c r="E61" s="324">
        <f>Table1257[[#This Row],[سعر]]*Table1257[[#This Row],[ميزان]]*Table1257[[#This Row],[عدد]]</f>
        <v>7800</v>
      </c>
      <c r="F61" s="323">
        <f>16*3.14*Table1257[[#This Row],[عدد]]*0.05</f>
        <v>5.0240000000000009</v>
      </c>
      <c r="G61" s="323">
        <f>Table1257[[#This Row],[ميزان]]*Table1257[[#This Row],[عدد]]</f>
        <v>156</v>
      </c>
    </row>
    <row r="62" ht="18.75">
      <c r="A62" s="358">
        <f>IF((تسعير!T71="بالتات"),(تسعير!T65+1),0)</f>
        <v>0</v>
      </c>
      <c r="B62" s="331">
        <v>62</v>
      </c>
      <c r="C62" s="339" t="s">
        <v>539</v>
      </c>
      <c r="D62" s="331">
        <f>Sheet2!$B$12/1000</f>
        <v>50</v>
      </c>
      <c r="E62" s="324">
        <f>Table1257[[#This Row],[سعر]]*Table1257[[#This Row],[ميزان]]*Table1257[[#This Row],[عدد]]</f>
        <v>0</v>
      </c>
      <c r="F62" s="348">
        <f>16*3.14*Table1257[[#This Row],[عدد]]*0.04</f>
        <v>0</v>
      </c>
      <c r="G62" s="323">
        <f>Table1257[[#This Row],[ميزان]]*Table1257[[#This Row],[عدد]]</f>
        <v>0</v>
      </c>
      <c r="I62" s="216"/>
      <c r="J62" s="216"/>
      <c r="K62" s="217"/>
      <c r="L62" s="629" t="s">
        <v>133</v>
      </c>
      <c r="M62" s="629"/>
      <c r="N62" s="629"/>
      <c r="O62" s="629"/>
      <c r="P62" s="629"/>
      <c r="Q62" s="629"/>
      <c r="R62" s="216"/>
      <c r="S62" s="216"/>
      <c r="T62" s="216"/>
    </row>
    <row r="63" ht="18.75">
      <c r="A63" s="358">
        <f>A61+A62</f>
        <v>2</v>
      </c>
      <c r="B63" s="331">
        <v>28</v>
      </c>
      <c r="C63" s="339" t="s">
        <v>540</v>
      </c>
      <c r="D63" s="331">
        <f>Sheet2!$B$12/1000</f>
        <v>50</v>
      </c>
      <c r="E63" s="324">
        <f>Table1257[[#This Row],[سعر]]*Table1257[[#This Row],[ميزان]]*Table1257[[#This Row],[عدد]]</f>
        <v>2800</v>
      </c>
      <c r="F63" s="323">
        <f>3*6*Table1257[[#This Row],[عدد]]/10</f>
        <v>3.6</v>
      </c>
      <c r="G63" s="323">
        <f>Table1257[[#This Row],[ميزان]]*Table1257[[#This Row],[عدد]]</f>
        <v>56</v>
      </c>
      <c r="I63" s="211" t="s">
        <v>28</v>
      </c>
      <c r="J63" s="218" t="s">
        <v>29</v>
      </c>
      <c r="K63" s="211" t="s">
        <v>134</v>
      </c>
      <c r="L63" s="211" t="s">
        <v>12</v>
      </c>
      <c r="M63" s="211" t="s">
        <v>135</v>
      </c>
      <c r="N63" s="211" t="s">
        <v>136</v>
      </c>
      <c r="O63" s="211" t="s">
        <v>63</v>
      </c>
      <c r="P63" s="211" t="s">
        <v>137</v>
      </c>
      <c r="Q63" s="211" t="s">
        <v>138</v>
      </c>
      <c r="R63" s="245" t="s">
        <v>36</v>
      </c>
      <c r="S63" s="211" t="s">
        <v>37</v>
      </c>
    </row>
    <row r="64" ht="21">
      <c r="A64" s="358">
        <f>A63+تسعير!T65*4</f>
        <v>6</v>
      </c>
      <c r="B64" s="331">
        <v>15</v>
      </c>
      <c r="C64" s="339" t="s">
        <v>542</v>
      </c>
      <c r="D64" s="331">
        <f>(Sheet2!B12/1000)+12</f>
        <v>62</v>
      </c>
      <c r="E64" s="324">
        <f>Table1257[[#This Row],[سعر]]*Table1257[[#This Row],[ميزان]]*Table1257[[#This Row],[عدد]]</f>
        <v>5580</v>
      </c>
      <c r="F64" s="323">
        <f>16*3.14*Table1257[[#This Row],[عدد]]</f>
        <v>301.44</v>
      </c>
      <c r="I64" s="212">
        <v>4</v>
      </c>
      <c r="J64" s="379" t="s">
        <v>139</v>
      </c>
      <c r="K64" s="211">
        <f>IF((Table16124360[[#This Row],[موقع العمل]]="المصنع"),200,IF((Table16124360[[#This Row],[موقع العمل]]="الاسكندرية"),200,250))</f>
        <v>200</v>
      </c>
      <c r="L64" s="211">
        <f>SUMIF(Table17[Column1],Table16124360[[#This Row],[موقع العمل]],Table17[بدل الوجبة])</f>
        <v>0</v>
      </c>
      <c r="M64" s="211" t="s">
        <v>140</v>
      </c>
      <c r="N64" s="214" t="s">
        <v>39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200</v>
      </c>
      <c r="R64" s="240">
        <f>Table16124360[[#This Row],[عدد]]*Q64</f>
        <v>800</v>
      </c>
      <c r="S64" s="241" t="e">
        <f ref="S64:S76" t="shared" si="5">(R64)/$G$84</f>
        <v>#DIV/0!</v>
      </c>
    </row>
    <row r="65" ht="21">
      <c r="A65" s="358">
        <f>تسعير!T65*4</f>
        <v>4</v>
      </c>
      <c r="B65" s="331">
        <v>23</v>
      </c>
      <c r="C65" s="339" t="s">
        <v>555</v>
      </c>
      <c r="D65" s="331">
        <f>(Sheet2!B12/1000)+12</f>
        <v>62</v>
      </c>
      <c r="E65" s="324">
        <f>Table1257[[#This Row],[سعر]]*Table1257[[#This Row],[ميزان]]*Table1257[[#This Row],[عدد]]</f>
        <v>5704</v>
      </c>
      <c r="I65" s="212">
        <v>2</v>
      </c>
      <c r="J65" s="379" t="s">
        <v>141</v>
      </c>
      <c r="K65" s="211">
        <f>IF((Table16124360[[#This Row],[موقع العمل]]="المصنع"),200,IF((Table16124360[[#This Row],[موقع العمل]]="الاسكندرية"),200,250))</f>
        <v>200</v>
      </c>
      <c r="L65" s="211">
        <f>SUMIF(Table17[Column1],Table16124360[[#This Row],[موقع العمل]],Table17[بدل الوجبة])</f>
        <v>0</v>
      </c>
      <c r="M65" s="211" t="s">
        <v>140</v>
      </c>
      <c r="N65" s="214" t="s">
        <v>39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200</v>
      </c>
      <c r="R65" s="240">
        <f>Table16124360[[#This Row],[عدد]]*Q65</f>
        <v>400</v>
      </c>
      <c r="S65" s="241" t="e">
        <f t="shared" si="5"/>
        <v>#DIV/0!</v>
      </c>
    </row>
    <row r="66" ht="21">
      <c r="A66" s="358">
        <f>A63</f>
        <v>2</v>
      </c>
      <c r="B66" s="331">
        <v>1</v>
      </c>
      <c r="C66" s="339" t="s">
        <v>247</v>
      </c>
      <c r="D66" s="331">
        <f>Sheet2!B50</f>
        <v>150</v>
      </c>
      <c r="E66" s="324">
        <f>Table1257[[#This Row],[سعر]]*Table1257[[#This Row],[ميزان]]*Table1257[[#This Row],[عدد]]</f>
        <v>300</v>
      </c>
      <c r="I66" s="212">
        <v>3</v>
      </c>
      <c r="J66" s="379" t="s">
        <v>142</v>
      </c>
      <c r="K66" s="211">
        <f>IF((Table16124360[[#This Row],[موقع العمل]]="المصنع"),200,IF((Table16124360[[#This Row],[موقع العمل]]="الاسكندرية"),200,250))</f>
        <v>200</v>
      </c>
      <c r="L66" s="211">
        <f>SUMIF(Table17[Column1],Table16124360[[#This Row],[موقع العمل]],Table17[بدل الوجبة])</f>
        <v>0</v>
      </c>
      <c r="M66" s="211" t="s">
        <v>140</v>
      </c>
      <c r="N66" s="214" t="s">
        <v>39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200</v>
      </c>
      <c r="R66" s="240">
        <f>Table16124360[[#This Row],[عدد]]*Q66</f>
        <v>600</v>
      </c>
      <c r="S66" s="241" t="e">
        <f t="shared" si="5"/>
        <v>#DIV/0!</v>
      </c>
    </row>
    <row r="67" ht="21">
      <c r="A67" s="358">
        <f>(A64+A65)*2</f>
        <v>20</v>
      </c>
      <c r="B67" s="331">
        <v>1</v>
      </c>
      <c r="C67" s="339" t="s">
        <v>544</v>
      </c>
      <c r="D67" s="331">
        <f>Sheet2!B51</f>
        <v>150</v>
      </c>
      <c r="E67" s="324">
        <f>Table1257[[#This Row],[سعر]]*Table1257[[#This Row],[ميزان]]*Table1257[[#This Row],[عدد]]</f>
        <v>3000</v>
      </c>
      <c r="I67" s="212">
        <v>0</v>
      </c>
      <c r="J67" s="379" t="s">
        <v>143</v>
      </c>
      <c r="K67" s="211">
        <f>IF((Table16124360[[#This Row],[موقع العمل]]="المصنع"),200,IF((Table16124360[[#This Row],[موقع العمل]]="الاسكندرية"),200,250))</f>
        <v>200</v>
      </c>
      <c r="L67" s="211">
        <f>SUMIF(Table17[Column1],Table16124360[[#This Row],[موقع العمل]],Table17[بدل الوجبة])</f>
        <v>0</v>
      </c>
      <c r="M67" s="211" t="s">
        <v>140</v>
      </c>
      <c r="N67" s="214" t="s">
        <v>39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58">
        <f>تسعير!T65*4</f>
        <v>4</v>
      </c>
      <c r="B68" s="331">
        <v>1</v>
      </c>
      <c r="C68" s="339" t="s">
        <v>545</v>
      </c>
      <c r="D68" s="331">
        <f>Sheet2!B53</f>
        <v>100</v>
      </c>
      <c r="E68" s="324">
        <f>Table1257[[#This Row],[سعر]]*Table1257[[#This Row],[ميزان]]*Table1257[[#This Row],[عدد]]</f>
        <v>400</v>
      </c>
      <c r="I68" s="212">
        <v>4</v>
      </c>
      <c r="J68" s="379" t="s">
        <v>144</v>
      </c>
      <c r="K68" s="211">
        <f>IF((Table16124360[[#This Row],[موقع العمل]]="المصنع"),200,IF((Table16124360[[#This Row],[موقع العمل]]="الاسكندرية"),200,250))</f>
        <v>250</v>
      </c>
      <c r="L68" s="211">
        <f>SUMIF(Table17[Column1],Table16124360[[#This Row],[موقع العمل]],Table17[بدل الوجبة])</f>
        <v>100</v>
      </c>
      <c r="M68" s="211" t="str">
        <f>تسعير!$T$63</f>
        <v>الساحل الشمالي</v>
      </c>
      <c r="N68" s="214" t="s">
        <v>39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3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1050</v>
      </c>
      <c r="R68" s="240">
        <f>Table16124360[[#This Row],[عدد]]*Q68</f>
        <v>4200</v>
      </c>
      <c r="S68" s="241" t="e">
        <f t="shared" si="5"/>
        <v>#DIV/0!</v>
      </c>
    </row>
    <row r="69" ht="21">
      <c r="A69" s="358">
        <f>تسعير!T65</f>
        <v>1</v>
      </c>
      <c r="B69" s="331">
        <v>1</v>
      </c>
      <c r="C69" s="339" t="s">
        <v>511</v>
      </c>
      <c r="D69" s="331">
        <f>Sheet2!B52</f>
        <v>250</v>
      </c>
      <c r="E69" s="324">
        <f>Table1257[[#This Row],[سعر]]*Table1257[[#This Row],[ميزان]]*Table1257[[#This Row],[عدد]]</f>
        <v>250</v>
      </c>
      <c r="F69" s="323">
        <f>16*3.14*Table1257[[#This Row],[عدد]]</f>
        <v>50.24</v>
      </c>
      <c r="I69" s="212">
        <v>3</v>
      </c>
      <c r="J69" s="379" t="s">
        <v>145</v>
      </c>
      <c r="K69" s="211">
        <f>IF((Table16124360[[#This Row],[موقع العمل]]="المصنع"),200,IF((Table16124360[[#This Row],[موقع العمل]]="الاسكندرية"),200,250))</f>
        <v>250</v>
      </c>
      <c r="L69" s="211">
        <f>SUMIF(Table17[Column1],Table16124360[[#This Row],[موقع العمل]],Table17[بدل الوجبة])</f>
        <v>100</v>
      </c>
      <c r="M69" s="211" t="str">
        <f>تسعير!$T$63</f>
        <v>الساحل الشمالي</v>
      </c>
      <c r="N69" s="214" t="s">
        <v>39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700</v>
      </c>
      <c r="R69" s="240">
        <f>Table16124360[[#This Row],[عدد]]*Q69</f>
        <v>2100</v>
      </c>
      <c r="S69" s="241" t="e">
        <f t="shared" si="5"/>
        <v>#DIV/0!</v>
      </c>
    </row>
    <row r="70" ht="21">
      <c r="A70" s="358">
        <f>تسعير!T65*36</f>
        <v>36</v>
      </c>
      <c r="B70" s="331">
        <v>1</v>
      </c>
      <c r="C70" s="339" t="s">
        <v>546</v>
      </c>
      <c r="D70" s="331">
        <f>Sheet2!B47</f>
        <v>160</v>
      </c>
      <c r="E70" s="324">
        <f>Table1257[[#This Row],[سعر]]*Table1257[[#This Row],[ميزان]]*Table1257[[#This Row],[عدد]]</f>
        <v>5760</v>
      </c>
      <c r="I70" s="212">
        <v>3</v>
      </c>
      <c r="J70" s="379" t="s">
        <v>146</v>
      </c>
      <c r="K70" s="211">
        <f>IF((Table16124360[[#This Row],[موقع العمل]]="المصنع"),200,IF((Table16124360[[#This Row],[موقع العمل]]="الاسكندرية"),200,250))</f>
        <v>250</v>
      </c>
      <c r="L70" s="211">
        <f>SUMIF(Table17[Column1],Table16124360[[#This Row],[موقع العمل]],Table17[بدل الوجبة])</f>
        <v>100</v>
      </c>
      <c r="M70" s="211" t="str">
        <f>تسعير!$T$63</f>
        <v>الساحل الشمالي</v>
      </c>
      <c r="N70" s="214" t="s">
        <v>39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350</v>
      </c>
      <c r="R70" s="240">
        <f>Table16124360[[#This Row],[عدد]]*Q70</f>
        <v>1050</v>
      </c>
      <c r="S70" s="241" t="e">
        <f t="shared" si="5"/>
        <v>#DIV/0!</v>
      </c>
    </row>
    <row r="71" ht="21">
      <c r="A71" s="389">
        <f>IF((تسعير!T64="A"),Table1257[[#This Row],[Column7]],IF((تسعير!T64="B"),Table1257[[#This Row],[Column6]]))</f>
        <v>3.4</v>
      </c>
      <c r="B71" s="331">
        <v>1</v>
      </c>
      <c r="C71" s="339" t="s">
        <v>107</v>
      </c>
      <c r="D71" s="331">
        <f>Sheet2!B27</f>
        <v>510</v>
      </c>
      <c r="E71" s="350">
        <f>Table1257[[#This Row],[سعر]]*Table1257[[#This Row],[ميزان]]*Table1257[[#This Row],[عدد]]</f>
        <v>1734</v>
      </c>
      <c r="F71" s="323">
        <f>ROUND((Table1257[[#This Row],[Column7]]*1.8),1)</f>
        <v>6.1</v>
      </c>
      <c r="G71" s="351">
        <f>ROUND((F62+F63+F61+F82+F86)*0.4,1)</f>
        <v>3.4</v>
      </c>
      <c r="I71" s="212">
        <v>0</v>
      </c>
      <c r="J71" s="379" t="s">
        <v>147</v>
      </c>
      <c r="K71" s="211">
        <f>IF((Table16124360[[#This Row],[موقع العمل]]="المصنع"),200,IF((Table16124360[[#This Row],[موقع العمل]]="الاسكندرية"),200,250))</f>
        <v>250</v>
      </c>
      <c r="L71" s="211">
        <f>SUMIF(Table17[Column1],Table16124360[[#This Row],[موقع العمل]],Table17[بدل الوجبة])</f>
        <v>100</v>
      </c>
      <c r="M71" s="211" t="str">
        <f>تسعير!$T$63</f>
        <v>الساحل الشمالي</v>
      </c>
      <c r="N71" s="214" t="s">
        <v>39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89">
        <f>IF((تسعير!T64="A"),Table1257[[#This Row],[Column7]],IF((تسعير!T64="B"),Table1257[[#This Row],[Column6]]))</f>
        <v>3.4</v>
      </c>
      <c r="B72" s="331">
        <v>1</v>
      </c>
      <c r="C72" s="339" t="s">
        <v>106</v>
      </c>
      <c r="D72" s="331">
        <f>Sheet2!B26</f>
        <v>250</v>
      </c>
      <c r="E72" s="350">
        <f>Table1257[[#This Row],[سعر]]*Table1257[[#This Row],[ميزان]]*Table1257[[#This Row],[عدد]]</f>
        <v>850</v>
      </c>
      <c r="F72" s="323">
        <f>ROUND((Table1257[[#This Row],[Column7]]*1.8),1)</f>
        <v>6.1</v>
      </c>
      <c r="G72" s="351">
        <f>ROUND((F62+F63+F61+F82+F86)*0.4,1)</f>
        <v>3.4</v>
      </c>
      <c r="I72" s="212">
        <f>(I68+I69+I70+I71)*2</f>
        <v>20</v>
      </c>
      <c r="J72" s="379" t="s">
        <v>148</v>
      </c>
      <c r="K72" s="211"/>
      <c r="L72" s="211"/>
      <c r="M72" s="211" t="str">
        <f>تسعير!$T$63</f>
        <v>الساحل الشمالي</v>
      </c>
      <c r="N72" s="214"/>
      <c r="O72" s="247">
        <f>SUMIF(Table17[Column1],Table16124360[[#This Row],[موقع العمل]],Table17[خارجي])</f>
        <v>60</v>
      </c>
      <c r="P72" s="247"/>
      <c r="Q72" s="243">
        <f>Table16124360[[#This Row],[Column12]]</f>
        <v>60</v>
      </c>
      <c r="R72" s="240">
        <f ref="R72:R76" t="shared" si="6">I72*Q72</f>
        <v>1200</v>
      </c>
      <c r="S72" s="241" t="e">
        <f t="shared" si="5"/>
        <v>#DIV/0!</v>
      </c>
    </row>
    <row r="73" ht="21">
      <c r="A73" s="389">
        <f>IF((تسعير!T64="A"),Table1257[[#This Row],[Column7]],IF((تسعير!T64="B"),Table1257[[#This Row],[Column6]]))</f>
        <v>3.4</v>
      </c>
      <c r="B73" s="331">
        <v>1</v>
      </c>
      <c r="C73" s="339" t="s">
        <v>45</v>
      </c>
      <c r="D73" s="331">
        <f>Sheet2!B25</f>
        <v>105</v>
      </c>
      <c r="E73" s="350">
        <f>Table1257[[#This Row],[سعر]]*Table1257[[#This Row],[ميزان]]*Table1257[[#This Row],[عدد]]</f>
        <v>357</v>
      </c>
      <c r="F73" s="323">
        <f>ROUND((Table1257[[#This Row],[Column7]]*1.8),1)</f>
        <v>6.1</v>
      </c>
      <c r="G73" s="351">
        <f>ROUND((F62+F63+F61+F82+F86)*0.4,1)</f>
        <v>3.4</v>
      </c>
      <c r="I73" s="212">
        <f>((P68+P69+P70+P71)*2)-2</f>
        <v>10</v>
      </c>
      <c r="J73" s="379" t="s">
        <v>149</v>
      </c>
      <c r="K73" s="211"/>
      <c r="L73" s="211"/>
      <c r="M73" s="211" t="str">
        <f>تسعير!$T$63</f>
        <v>الساحل الشمالي</v>
      </c>
      <c r="N73" s="214"/>
      <c r="O73" s="247">
        <f>SUMIF(Table17[Column1],Table16124360[[#This Row],[موقع العمل]],Table17[داخلي])</f>
        <v>120</v>
      </c>
      <c r="P73" s="247"/>
      <c r="Q73" s="243">
        <f>Table16124360[[#This Row],[Column12]]</f>
        <v>120</v>
      </c>
      <c r="R73" s="240">
        <f t="shared" si="6"/>
        <v>1200</v>
      </c>
      <c r="S73" s="241" t="e">
        <f t="shared" si="5"/>
        <v>#DIV/0!</v>
      </c>
    </row>
    <row r="74" ht="21">
      <c r="A74" s="389">
        <f>ROUND((F62+F63)*0.4/3,0)</f>
        <v>0</v>
      </c>
      <c r="B74" s="331">
        <v>1</v>
      </c>
      <c r="C74" s="339" t="s">
        <v>103</v>
      </c>
      <c r="D74" s="331">
        <f>Sheet2!B24</f>
        <v>400</v>
      </c>
      <c r="E74" s="350">
        <f>Table1257[[#This Row],[سعر]]*Table1257[[#This Row],[ميزان]]*Table1257[[#This Row],[عدد]]</f>
        <v>0</v>
      </c>
      <c r="I74" s="212">
        <v>2</v>
      </c>
      <c r="J74" s="379" t="s">
        <v>150</v>
      </c>
      <c r="K74" s="211"/>
      <c r="L74" s="211"/>
      <c r="M74" s="211" t="str">
        <f>تسعير!$T$63</f>
        <v>الساحل الشمالي</v>
      </c>
      <c r="N74" s="214"/>
      <c r="O74" s="247">
        <f>SUMIF(Table17[Column1],Table16124360[[#This Row],[موقع العمل]],Table17[دبابة])</f>
        <v>1300</v>
      </c>
      <c r="P74" s="247"/>
      <c r="Q74" s="243">
        <f>Table16124360[[#This Row],[Column12]]</f>
        <v>1300</v>
      </c>
      <c r="R74" s="240">
        <f t="shared" si="6"/>
        <v>2600</v>
      </c>
      <c r="S74" s="241" t="e">
        <f t="shared" si="5"/>
        <v>#DIV/0!</v>
      </c>
    </row>
    <row r="75" ht="21">
      <c r="A75" s="389">
        <f>ROUND((F62+F63)*0.4,0)</f>
        <v>1</v>
      </c>
      <c r="B75" s="331">
        <v>1</v>
      </c>
      <c r="C75" s="339" t="s">
        <v>108</v>
      </c>
      <c r="D75" s="331">
        <f>Sheet2!B48</f>
        <v>20</v>
      </c>
      <c r="E75" s="350">
        <f>Table1257[[#This Row],[سعر]]*Table1257[[#This Row],[ميزان]]*Table1257[[#This Row],[عدد]]</f>
        <v>20</v>
      </c>
      <c r="I75" s="212">
        <v>2</v>
      </c>
      <c r="J75" s="379" t="s">
        <v>151</v>
      </c>
      <c r="K75" s="211"/>
      <c r="L75" s="211"/>
      <c r="M75" s="211" t="str">
        <f>تسعير!$T$63</f>
        <v>الساحل الشمالي</v>
      </c>
      <c r="N75" s="214"/>
      <c r="O75" s="247">
        <f>SUMIF(Table17[Column1],Table16124360[[#This Row],[موقع العمل]],Table17[جامبو])</f>
        <v>2000</v>
      </c>
      <c r="P75" s="247"/>
      <c r="Q75" s="243">
        <f>Table16124360[[#This Row],[Column12]]</f>
        <v>2000</v>
      </c>
      <c r="R75" s="240">
        <f t="shared" si="6"/>
        <v>4000</v>
      </c>
      <c r="S75" s="241" t="e">
        <f t="shared" si="5"/>
        <v>#DIV/0!</v>
      </c>
    </row>
    <row r="76" ht="21">
      <c r="A76" s="389">
        <f>ROUND((F62+F63)*0.4,0)</f>
        <v>1</v>
      </c>
      <c r="B76" s="331">
        <v>1</v>
      </c>
      <c r="C76" s="339" t="s">
        <v>110</v>
      </c>
      <c r="D76" s="331">
        <f>Sheet2!B48</f>
        <v>20</v>
      </c>
      <c r="E76" s="350">
        <f>Table1257[[#This Row],[سعر]]*Table1257[[#This Row],[ميزان]]*Table1257[[#This Row],[عدد]]</f>
        <v>20</v>
      </c>
      <c r="I76" s="212">
        <f>I73</f>
        <v>10</v>
      </c>
      <c r="J76" s="379" t="s">
        <v>15</v>
      </c>
      <c r="K76" s="211"/>
      <c r="L76" s="211"/>
      <c r="M76" s="211" t="str">
        <f>تسعير!$T$63</f>
        <v>الساحل الشمالي</v>
      </c>
      <c r="N76" s="214"/>
      <c r="O76" s="247">
        <f>SUMIF(Table17[Column1],Table16124360[[#This Row],[موقع العمل]],Table17[الاقامة])</f>
        <v>750</v>
      </c>
      <c r="P76" s="247"/>
      <c r="Q76" s="243">
        <f>Table16124360[[#This Row],[Column12]]</f>
        <v>750</v>
      </c>
      <c r="R76" s="240">
        <f t="shared" si="6"/>
        <v>7500</v>
      </c>
      <c r="S76" s="241" t="e">
        <f t="shared" si="5"/>
        <v>#DIV/0!</v>
      </c>
    </row>
    <row r="77" ht="18.75">
      <c r="A77" s="389">
        <f>ROUND((F62+F63)*0.4,0)</f>
        <v>1</v>
      </c>
      <c r="B77" s="331">
        <v>1</v>
      </c>
      <c r="C77" s="339" t="s">
        <v>111</v>
      </c>
      <c r="D77" s="331">
        <v>25</v>
      </c>
      <c r="E77" s="350">
        <f>Table1257[[#This Row],[سعر]]*Table1257[[#This Row],[ميزان]]*Table1257[[#This Row],[عدد]]</f>
        <v>25</v>
      </c>
      <c r="I77" s="519"/>
      <c r="J77" s="520" t="s">
        <v>58</v>
      </c>
      <c r="K77" s="518"/>
      <c r="L77" s="518"/>
      <c r="M77" s="521"/>
      <c r="N77" s="521"/>
      <c r="O77" s="522">
        <f>SUBTOTAL(109,Table16124360[Column12])</f>
        <v>4230</v>
      </c>
      <c r="P77" s="518"/>
      <c r="Q77" s="523"/>
      <c r="R77" s="524">
        <f>SUBTOTAL(109,Table16124360[اجمالي])</f>
        <v>25650</v>
      </c>
      <c r="S77" s="525" t="e">
        <f>Table16124360[[#Totals],[اجمالي]]/$G$84</f>
        <v>#DIV/0!</v>
      </c>
    </row>
    <row r="78" ht="18.75">
      <c r="A78" s="389">
        <f>ROUND((F62+F63)*0.4,0)</f>
        <v>1</v>
      </c>
      <c r="B78" s="331">
        <v>1</v>
      </c>
      <c r="C78" s="339" t="s">
        <v>113</v>
      </c>
      <c r="D78" s="331">
        <v>18</v>
      </c>
      <c r="E78" s="350">
        <f>Table1257[[#This Row],[سعر]]*Table1257[[#This Row],[ميزان]]*Table1257[[#This Row],[عدد]]</f>
        <v>18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.75">
      <c r="A79" s="389">
        <f>ROUND((F62+F63)*0.4/3,0)</f>
        <v>0</v>
      </c>
      <c r="B79" s="331">
        <v>1</v>
      </c>
      <c r="C79" s="339" t="s">
        <v>114</v>
      </c>
      <c r="D79" s="331">
        <v>40</v>
      </c>
      <c r="E79" s="350">
        <f>Table1257[[#This Row],[سعر]]*Table1257[[#This Row],[ميزان]]*Table1257[[#This Row],[عدد]]</f>
        <v>0</v>
      </c>
    </row>
    <row r="80" ht="18.75">
      <c r="A80" s="389">
        <f>IF((تسعير!T64="A"),0,IF((تسعير!T64="B"),(G86+G82+G63+G62+G61)))</f>
        <v>0</v>
      </c>
      <c r="B80" s="331">
        <v>1</v>
      </c>
      <c r="C80" s="339" t="s">
        <v>132</v>
      </c>
      <c r="D80" s="331">
        <v>20</v>
      </c>
      <c r="E80" s="324">
        <f>Table1257[[#This Row],[سعر]]*Table1257[[#This Row],[ميزان]]*Table1257[[#This Row],[عدد]]</f>
        <v>0</v>
      </c>
      <c r="J80" s="218" t="s">
        <v>9</v>
      </c>
      <c r="K80" s="211" t="s">
        <v>152</v>
      </c>
      <c r="L80" s="211" t="s">
        <v>153</v>
      </c>
      <c r="M80" s="211" t="s">
        <v>154</v>
      </c>
      <c r="N80" s="211" t="s">
        <v>30</v>
      </c>
    </row>
    <row r="81" ht="18.75">
      <c r="A81" s="389">
        <f>IF((تسعير!T71="بالتات"),0,(A61+A62))</f>
        <v>2</v>
      </c>
      <c r="B81" s="331">
        <v>1</v>
      </c>
      <c r="C81" s="339" t="s">
        <v>547</v>
      </c>
      <c r="D81" s="331">
        <f>Sheet2!B49</f>
        <v>1200</v>
      </c>
      <c r="E81" s="350">
        <f>Table1257[[#This Row],[سعر]]*Table1257[[#This Row],[ميزان]]*Table1257[[#This Row],[عدد]]</f>
        <v>2400</v>
      </c>
      <c r="J81" s="213" t="s">
        <v>549</v>
      </c>
      <c r="K81" s="214"/>
      <c r="L81" s="211"/>
      <c r="M81" s="290"/>
      <c r="N81" s="214">
        <f>IF((تسعير!T70='شماسي و كانتليفر'!F19),(N82-E61-E81-Table1257[[#This Row],[Column5]]-E83-E84-E86-R75-R74-R72-(P64*K64)),0)</f>
        <v>0</v>
      </c>
    </row>
    <row r="82" ht="18.75">
      <c r="A82" s="389">
        <f>IF((تسعير!T71="بالتات"),(A61+A62),0)</f>
        <v>0</v>
      </c>
      <c r="B82" s="331">
        <v>30</v>
      </c>
      <c r="C82" s="339" t="s">
        <v>548</v>
      </c>
      <c r="D82" s="331">
        <f>Sheet2!B12/1000</f>
        <v>50</v>
      </c>
      <c r="E82" s="350">
        <f>Table1257[[#This Row],[سعر]]*Table1257[[#This Row],[ميزان]]*Table1257[[#This Row],[عدد]]</f>
        <v>0</v>
      </c>
      <c r="F82" s="323">
        <f>0.5*0.5*Table1257[[#This Row],[عدد]]</f>
        <v>0</v>
      </c>
      <c r="G82" s="323">
        <f>Table1257[[#This Row],[ميزان]]*Table1257[[#This Row],[عدد]]</f>
        <v>0</v>
      </c>
      <c r="J82" s="380" t="s">
        <v>551</v>
      </c>
      <c r="K82" s="214"/>
      <c r="L82" s="211"/>
      <c r="M82" s="290"/>
      <c r="N82" s="291">
        <f>Table1257[[#Totals],[Column5]]+Table16124360[[#Totals],[اجمالي]]</f>
        <v>64168</v>
      </c>
    </row>
    <row r="83" ht="18.75">
      <c r="A83" s="389">
        <f>A82*2</f>
        <v>0</v>
      </c>
      <c r="B83" s="331">
        <v>1</v>
      </c>
      <c r="C83" s="339" t="s">
        <v>550</v>
      </c>
      <c r="D83" s="331">
        <v>600</v>
      </c>
      <c r="E83" s="350">
        <f>Table1257[[#This Row],[سعر]]*Table1257[[#This Row],[ميزان]]*Table1257[[#This Row],[عدد]]</f>
        <v>0</v>
      </c>
      <c r="J83" s="213" t="s">
        <v>155</v>
      </c>
      <c r="K83" s="214"/>
      <c r="L83" s="211"/>
      <c r="M83" s="290"/>
      <c r="N83" s="291">
        <f>N82+N81</f>
        <v>64168</v>
      </c>
    </row>
    <row r="84" ht="18.75">
      <c r="A84" s="389">
        <f>A81*1.5</f>
        <v>3</v>
      </c>
      <c r="B84" s="331">
        <v>10</v>
      </c>
      <c r="C84" s="339" t="s">
        <v>552</v>
      </c>
      <c r="D84" s="331">
        <f>Sheet2!B12/1000</f>
        <v>50</v>
      </c>
      <c r="E84" s="350">
        <f>Table1257[[#This Row],[سعر]]*Table1257[[#This Row],[ميزان]]*Table1257[[#This Row],[عدد]]</f>
        <v>1500</v>
      </c>
      <c r="J84" s="213" t="s">
        <v>156</v>
      </c>
      <c r="K84" s="214"/>
      <c r="L84" s="211"/>
      <c r="M84" s="320">
        <f>IF((M73="المقطم"),0.3,IF((M73="التجمع"),0.3,IF((M73="الشيخ زايد"),0.3,IF((M73="الاسكندرية"),0.5,IF((M73="الساحل"),0.5,0.35)))))</f>
        <v>0.35</v>
      </c>
      <c r="N84" s="291">
        <f>N83*(1+Table185665[[#This Row],[Column3]])</f>
        <v>86626.8</v>
      </c>
    </row>
    <row r="85" ht="18.75">
      <c r="A85" s="389">
        <f>ROUND((F62+F63)*0.4/3,0)</f>
        <v>0</v>
      </c>
      <c r="B85" s="331">
        <v>1</v>
      </c>
      <c r="C85" s="339" t="s">
        <v>81</v>
      </c>
      <c r="D85" s="331">
        <f>Sheet2!B28</f>
        <v>400</v>
      </c>
      <c r="E85" s="350">
        <f>Table1257[[#This Row],[سعر]]*Table1257[[#This Row],[ميزان]]*Table1257[[#This Row],[عدد]]</f>
        <v>0</v>
      </c>
    </row>
    <row r="86" ht="18.75">
      <c r="A86" s="389">
        <f>A82*4</f>
        <v>0</v>
      </c>
      <c r="B86" s="331">
        <v>1</v>
      </c>
      <c r="C86" s="339" t="s">
        <v>553</v>
      </c>
      <c r="D86" s="331">
        <f>Sheet2!B12/1000</f>
        <v>50</v>
      </c>
      <c r="E86" s="350">
        <f>Table1257[[#This Row],[سعر]]*Table1257[[#This Row],[ميزان]]*Table1257[[#This Row],[عدد]]</f>
        <v>0</v>
      </c>
      <c r="F86" s="323">
        <f>0.15*0.15/2*Table1257[[#This Row],[عدد]]</f>
        <v>0</v>
      </c>
      <c r="G86" s="323">
        <f>Table1257[[#This Row],[ميزان]]*Table1257[[#This Row],[عدد]]</f>
        <v>0</v>
      </c>
    </row>
    <row r="87" ht="18.75">
      <c r="A87" s="389">
        <f>ROUND((F62+F63)*0.4/3,0)</f>
        <v>0</v>
      </c>
      <c r="B87" s="331">
        <v>1</v>
      </c>
      <c r="C87" s="339" t="s">
        <v>554</v>
      </c>
      <c r="D87" s="331">
        <v>200</v>
      </c>
      <c r="E87" s="350">
        <f>Table1257[[#This Row],[سعر]]*Table1257[[#This Row],[ميزان]]*Table1257[[#This Row],[عدد]]</f>
        <v>0</v>
      </c>
    </row>
    <row r="88">
      <c r="A88" s="352" t="s">
        <v>58</v>
      </c>
      <c r="E88" s="350">
        <f>SUBTOTAL(109,Table1257[Column5])</f>
        <v>38518</v>
      </c>
      <c r="F88" s="353" t="e">
        <f>Table1257[[#Totals],[Column5]]/(تسعير!S87*تسعير!S88/10000)</f>
        <v>#DIV/0!</v>
      </c>
      <c r="G88" s="323">
        <f>SUBTOTAL(103,Table1257[Column7])</f>
        <v>8</v>
      </c>
    </row>
    <row r="89">
      <c r="A89" s="354"/>
    </row>
    <row r="90">
      <c r="A90" s="354"/>
    </row>
    <row r="91">
      <c r="A91" s="354"/>
      <c r="H91" s="356"/>
      <c r="I91" s="356"/>
      <c r="J91" s="356"/>
      <c r="K91" s="356"/>
      <c r="L91" s="381"/>
      <c r="M91" s="381"/>
      <c r="N91" s="381"/>
      <c r="O91" s="381"/>
      <c r="P91" s="381"/>
      <c r="Q91" s="381"/>
      <c r="R91" s="381"/>
      <c r="S91" s="381"/>
      <c r="T91" s="381"/>
    </row>
    <row r="92">
      <c r="A92" s="355"/>
      <c r="B92" s="356"/>
      <c r="C92" s="356"/>
      <c r="D92" s="356"/>
      <c r="E92" s="357"/>
      <c r="F92" s="356"/>
      <c r="G92" s="356"/>
    </row>
  </sheetData>
  <sheetProtection selectLockedCells="1" selectUnlockedCells="1"/>
  <mergeCells>
    <mergeCell ref="L29:Q29"/>
    <mergeCell ref="L62:Q62"/>
  </mergeCells>
  <dataValidations count="1">
    <dataValidation type="list" allowBlank="1" showInputMessage="1" showErrorMessage="1" sqref="N31:N43 N64:N76" xr:uid="{9DABCFB3-1867-4EB5-A7F9-AFF71B1B9E14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dimension ref="A1:CO179"/>
  <sheetViews>
    <sheetView rightToLeft="1" topLeftCell="AV64" zoomScale="70" zoomScaleNormal="70" workbookViewId="0">
      <selection activeCell="AZ84" sqref="AZ84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.7109375" customWidth="1" style="1"/>
    <col min="5" max="5" width="14.140625" customWidth="1" style="1"/>
    <col min="6" max="6" width="19.85546875" customWidth="1" style="1"/>
    <col min="7" max="7" width="12.140625" customWidth="1" style="1"/>
    <col min="8" max="9" width="11.85546875" customWidth="1" style="1"/>
    <col min="10" max="10" width="15.710937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47" width="9.140625" customWidth="1" style="1"/>
    <col min="48" max="48" width="46.85546875" customWidth="1" style="1"/>
    <col min="49" max="49" width="14.28515625" customWidth="1" style="1"/>
    <col min="50" max="50" width="14.85546875" customWidth="1" style="1"/>
    <col min="51" max="51" width="12.5703125" customWidth="1" style="1"/>
    <col min="52" max="52" width="14.85546875" customWidth="1" style="1"/>
    <col min="53" max="53" width="22.28515625" customWidth="1" style="1"/>
    <col min="54" max="54" width="3.42578125" customWidth="1" style="1"/>
    <col min="55" max="55" width="10.42578125" customWidth="1" style="1"/>
    <col min="56" max="56" width="11.85546875" customWidth="1" style="1"/>
    <col min="57" max="57" width="16.7109375" customWidth="1" style="1"/>
    <col min="58" max="58" width="6.28515625" customWidth="1" style="1"/>
    <col min="59" max="59" width="14.28515625" customWidth="1" style="1"/>
    <col min="60" max="60" width="13" customWidth="1" style="1"/>
    <col min="61" max="61" width="44.28515625" customWidth="1" style="1"/>
    <col min="62" max="62" width="14.28515625" customWidth="1" style="1"/>
    <col min="63" max="63" width="14.140625" customWidth="1" style="1"/>
    <col min="64" max="64" width="13.85546875" customWidth="1" style="1"/>
    <col min="65" max="65" width="14.140625" customWidth="1" style="1"/>
    <col min="66" max="66" width="14.7109375" customWidth="1" style="1"/>
    <col min="67" max="67" width="13.7109375" customWidth="1" style="1"/>
    <col min="68" max="68" width="17.7109375" customWidth="1" style="1"/>
    <col min="69" max="69" width="21.85546875" customWidth="1" style="1"/>
    <col min="70" max="70" width="21.140625" customWidth="1" style="1"/>
    <col min="71" max="82" width="9.140625" customWidth="1" style="1"/>
    <col min="83" max="83" width="26.5703125" customWidth="1" style="1"/>
    <col min="84" max="16384" width="9.140625" customWidth="1" style="1"/>
  </cols>
  <sheetData>
    <row r="1" ht="21">
      <c r="A1" s="544" t="s">
        <v>556</v>
      </c>
      <c r="B1" s="545">
        <f>(F1*D1)/10000</f>
        <v>20</v>
      </c>
      <c r="C1" s="546" t="s">
        <v>427</v>
      </c>
      <c r="D1" s="547">
        <f>تسعير!AT34</f>
        <v>500</v>
      </c>
      <c r="E1" s="546" t="s">
        <v>125</v>
      </c>
      <c r="F1" s="547">
        <f>تسعير!AT33</f>
        <v>400</v>
      </c>
      <c r="G1" s="546" t="s">
        <v>173</v>
      </c>
      <c r="H1" s="547" t="str">
        <f>تسعير!AT26</f>
        <v>خشبي</v>
      </c>
      <c r="I1" s="548" t="str">
        <f>تسعير!AT32</f>
        <v>بالتات</v>
      </c>
      <c r="J1" s="548"/>
      <c r="K1" s="192"/>
      <c r="L1" s="623" t="s">
        <v>0</v>
      </c>
      <c r="M1" s="624"/>
      <c r="N1" s="625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225" t="s">
        <v>8</v>
      </c>
      <c r="W1" s="226"/>
      <c r="X1" s="227"/>
      <c r="Y1" s="227" t="s">
        <v>9</v>
      </c>
      <c r="Z1" s="227" t="s">
        <v>10</v>
      </c>
      <c r="AA1" s="227" t="s">
        <v>11</v>
      </c>
      <c r="AB1" s="227" t="s">
        <v>12</v>
      </c>
      <c r="AC1" s="227" t="s">
        <v>13</v>
      </c>
      <c r="AD1" s="227" t="s">
        <v>14</v>
      </c>
      <c r="AE1" s="227" t="s">
        <v>15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557</v>
      </c>
      <c r="AW1" s="189">
        <f>(BA1*AY1)/10000</f>
        <v>20</v>
      </c>
      <c r="AX1" s="190" t="s">
        <v>427</v>
      </c>
      <c r="AY1" s="191">
        <f>تسعير!$AT$54</f>
        <v>400</v>
      </c>
      <c r="AZ1" s="190" t="s">
        <v>125</v>
      </c>
      <c r="BA1" s="191">
        <f>تسعير!$AT$53</f>
        <v>500</v>
      </c>
      <c r="BB1" s="192"/>
      <c r="BC1" s="192"/>
      <c r="BD1" s="192" t="str">
        <f>تسعير!AT52</f>
        <v>بالتات</v>
      </c>
      <c r="BE1" s="192"/>
      <c r="BF1" s="192"/>
      <c r="BG1" s="623" t="s">
        <v>0</v>
      </c>
      <c r="BH1" s="624"/>
      <c r="BI1" s="625"/>
      <c r="BJ1" s="201" t="s">
        <v>1</v>
      </c>
      <c r="BK1" s="202" t="s">
        <v>2</v>
      </c>
      <c r="BL1" s="223" t="s">
        <v>3</v>
      </c>
      <c r="BM1" s="224" t="s">
        <v>4</v>
      </c>
      <c r="BN1" s="224" t="s">
        <v>5</v>
      </c>
      <c r="BO1" s="224" t="s">
        <v>6</v>
      </c>
      <c r="BP1" s="224" t="s">
        <v>7</v>
      </c>
      <c r="BQ1" s="225" t="s">
        <v>8</v>
      </c>
      <c r="BR1" s="226"/>
      <c r="BS1" s="227"/>
      <c r="BT1" s="227" t="s">
        <v>9</v>
      </c>
      <c r="BU1" s="227" t="s">
        <v>10</v>
      </c>
      <c r="BV1" s="227" t="s">
        <v>11</v>
      </c>
      <c r="BW1" s="227" t="s">
        <v>12</v>
      </c>
      <c r="BX1" s="227" t="s">
        <v>13</v>
      </c>
      <c r="BY1" s="227" t="s">
        <v>14</v>
      </c>
      <c r="BZ1" s="227" t="s">
        <v>15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.75">
      <c r="A2" s="549" t="s">
        <v>9</v>
      </c>
      <c r="B2" s="550" t="s">
        <v>28</v>
      </c>
      <c r="C2" s="550" t="s">
        <v>558</v>
      </c>
      <c r="D2" s="550" t="s">
        <v>30</v>
      </c>
      <c r="E2" s="550" t="s">
        <v>559</v>
      </c>
      <c r="F2" s="550" t="s">
        <v>560</v>
      </c>
      <c r="G2" s="540"/>
      <c r="H2" s="551" t="s">
        <v>561</v>
      </c>
      <c r="I2" s="551"/>
      <c r="J2" s="551" t="s">
        <v>562</v>
      </c>
      <c r="L2" s="626"/>
      <c r="M2" s="627"/>
      <c r="N2" s="628"/>
      <c r="O2" s="203"/>
      <c r="P2" s="204"/>
      <c r="Q2" s="228">
        <f>O2*P2</f>
        <v>0</v>
      </c>
      <c r="R2" s="229" t="e">
        <f>R69/Q2</f>
        <v>#DIV/0!</v>
      </c>
      <c r="S2" s="230">
        <f>Sheet2!B12</f>
        <v>50000</v>
      </c>
      <c r="T2" s="231">
        <f>Sheet2!B13</f>
        <v>55000</v>
      </c>
      <c r="U2" s="232">
        <f>Sheet2!B14</f>
        <v>230000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9</v>
      </c>
      <c r="AW2" s="194" t="s">
        <v>28</v>
      </c>
      <c r="AX2" s="194" t="s">
        <v>558</v>
      </c>
      <c r="AY2" s="194" t="s">
        <v>30</v>
      </c>
      <c r="AZ2" s="194" t="s">
        <v>559</v>
      </c>
      <c r="BA2" s="194" t="s">
        <v>560</v>
      </c>
      <c r="BC2" s="195" t="s">
        <v>561</v>
      </c>
      <c r="BD2" s="195"/>
      <c r="BE2" s="195" t="s">
        <v>562</v>
      </c>
      <c r="BG2" s="626"/>
      <c r="BH2" s="627"/>
      <c r="BI2" s="628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16</v>
      </c>
      <c r="BU2" s="216">
        <v>0</v>
      </c>
      <c r="BV2" s="216">
        <v>0</v>
      </c>
      <c r="BW2" s="216">
        <v>0</v>
      </c>
      <c r="BX2" s="216">
        <v>500</v>
      </c>
      <c r="BY2" s="216">
        <v>1000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">
      <c r="A3" s="549" t="s">
        <v>563</v>
      </c>
      <c r="B3" s="552">
        <f>ROUNDUP((12+((ROUNDUP((D1-210),15))/15)),0)</f>
        <v>32</v>
      </c>
      <c r="C3" s="553">
        <f>F1-16.5</f>
        <v>383.5</v>
      </c>
      <c r="D3" s="550" t="s">
        <v>564</v>
      </c>
      <c r="E3" s="550">
        <v>2.3</v>
      </c>
      <c r="F3" s="550">
        <f>IF(($H$1="سادة"),(J3*H3*E3*($U$2+12000)/1000),(J3*H3*E3*($U$2+40000)/1000))</f>
        <v>79488</v>
      </c>
      <c r="G3" s="540"/>
      <c r="H3" s="551">
        <f>IF(AND((C3&gt;=150),(C3&lt;201)),4,IF(AND((C3&gt;=201),(C3&lt;251)),5,IF(AND((C3&gt;=251),(C3&lt;401)),4,IF(AND((C3&gt;=401),(C3&lt;501)),5,0))))</f>
        <v>4</v>
      </c>
      <c r="I3" s="284">
        <f ref="I3:I8" t="shared" si="0">(H3*100)/C3</f>
        <v>1.0430247718383312</v>
      </c>
      <c r="J3" s="554">
        <f ref="J3:J8" t="shared" si="1">B3/(ROUNDDOWN(I3,0))</f>
        <v>32</v>
      </c>
      <c r="L3" s="630" t="s">
        <v>17</v>
      </c>
      <c r="M3" s="631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A32</v>
      </c>
      <c r="O3" s="207"/>
      <c r="P3" s="207"/>
      <c r="Q3" s="234" t="s">
        <v>18</v>
      </c>
      <c r="R3" s="632">
        <f>NOW()</f>
        <v>45447.291791192132</v>
      </c>
      <c r="S3" s="633"/>
      <c r="T3" s="633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500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563</v>
      </c>
      <c r="AW3" s="196">
        <f>ROUNDUP((12+((ROUNDUP((AY1-210),18))/18)),0)</f>
        <v>23</v>
      </c>
      <c r="AX3" s="197">
        <f>BA1-16.5</f>
        <v>483.5</v>
      </c>
      <c r="AY3" s="194" t="s">
        <v>564</v>
      </c>
      <c r="AZ3" s="194">
        <v>2</v>
      </c>
      <c r="BA3" s="194">
        <f>IF((تسعير!$AT$46="سادة"),(BE3*BC3*AZ3*(Sheet2!$B$14+12000)/1000),(BE3*BC3*AZ3*(Sheet2!$B$14+Sheet2!$B$15)/1000))</f>
        <v>66700</v>
      </c>
      <c r="BC3" s="258">
        <f>IF(AND((AX3&gt;=150),(AX3&lt;201)),4,IF(AND((AX3&gt;=201),(AX3&lt;251)),5,IF(AND((AX3&gt;=251),(AX3&lt;401)),4,IF(AND((AX3&gt;=401),(AX3&lt;501)),5,0))))</f>
        <v>5</v>
      </c>
      <c r="BD3" s="259">
        <f>(BC3*100)/AX3</f>
        <v>1.0341261633919339</v>
      </c>
      <c r="BE3" s="263">
        <f>AW3/(ROUNDDOWN(BD3,0))</f>
        <v>23</v>
      </c>
      <c r="BG3" s="630" t="s">
        <v>17</v>
      </c>
      <c r="BH3" s="631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18</v>
      </c>
      <c r="BM3" s="632">
        <f>NOW()</f>
        <v>45447.291791192132</v>
      </c>
      <c r="BN3" s="633"/>
      <c r="BO3" s="633"/>
      <c r="BP3" s="235"/>
      <c r="BQ3" s="235"/>
      <c r="BR3" s="235"/>
      <c r="BS3" s="207"/>
      <c r="BT3" s="216" t="s">
        <v>19</v>
      </c>
      <c r="BU3" s="216">
        <v>60</v>
      </c>
      <c r="BV3" s="216">
        <v>120</v>
      </c>
      <c r="BW3" s="216">
        <v>75</v>
      </c>
      <c r="BX3" s="216">
        <v>1300</v>
      </c>
      <c r="BY3" s="216">
        <v>2000</v>
      </c>
      <c r="BZ3" s="216">
        <v>500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75" s="187" customFormat="1">
      <c r="A4" s="549" t="s">
        <v>565</v>
      </c>
      <c r="B4" s="550">
        <v>2</v>
      </c>
      <c r="C4" s="552">
        <f>F1</f>
        <v>400</v>
      </c>
      <c r="D4" s="550" t="s">
        <v>564</v>
      </c>
      <c r="E4" s="550">
        <v>3.8</v>
      </c>
      <c r="F4" s="550">
        <f ref="F4:F8" t="shared" si="2">IF(($H$1="سادة"),(J4*H4*E4*($U$2+12000)/1000),(J4*H4*E4*($U$2+40000)/1000))</f>
        <v>10260</v>
      </c>
      <c r="G4" s="555"/>
      <c r="H4" s="551">
        <f>IF(AND((C4&gt;=200),(C4&lt;250)),5,IF(AND((C4&gt;=250),(C4&lt;=350)),7,IF(AND((C4&gt;350),(C4&lt;501)),5,IF(AND((C4&gt;=501),(C4&lt;701)),7,0))))</f>
        <v>5</v>
      </c>
      <c r="I4" s="284">
        <f t="shared" si="0"/>
        <v>1.25</v>
      </c>
      <c r="J4" s="554">
        <f t="shared" si="1"/>
        <v>2</v>
      </c>
      <c r="K4" s="1"/>
      <c r="L4" s="208"/>
      <c r="M4" s="208"/>
      <c r="N4" s="209"/>
      <c r="O4" s="629" t="s">
        <v>20</v>
      </c>
      <c r="P4" s="629"/>
      <c r="Q4" s="629"/>
      <c r="R4" s="629"/>
      <c r="S4" s="629"/>
      <c r="T4" s="629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154</v>
      </c>
      <c r="AR4" s="207" t="s">
        <v>26</v>
      </c>
      <c r="AS4" s="207" t="s">
        <v>450</v>
      </c>
      <c r="AT4" s="255"/>
      <c r="AU4" s="207"/>
      <c r="AV4" s="193" t="s">
        <v>566</v>
      </c>
      <c r="AW4" s="194">
        <v>2</v>
      </c>
      <c r="AX4" s="196">
        <f>BA1</f>
        <v>500</v>
      </c>
      <c r="AY4" s="194" t="s">
        <v>564</v>
      </c>
      <c r="AZ4" s="194">
        <v>1.7</v>
      </c>
      <c r="BA4" s="194">
        <f>IF((تسعير!$AT$46="سادة"),(BE4*BC4*AZ4*(Sheet2!$B$14+12000)/1000),(BE4*BC4*AZ4*(Sheet2!$B$14+Sheet2!$B$15)/1000))</f>
        <v>4930</v>
      </c>
      <c r="BC4" s="260">
        <f ref="BC4:BC5" t="shared" si="3">IF(AND((AX4&gt;=200),(AX4&lt;350)),5,IF(AND((AX4&gt;=350),(AX4&lt;400)),7,IF(AND((AX4&gt;=400),(AX4&lt;501)),5,IF(AND((AX4&gt;=501),(AX4&lt;701)),7,0))))</f>
        <v>5</v>
      </c>
      <c r="BD4" s="205">
        <f ref="BD4:BD5" t="shared" si="4">(BC4*100)/AX4</f>
        <v>1</v>
      </c>
      <c r="BE4" s="264">
        <f ref="BE4:BE5" t="shared" si="5">AW4/(ROUNDDOWN(BD4,0))</f>
        <v>2</v>
      </c>
      <c r="BG4" s="208"/>
      <c r="BH4" s="208"/>
      <c r="BI4" s="209"/>
      <c r="BJ4" s="629" t="s">
        <v>20</v>
      </c>
      <c r="BK4" s="629"/>
      <c r="BL4" s="629"/>
      <c r="BM4" s="629"/>
      <c r="BN4" s="629"/>
      <c r="BO4" s="629"/>
      <c r="BP4" s="236"/>
      <c r="BQ4" s="236"/>
      <c r="BR4" s="236"/>
      <c r="BS4" s="207"/>
      <c r="BT4" s="216" t="s">
        <v>21</v>
      </c>
      <c r="BU4" s="216">
        <v>120</v>
      </c>
      <c r="BV4" s="216">
        <v>250</v>
      </c>
      <c r="BW4" s="216">
        <v>75</v>
      </c>
      <c r="BX4" s="216">
        <v>1500</v>
      </c>
      <c r="BY4" s="216">
        <v>2300</v>
      </c>
      <c r="BZ4" s="216">
        <v>120</v>
      </c>
      <c r="CA4" s="207" t="s">
        <v>22</v>
      </c>
      <c r="CB4" s="207"/>
      <c r="CC4" s="207"/>
      <c r="CD4" s="207"/>
      <c r="CE4" s="207" t="s">
        <v>23</v>
      </c>
      <c r="CF4" s="207" t="s">
        <v>24</v>
      </c>
      <c r="CG4" s="207" t="s">
        <v>25</v>
      </c>
      <c r="CH4" s="207" t="s">
        <v>26</v>
      </c>
      <c r="CI4" s="207"/>
      <c r="CJ4" s="207" t="s">
        <v>9</v>
      </c>
      <c r="CK4" s="207" t="s">
        <v>30</v>
      </c>
      <c r="CL4" s="207" t="s">
        <v>154</v>
      </c>
      <c r="CM4" s="207" t="s">
        <v>26</v>
      </c>
      <c r="CN4" s="207" t="s">
        <v>450</v>
      </c>
      <c r="CO4" s="255"/>
    </row>
    <row r="5" ht="18.75" s="187" customFormat="1">
      <c r="A5" s="549" t="s">
        <v>567</v>
      </c>
      <c r="B5" s="550">
        <v>2</v>
      </c>
      <c r="C5" s="552">
        <f>D1</f>
        <v>500</v>
      </c>
      <c r="D5" s="550" t="s">
        <v>564</v>
      </c>
      <c r="E5" s="550">
        <v>3.8</v>
      </c>
      <c r="F5" s="550">
        <f t="shared" si="2"/>
        <v>10260</v>
      </c>
      <c r="G5" s="555"/>
      <c r="H5" s="551">
        <f>IF(AND((C5&gt;=200),(C5&lt;=250)),5,IF(AND((C5&gt;250),(C5&lt;=350)),7,IF(AND((C5&gt;350),(C5&lt;501)),5,IF(AND((C5&gt;=501),(C5&lt;701)),7,0))))</f>
        <v>5</v>
      </c>
      <c r="I5" s="284">
        <f t="shared" si="0"/>
        <v>1</v>
      </c>
      <c r="J5" s="554">
        <f t="shared" si="1"/>
        <v>2</v>
      </c>
      <c r="K5" s="1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568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IF((تسعير!AT25="A"),IF(((Table15880[[#Totals],[المسطح]]+Table166273[[#Totals],[Column12]])&gt;0),(Table15880[[#Totals],[المسطح]]+Table166273[[#Totals],[Column12]]-Q10+1)*Table66374[[#This Row],[المعدل]]),0)</f>
        <v>10.848000000000003</v>
      </c>
      <c r="AN5" s="207"/>
      <c r="AO5" s="207" t="s">
        <v>452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567</v>
      </c>
      <c r="AW5" s="194">
        <v>2</v>
      </c>
      <c r="AX5" s="196">
        <f>AY1</f>
        <v>400</v>
      </c>
      <c r="AY5" s="194" t="s">
        <v>564</v>
      </c>
      <c r="AZ5" s="194">
        <v>1.7</v>
      </c>
      <c r="BA5" s="194">
        <f>IF((تسعير!$AT$46="سادة"),(BE5*BC5*AZ5*(Sheet2!$B$14+12000)/1000),(BE5*BC5*AZ5*(Sheet2!$B$14+Sheet2!$B$15)/1000))</f>
        <v>4930</v>
      </c>
      <c r="BC5" s="261">
        <f t="shared" si="3"/>
        <v>5</v>
      </c>
      <c r="BD5" s="262">
        <f t="shared" si="4"/>
        <v>1.25</v>
      </c>
      <c r="BE5" s="265">
        <f t="shared" si="5"/>
        <v>2</v>
      </c>
      <c r="BG5" s="208" t="s">
        <v>27</v>
      </c>
      <c r="BH5" s="208" t="s">
        <v>28</v>
      </c>
      <c r="BI5" s="210" t="s">
        <v>29</v>
      </c>
      <c r="BJ5" s="208" t="s">
        <v>30</v>
      </c>
      <c r="BK5" s="208" t="s">
        <v>9</v>
      </c>
      <c r="BL5" s="208" t="s">
        <v>31</v>
      </c>
      <c r="BM5" s="237" t="s">
        <v>32</v>
      </c>
      <c r="BN5" s="237" t="s">
        <v>33</v>
      </c>
      <c r="BO5" s="237" t="s">
        <v>568</v>
      </c>
      <c r="BP5" s="237" t="s">
        <v>35</v>
      </c>
      <c r="BQ5" s="238" t="s">
        <v>36</v>
      </c>
      <c r="BR5" s="237" t="s">
        <v>37</v>
      </c>
      <c r="BS5" s="207"/>
      <c r="BT5" s="216" t="s">
        <v>38</v>
      </c>
      <c r="BU5" s="216">
        <v>120</v>
      </c>
      <c r="BV5" s="216">
        <v>250</v>
      </c>
      <c r="BW5" s="216">
        <v>75</v>
      </c>
      <c r="BX5" s="216">
        <v>1600</v>
      </c>
      <c r="BY5" s="216">
        <v>2300</v>
      </c>
      <c r="BZ5" s="216">
        <v>120</v>
      </c>
      <c r="CA5" s="207" t="s">
        <v>39</v>
      </c>
      <c r="CB5" s="207"/>
      <c r="CC5" s="207"/>
      <c r="CD5" s="207"/>
      <c r="CE5" s="233" t="s">
        <v>40</v>
      </c>
      <c r="CF5" s="233">
        <v>0.4</v>
      </c>
      <c r="CG5" s="237" t="s">
        <v>41</v>
      </c>
      <c r="CH5" s="216">
        <f>IF((تسعير!AT45="A"),IF(((Table1588090[[#Totals],[المسطح]]+Table16627383[[#Totals],[Column12]])&gt;0),(Table1588090[[#Totals],[المسطح]]+Table16627383[[#Totals],[Column12]]-BL10+1)*Table6637484[[#This Row],[المعدل]]),0)</f>
        <v>10.848000000000003</v>
      </c>
      <c r="CI5" s="207"/>
      <c r="CJ5" s="207" t="s">
        <v>452</v>
      </c>
      <c r="CK5" s="207">
        <v>0.03</v>
      </c>
      <c r="CL5" s="207">
        <v>0.03</v>
      </c>
      <c r="CM5" s="207"/>
      <c r="CN5" s="207"/>
      <c r="CO5" s="255"/>
    </row>
    <row r="6" ht="18.75" s="187" customFormat="1">
      <c r="A6" s="549" t="s">
        <v>569</v>
      </c>
      <c r="B6" s="550">
        <v>2</v>
      </c>
      <c r="C6" s="552">
        <f>F1</f>
        <v>400</v>
      </c>
      <c r="D6" s="550" t="s">
        <v>564</v>
      </c>
      <c r="E6" s="550">
        <v>1.7</v>
      </c>
      <c r="F6" s="550">
        <f t="shared" si="2"/>
        <v>4590</v>
      </c>
      <c r="G6" s="555"/>
      <c r="H6" s="551">
        <f>IF(AND((C6&gt;=200),(C6&lt;=250)),5,IF(AND((C6&gt;250),(C6&lt;=350)),7,IF(AND((C6&gt;350),(C6&lt;501)),5,IF(AND((C6&gt;=501),(C6&lt;701)),7,0))))</f>
        <v>5</v>
      </c>
      <c r="I6" s="284">
        <f t="shared" si="0"/>
        <v>1.25</v>
      </c>
      <c r="J6" s="554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570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2850</v>
      </c>
      <c r="V6" s="240">
        <f>M6*U6</f>
        <v>2850</v>
      </c>
      <c r="W6" s="241">
        <f>(V6)/$R$68</f>
        <v>0.0121786284300466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AM5*Table66374[[#This Row],[المعدل]]+4</f>
        <v>6.7120000000000006</v>
      </c>
      <c r="AN6" s="216"/>
      <c r="AO6" s="216" t="s">
        <v>454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571</v>
      </c>
      <c r="AW6" s="194">
        <v>1</v>
      </c>
      <c r="AX6" s="194">
        <f>(15.6*(AW3-1)+4)</f>
        <v>347.2</v>
      </c>
      <c r="AY6" s="194" t="s">
        <v>564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572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2850</v>
      </c>
      <c r="BQ6" s="240">
        <f>BH6*BP6</f>
        <v>2850</v>
      </c>
      <c r="BR6" s="241">
        <f>(BQ6)/$R$68</f>
        <v>0.0121786284300466</v>
      </c>
      <c r="BS6" s="216"/>
      <c r="BT6" s="216" t="s">
        <v>44</v>
      </c>
      <c r="BU6" s="216">
        <v>120</v>
      </c>
      <c r="BV6" s="216">
        <v>250</v>
      </c>
      <c r="BW6" s="216">
        <v>75</v>
      </c>
      <c r="BX6" s="216">
        <v>1600</v>
      </c>
      <c r="BY6" s="216">
        <v>2300</v>
      </c>
      <c r="BZ6" s="216">
        <v>120</v>
      </c>
      <c r="CA6" s="216"/>
      <c r="CB6" s="216"/>
      <c r="CC6" s="216"/>
      <c r="CD6" s="216"/>
      <c r="CE6" s="216" t="s">
        <v>45</v>
      </c>
      <c r="CF6" s="216">
        <v>0.25</v>
      </c>
      <c r="CG6" s="216" t="s">
        <v>46</v>
      </c>
      <c r="CH6" s="216">
        <f>CH5*Table6637484[[#This Row],[المعدل]]+4</f>
        <v>6.7120000000000006</v>
      </c>
      <c r="CI6" s="216"/>
      <c r="CJ6" s="216" t="s">
        <v>454</v>
      </c>
      <c r="CK6" s="216">
        <v>0.05</v>
      </c>
      <c r="CL6" s="216">
        <v>0.05</v>
      </c>
      <c r="CM6" s="216"/>
      <c r="CN6" s="216"/>
      <c r="CO6" s="256"/>
    </row>
    <row r="7" ht="18.75" s="187" customFormat="1">
      <c r="A7" s="549" t="s">
        <v>573</v>
      </c>
      <c r="B7" s="550">
        <v>2</v>
      </c>
      <c r="C7" s="552">
        <f>D1</f>
        <v>500</v>
      </c>
      <c r="D7" s="550" t="s">
        <v>564</v>
      </c>
      <c r="E7" s="550">
        <v>1.7</v>
      </c>
      <c r="F7" s="550">
        <f t="shared" si="2"/>
        <v>4590</v>
      </c>
      <c r="G7" s="555"/>
      <c r="H7" s="551">
        <f>IF(AND((C7&gt;=200),(C7&lt;=250)),5,IF(AND((C7&gt;250),(C7&lt;=350)),7,IF(AND((C7&gt;350),(C7&lt;501)),5,IF(AND((C7&gt;=501),(C7&lt;701)),7,0))))</f>
        <v>5</v>
      </c>
      <c r="I7" s="284">
        <f t="shared" si="0"/>
        <v>1</v>
      </c>
      <c r="J7" s="554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574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1850</v>
      </c>
      <c r="V7" s="240">
        <f>M7*U7</f>
        <v>7400</v>
      </c>
      <c r="W7" s="241">
        <f>(V7)/$R$68</f>
        <v>0.031621701888542048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IF((تسعير!AT25="A"),IF(((Table15880[[#Totals],[المسطح]]+Table166273[[#Totals],[Column12]])&gt;0),(Table15880[[#Totals],[المسطح]]+Table166273[[#Totals],[Column12]]+1)*Table66374[[#This Row],[المعدل]]),0)</f>
        <v>6.7800000000000011</v>
      </c>
      <c r="AN7" s="216"/>
      <c r="AO7" s="216" t="s">
        <v>456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575</v>
      </c>
      <c r="AW7" s="194"/>
      <c r="AX7" s="194">
        <f>AW3*2</f>
        <v>46</v>
      </c>
      <c r="AY7" s="194" t="s">
        <v>28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574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1850</v>
      </c>
      <c r="BQ7" s="240">
        <f>BH7*BP7</f>
        <v>7400</v>
      </c>
      <c r="BR7" s="241">
        <f>(BQ7)/$R$68</f>
        <v>0.031621701888542048</v>
      </c>
      <c r="BS7" s="216"/>
      <c r="BT7" s="216" t="s">
        <v>48</v>
      </c>
      <c r="BU7" s="216">
        <v>75</v>
      </c>
      <c r="BV7" s="216">
        <v>100</v>
      </c>
      <c r="BW7" s="216">
        <v>75</v>
      </c>
      <c r="BX7" s="216">
        <v>2000</v>
      </c>
      <c r="BY7" s="216">
        <v>3500</v>
      </c>
      <c r="BZ7" s="216">
        <v>250</v>
      </c>
      <c r="CA7" s="216"/>
      <c r="CB7" s="216"/>
      <c r="CC7" s="216"/>
      <c r="CD7" s="216"/>
      <c r="CE7" s="216" t="s">
        <v>49</v>
      </c>
      <c r="CF7" s="216">
        <v>0.25</v>
      </c>
      <c r="CG7" s="211" t="s">
        <v>50</v>
      </c>
      <c r="CH7" s="216">
        <f>IF((تسعير!AT45="A"),IF(((Table1588090[[#Totals],[المسطح]]+Table16627383[[#Totals],[Column12]])&gt;0),(Table1588090[[#Totals],[المسطح]]+Table16627383[[#Totals],[Column12]]+1)*Table6637484[[#This Row],[المعدل]]),0)</f>
        <v>6.7800000000000011</v>
      </c>
      <c r="CI7" s="216"/>
      <c r="CJ7" s="216" t="s">
        <v>456</v>
      </c>
      <c r="CK7" s="216">
        <v>0.07</v>
      </c>
      <c r="CL7" s="216">
        <v>0.07</v>
      </c>
      <c r="CM7" s="216"/>
      <c r="CN7" s="216"/>
      <c r="CO7" s="256"/>
    </row>
    <row r="8" ht="18.75" s="187" customFormat="1">
      <c r="A8" s="549" t="s">
        <v>576</v>
      </c>
      <c r="B8" s="550">
        <v>2</v>
      </c>
      <c r="C8" s="550">
        <f>C3</f>
        <v>383.5</v>
      </c>
      <c r="D8" s="550" t="s">
        <v>564</v>
      </c>
      <c r="E8" s="550">
        <v>0.65</v>
      </c>
      <c r="F8" s="550">
        <f t="shared" si="2"/>
        <v>1404</v>
      </c>
      <c r="G8" s="555"/>
      <c r="H8" s="551">
        <f>IF(AND((C8&gt;=150),(C8&lt;201)),4,IF(AND((C8&gt;=201),(C8&lt;251)),5,IF(AND((C8&gt;=251),(C8&lt;401)),4,IF(AND((C8&gt;=401),(C8&lt;501)),5,0))))</f>
        <v>4</v>
      </c>
      <c r="I8" s="284">
        <f t="shared" si="0"/>
        <v>1.0430247718383312</v>
      </c>
      <c r="J8" s="554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213" t="s">
        <v>577</v>
      </c>
      <c r="O8" s="214">
        <v>0.03</v>
      </c>
      <c r="P8" s="214">
        <v>0.03</v>
      </c>
      <c r="Q8" s="211">
        <f>(Table15880[[#This Row],[Column1]]+Table15880[[#This Row],[Column2]])*12*Table15880[[#This Row],[عدد]]</f>
        <v>2.88</v>
      </c>
      <c r="R8" s="211"/>
      <c r="S8" s="211">
        <v>5</v>
      </c>
      <c r="T8" s="211">
        <f>Table15880[[#This Row],[المسطح]]*Table15880[[#This Row],[عدد]]</f>
        <v>11.52</v>
      </c>
      <c r="U8" s="239">
        <f>S8*$S$2/1000</f>
        <v>250</v>
      </c>
      <c r="V8" s="240">
        <f>M8*U8</f>
        <v>1000</v>
      </c>
      <c r="W8" s="241">
        <f>(V8)/$R$68</f>
        <v>0.0042732029579110875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IF((تسعير!AT25="A"),IF(((Table15880[[#Totals],[المسطح]]+Table166273[[#Totals],[Column12]])&gt;0),(Table15880[[#Totals],[المسطح]]+Table166273[[#Totals],[Column12]]-Q10+1)*Table66374[[#This Row],[المعدل]]),0)</f>
        <v>10.848000000000003</v>
      </c>
      <c r="AN8" s="216"/>
      <c r="AO8" s="216" t="s">
        <v>458</v>
      </c>
      <c r="AP8" s="216">
        <v>0.1</v>
      </c>
      <c r="AQ8" s="216">
        <v>0.1</v>
      </c>
      <c r="AR8" s="216"/>
      <c r="AS8" s="216"/>
      <c r="AT8" s="256"/>
      <c r="AU8" s="216"/>
      <c r="AV8" s="193" t="s">
        <v>578</v>
      </c>
      <c r="AW8" s="194"/>
      <c r="AX8" s="194">
        <f>AW3*2</f>
        <v>46</v>
      </c>
      <c r="AY8" s="194" t="s">
        <v>28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213" t="s">
        <v>577</v>
      </c>
      <c r="BJ8" s="214">
        <v>0.03</v>
      </c>
      <c r="BK8" s="214">
        <v>0.03</v>
      </c>
      <c r="BL8" s="211">
        <f>(Table1588090[[#This Row],[Column1]]+Table1588090[[#This Row],[Column2]])*12*Table1588090[[#This Row],[عدد]]</f>
        <v>2.88</v>
      </c>
      <c r="BM8" s="211"/>
      <c r="BN8" s="211">
        <v>5</v>
      </c>
      <c r="BO8" s="211">
        <f>Table1588090[[#This Row],[المسطح]]*Table1588090[[#This Row],[عدد]]</f>
        <v>11.52</v>
      </c>
      <c r="BP8" s="239">
        <f>BN8*$S$2/1000</f>
        <v>250</v>
      </c>
      <c r="BQ8" s="240">
        <f>BH8*BP8</f>
        <v>1000</v>
      </c>
      <c r="BR8" s="241">
        <f>(BQ8)/$R$68</f>
        <v>0.0042732029579110875</v>
      </c>
      <c r="BS8" s="216"/>
      <c r="BT8" s="216" t="s">
        <v>52</v>
      </c>
      <c r="BU8" s="216">
        <v>30</v>
      </c>
      <c r="BV8" s="216">
        <v>30</v>
      </c>
      <c r="BW8" s="216">
        <v>75</v>
      </c>
      <c r="BX8" s="216">
        <v>800</v>
      </c>
      <c r="BY8" s="216">
        <v>1600</v>
      </c>
      <c r="BZ8" s="216">
        <v>150</v>
      </c>
      <c r="CA8" s="216"/>
      <c r="CB8" s="216"/>
      <c r="CC8" s="216"/>
      <c r="CD8" s="216"/>
      <c r="CE8" s="216" t="s">
        <v>53</v>
      </c>
      <c r="CF8" s="216">
        <v>0.4</v>
      </c>
      <c r="CG8" s="211" t="s">
        <v>50</v>
      </c>
      <c r="CH8" s="216">
        <f>IF((تسعير!AT45="A"),IF(((Table1588090[[#Totals],[المسطح]]+Table16627383[[#Totals],[Column12]])&gt;0),(Table1588090[[#Totals],[المسطح]]+Table16627383[[#Totals],[Column12]]-BL10+1)*Table6637484[[#This Row],[المعدل]]),0)</f>
        <v>10.848000000000003</v>
      </c>
      <c r="CI8" s="216"/>
      <c r="CJ8" s="216" t="s">
        <v>458</v>
      </c>
      <c r="CK8" s="216">
        <v>0.1</v>
      </c>
      <c r="CL8" s="216">
        <v>0.1</v>
      </c>
      <c r="CM8" s="216"/>
      <c r="CN8" s="216"/>
      <c r="CO8" s="256"/>
    </row>
    <row r="9" ht="18.75" s="187" customFormat="1">
      <c r="A9" s="549" t="s">
        <v>571</v>
      </c>
      <c r="B9" s="550">
        <v>2</v>
      </c>
      <c r="C9" s="550">
        <f>(15.6*(B3-1)+4)</f>
        <v>487.59999999999997</v>
      </c>
      <c r="D9" s="550" t="s">
        <v>564</v>
      </c>
      <c r="E9" s="550">
        <v>1000</v>
      </c>
      <c r="F9" s="550">
        <f>E9*B9</f>
        <v>2000</v>
      </c>
      <c r="G9" s="555"/>
      <c r="H9" s="556"/>
      <c r="I9" s="540"/>
      <c r="J9" s="540"/>
      <c r="L9" s="211">
        <v>5</v>
      </c>
      <c r="M9" s="212">
        <v>0</v>
      </c>
      <c r="N9" s="213" t="s">
        <v>572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4200</v>
      </c>
      <c r="V9" s="240">
        <f>M9*U9</f>
        <v>0</v>
      </c>
      <c r="W9" s="241">
        <f>(V9)/$R$68</f>
        <v>0</v>
      </c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460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579</v>
      </c>
      <c r="AW9" s="194">
        <v>1</v>
      </c>
      <c r="AX9" s="196">
        <v>100</v>
      </c>
      <c r="AY9" s="194" t="s">
        <v>564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572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4200</v>
      </c>
      <c r="BQ9" s="240">
        <f>BH9*BP9</f>
        <v>0</v>
      </c>
      <c r="BR9" s="241">
        <f>(BQ9)/$R$68</f>
        <v>0</v>
      </c>
      <c r="BS9" s="216"/>
      <c r="BT9" s="216" t="s">
        <v>55</v>
      </c>
      <c r="BU9" s="216">
        <v>50</v>
      </c>
      <c r="BV9" s="216">
        <v>50</v>
      </c>
      <c r="BW9" s="216">
        <v>75</v>
      </c>
      <c r="BX9" s="216">
        <v>1200</v>
      </c>
      <c r="BY9" s="216">
        <v>2200</v>
      </c>
      <c r="BZ9" s="216">
        <v>150</v>
      </c>
      <c r="CA9" s="216"/>
      <c r="CB9" s="216"/>
      <c r="CC9" s="216"/>
      <c r="CD9" s="216"/>
      <c r="CE9" s="216" t="s">
        <v>56</v>
      </c>
      <c r="CF9" s="216"/>
      <c r="CG9" s="216" t="s">
        <v>57</v>
      </c>
      <c r="CH9" s="216"/>
      <c r="CI9" s="216"/>
      <c r="CJ9" s="216" t="s">
        <v>460</v>
      </c>
      <c r="CK9" s="216">
        <v>0.15</v>
      </c>
      <c r="CL9" s="216">
        <v>0.15</v>
      </c>
      <c r="CM9" s="216"/>
      <c r="CN9" s="216"/>
      <c r="CO9" s="256"/>
    </row>
    <row r="10" ht="18.75" s="187" customFormat="1">
      <c r="A10" s="549" t="s">
        <v>575</v>
      </c>
      <c r="B10" s="550"/>
      <c r="C10" s="550">
        <f>B3*2</f>
        <v>64</v>
      </c>
      <c r="D10" s="550" t="s">
        <v>28</v>
      </c>
      <c r="E10" s="550">
        <v>20</v>
      </c>
      <c r="F10" s="550">
        <f>E10*C10</f>
        <v>1280</v>
      </c>
      <c r="G10" s="555"/>
      <c r="H10" s="556"/>
      <c r="I10" s="540"/>
      <c r="J10" s="540"/>
      <c r="L10" s="211">
        <v>5</v>
      </c>
      <c r="M10" s="212">
        <f>IF(OR((N3="B11"),(N3="B12"),(N3="B21"),(N3="B22"),(N3="B31"),(N3="B32")),3,0)</f>
        <v>0</v>
      </c>
      <c r="N10" s="215" t="s">
        <v>580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43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0" s="216"/>
      <c r="AO10" s="216" t="s">
        <v>462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581</v>
      </c>
      <c r="AW10" s="194"/>
      <c r="AX10" s="194">
        <v>100</v>
      </c>
      <c r="AY10" s="194" t="s">
        <v>28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580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43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59</v>
      </c>
      <c r="BU10" s="216">
        <v>50</v>
      </c>
      <c r="BV10" s="216">
        <v>50</v>
      </c>
      <c r="BW10" s="216">
        <v>75</v>
      </c>
      <c r="BX10" s="216">
        <v>1200</v>
      </c>
      <c r="BY10" s="216">
        <v>2500</v>
      </c>
      <c r="BZ10" s="216">
        <v>150</v>
      </c>
      <c r="CA10" s="216"/>
      <c r="CB10" s="216"/>
      <c r="CC10" s="216"/>
      <c r="CD10" s="216"/>
      <c r="CE10" s="213" t="s">
        <v>62</v>
      </c>
      <c r="CF10" s="216">
        <v>0.6</v>
      </c>
      <c r="CG10" s="216"/>
      <c r="CH10" s="216">
        <f>IF(AND((تسعير!AT45="B"),(Table1588090[[#Totals],[المسطح]]+Table16627383[[#Totals],[Column12]])&gt;0),(((Table1588090[[#Totals],[المسطح]]+Table16627383[[#Totals],[Column12]])+1)*Table6637484[[#This Row],[المعدل]]),0)</f>
        <v>0</v>
      </c>
      <c r="CI10" s="216"/>
      <c r="CJ10" s="216" t="s">
        <v>462</v>
      </c>
      <c r="CK10" s="216">
        <v>0.05</v>
      </c>
      <c r="CL10" s="216">
        <v>0.1</v>
      </c>
      <c r="CM10" s="216"/>
      <c r="CN10" s="216"/>
      <c r="CO10" s="256"/>
    </row>
    <row r="11" ht="18.75" s="187" customFormat="1">
      <c r="A11" s="549" t="s">
        <v>578</v>
      </c>
      <c r="B11" s="550"/>
      <c r="C11" s="550">
        <f>B3*2</f>
        <v>64</v>
      </c>
      <c r="D11" s="550" t="s">
        <v>28</v>
      </c>
      <c r="E11" s="550">
        <v>18</v>
      </c>
      <c r="F11" s="550">
        <f>E11*C11</f>
        <v>1152</v>
      </c>
      <c r="G11" s="555"/>
      <c r="H11" s="556"/>
      <c r="I11" s="540"/>
      <c r="J11" s="540"/>
      <c r="L11" s="211"/>
      <c r="M11" s="212"/>
      <c r="N11" s="213" t="s">
        <v>58</v>
      </c>
      <c r="O11" s="214"/>
      <c r="P11" s="214"/>
      <c r="Q11" s="216">
        <f>SUBTOTAL(109,Table15880[المسطح])</f>
        <v>16.080000000000002</v>
      </c>
      <c r="R11" s="211"/>
      <c r="S11" s="211">
        <f>(S6*M6)+(S7*M7)+(M8*S8)+(S9*M9)</f>
        <v>225</v>
      </c>
      <c r="T11" s="211">
        <f>SUBTOTAL(109,Table15880[اجمالي المسطح])</f>
        <v>53.52000000000001</v>
      </c>
      <c r="U11" s="242"/>
      <c r="V11" s="240">
        <f>SUBTOTAL(109,Table15880[اجمالي])</f>
        <v>11250</v>
      </c>
      <c r="W11" s="244">
        <f>Table15880[[#Totals],[اجمالي]]/$R$68</f>
        <v>0.048073533276499734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70</v>
      </c>
      <c r="AK11" s="216">
        <v>0.6</v>
      </c>
      <c r="AL11" s="216"/>
      <c r="AM11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1" s="216"/>
      <c r="AO11" s="216" t="s">
        <v>464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582</v>
      </c>
      <c r="AW11" s="194"/>
      <c r="AX11" s="194">
        <f>AW3*2</f>
        <v>46</v>
      </c>
      <c r="AY11" s="194" t="s">
        <v>28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58</v>
      </c>
      <c r="BJ11" s="214"/>
      <c r="BK11" s="214"/>
      <c r="BL11" s="216">
        <f>SUBTOTAL(109,Table1588090[المسطح])</f>
        <v>16.080000000000002</v>
      </c>
      <c r="BM11" s="211"/>
      <c r="BN11" s="211">
        <f>(BN6*BH6)+(BN7*BG7)+(BN8*BG8)+(BN9*BG9)</f>
        <v>482</v>
      </c>
      <c r="BO11" s="211">
        <f>SUBTOTAL(109,Table1588090[اجمالي المسطح])</f>
        <v>53.52000000000001</v>
      </c>
      <c r="BP11" s="242"/>
      <c r="BQ11" s="240">
        <f>SUBTOTAL(109,Table1588090[اجمالي])</f>
        <v>11250</v>
      </c>
      <c r="BR11" s="244">
        <f>Table1588090[[#Totals],[اجمالي]]/$R$68</f>
        <v>0.048073533276499734</v>
      </c>
      <c r="BS11" s="216"/>
      <c r="BT11" s="216" t="s">
        <v>61</v>
      </c>
      <c r="BU11" s="216">
        <v>75</v>
      </c>
      <c r="BV11" s="216">
        <v>50</v>
      </c>
      <c r="BW11" s="216">
        <v>75</v>
      </c>
      <c r="BX11" s="216">
        <v>1200</v>
      </c>
      <c r="BY11" s="216">
        <v>2500</v>
      </c>
      <c r="BZ11" s="216">
        <v>150</v>
      </c>
      <c r="CA11" s="216"/>
      <c r="CB11" s="216"/>
      <c r="CC11" s="216"/>
      <c r="CD11" s="216"/>
      <c r="CE11" s="218" t="s">
        <v>70</v>
      </c>
      <c r="CF11" s="216">
        <v>0.6</v>
      </c>
      <c r="CG11" s="216"/>
      <c r="CH11" s="216">
        <f>IF(AND((تسعير!AT45="B"),(Table1588090[[#Totals],[المسطح]]+Table16627383[[#Totals],[Column12]])&gt;0),(((Table1588090[[#Totals],[المسطح]]+Table16627383[[#Totals],[Column12]])+1)*Table6637484[[#This Row],[المعدل]]),0)</f>
        <v>0</v>
      </c>
      <c r="CI11" s="216"/>
      <c r="CJ11" s="216" t="s">
        <v>464</v>
      </c>
      <c r="CK11" s="216">
        <v>0.05</v>
      </c>
      <c r="CL11" s="216">
        <v>0.15</v>
      </c>
      <c r="CM11" s="216"/>
      <c r="CN11" s="216"/>
      <c r="CO11" s="256"/>
    </row>
    <row r="12" ht="18.75" s="187" customFormat="1">
      <c r="A12" s="549" t="s">
        <v>579</v>
      </c>
      <c r="B12" s="550">
        <v>1</v>
      </c>
      <c r="C12" s="552">
        <v>100</v>
      </c>
      <c r="D12" s="550" t="s">
        <v>564</v>
      </c>
      <c r="E12" s="550">
        <v>250</v>
      </c>
      <c r="F12" s="550">
        <f>Table80102114[[#This Row],[wt/m]]*Table80102114[[#This Row],[عدد]]</f>
        <v>250</v>
      </c>
      <c r="G12" s="555"/>
      <c r="H12" s="556"/>
      <c r="I12" s="540"/>
      <c r="J12" s="557"/>
      <c r="L12" s="216"/>
      <c r="M12" s="216"/>
      <c r="N12" s="217"/>
      <c r="O12" s="629" t="s">
        <v>76</v>
      </c>
      <c r="P12" s="629"/>
      <c r="Q12" s="629"/>
      <c r="R12" s="629"/>
      <c r="S12" s="629"/>
      <c r="T12" s="629"/>
      <c r="U12" s="216"/>
      <c r="V12" s="216"/>
      <c r="W12" s="216"/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78</v>
      </c>
      <c r="AK12" s="216">
        <v>0.1</v>
      </c>
      <c r="AL12" s="216"/>
      <c r="AM12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2" s="216"/>
      <c r="AO12" s="216" t="s">
        <v>466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583</v>
      </c>
      <c r="AW12" s="194"/>
      <c r="AX12" s="194">
        <f>AW3*2</f>
        <v>46</v>
      </c>
      <c r="AY12" s="194" t="s">
        <v>28</v>
      </c>
      <c r="AZ12" s="194">
        <v>100</v>
      </c>
      <c r="BA12" s="194">
        <f>AX12*AZ12</f>
        <v>4600</v>
      </c>
      <c r="BC12" s="195"/>
      <c r="BD12" s="1"/>
      <c r="BE12" s="266"/>
      <c r="BG12" s="216"/>
      <c r="BH12" s="216"/>
      <c r="BI12" s="217"/>
      <c r="BJ12" s="629" t="s">
        <v>76</v>
      </c>
      <c r="BK12" s="629"/>
      <c r="BL12" s="629"/>
      <c r="BM12" s="629"/>
      <c r="BN12" s="629"/>
      <c r="BO12" s="629"/>
      <c r="BP12" s="216"/>
      <c r="BQ12" s="216"/>
      <c r="BR12" s="216"/>
      <c r="BS12" s="216"/>
      <c r="BT12" s="216" t="s">
        <v>65</v>
      </c>
      <c r="BU12" s="216">
        <v>75</v>
      </c>
      <c r="BV12" s="216">
        <v>50</v>
      </c>
      <c r="BW12" s="216">
        <v>75</v>
      </c>
      <c r="BX12" s="216">
        <v>1600</v>
      </c>
      <c r="BY12" s="216">
        <v>3000</v>
      </c>
      <c r="BZ12" s="216">
        <v>150</v>
      </c>
      <c r="CA12" s="216"/>
      <c r="CB12" s="216"/>
      <c r="CC12" s="216"/>
      <c r="CD12" s="216"/>
      <c r="CE12" s="218" t="s">
        <v>78</v>
      </c>
      <c r="CF12" s="216">
        <v>0.1</v>
      </c>
      <c r="CG12" s="216"/>
      <c r="CH12" s="216">
        <f>IF(AND((تسعير!AT45="B"),(Table1588090[[#Totals],[المسطح]]+Table16627383[[#Totals],[Column12]])&gt;0),(((Table1588090[[#Totals],[المسطح]]+Table16627383[[#Totals],[Column12]])+1)*Table6637484[[#This Row],[المعدل]]),0)</f>
        <v>0</v>
      </c>
      <c r="CI12" s="216"/>
      <c r="CJ12" s="216" t="s">
        <v>466</v>
      </c>
      <c r="CK12" s="216">
        <v>0.1</v>
      </c>
      <c r="CL12" s="216">
        <v>0.15</v>
      </c>
      <c r="CM12" s="216"/>
      <c r="CN12" s="216"/>
      <c r="CO12" s="256"/>
    </row>
    <row r="13" ht="18.75" s="187" customFormat="1">
      <c r="A13" s="549" t="s">
        <v>584</v>
      </c>
      <c r="B13" s="550"/>
      <c r="C13" s="550">
        <v>4</v>
      </c>
      <c r="D13" s="550" t="s">
        <v>372</v>
      </c>
      <c r="E13" s="550">
        <v>250</v>
      </c>
      <c r="F13" s="550">
        <f>C13*E13</f>
        <v>1000</v>
      </c>
      <c r="G13" s="555"/>
      <c r="H13" s="540"/>
      <c r="I13" s="555"/>
      <c r="J13" s="555"/>
      <c r="L13" s="211" t="s">
        <v>27</v>
      </c>
      <c r="M13" s="211" t="s">
        <v>28</v>
      </c>
      <c r="N13" s="218" t="s">
        <v>29</v>
      </c>
      <c r="O13" s="211" t="s">
        <v>30</v>
      </c>
      <c r="P13" s="211" t="s">
        <v>9</v>
      </c>
      <c r="Q13" s="211" t="s">
        <v>63</v>
      </c>
      <c r="R13" s="211" t="s">
        <v>32</v>
      </c>
      <c r="S13" s="211" t="s">
        <v>33</v>
      </c>
      <c r="T13" s="211" t="s">
        <v>64</v>
      </c>
      <c r="U13" s="211" t="s">
        <v>35</v>
      </c>
      <c r="V13" s="245" t="s">
        <v>36</v>
      </c>
      <c r="W13" s="211" t="s">
        <v>37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80</v>
      </c>
      <c r="AK13" s="216">
        <v>0.1</v>
      </c>
      <c r="AL13" s="216"/>
      <c r="AM13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184</v>
      </c>
      <c r="AW13" s="194" t="s">
        <v>28</v>
      </c>
      <c r="AX13" s="194">
        <v>1</v>
      </c>
      <c r="AY13" s="194" t="s">
        <v>28</v>
      </c>
      <c r="AZ13" s="194">
        <f>E23</f>
        <v>12000</v>
      </c>
      <c r="BA13" s="194">
        <f>AZ13*AX13</f>
        <v>12000</v>
      </c>
      <c r="BC13" s="1"/>
      <c r="BG13" s="211" t="s">
        <v>27</v>
      </c>
      <c r="BH13" s="211" t="s">
        <v>28</v>
      </c>
      <c r="BI13" s="218" t="s">
        <v>29</v>
      </c>
      <c r="BJ13" s="211" t="s">
        <v>30</v>
      </c>
      <c r="BK13" s="211" t="s">
        <v>9</v>
      </c>
      <c r="BL13" s="211" t="s">
        <v>63</v>
      </c>
      <c r="BM13" s="211" t="s">
        <v>32</v>
      </c>
      <c r="BN13" s="211" t="s">
        <v>33</v>
      </c>
      <c r="BO13" s="211" t="s">
        <v>64</v>
      </c>
      <c r="BP13" s="211" t="s">
        <v>35</v>
      </c>
      <c r="BQ13" s="245" t="s">
        <v>36</v>
      </c>
      <c r="BR13" s="211" t="s">
        <v>37</v>
      </c>
      <c r="BS13" s="216"/>
      <c r="BT13" s="216" t="s">
        <v>69</v>
      </c>
      <c r="BU13" s="216">
        <v>75</v>
      </c>
      <c r="BV13" s="216">
        <v>50</v>
      </c>
      <c r="BW13" s="216">
        <v>75</v>
      </c>
      <c r="BX13" s="216">
        <v>1600</v>
      </c>
      <c r="BY13" s="216">
        <v>2500</v>
      </c>
      <c r="BZ13" s="216">
        <v>150</v>
      </c>
      <c r="CA13" s="216"/>
      <c r="CB13" s="216"/>
      <c r="CC13" s="216"/>
      <c r="CD13" s="216"/>
      <c r="CE13" s="218" t="s">
        <v>80</v>
      </c>
      <c r="CF13" s="216">
        <v>0.1</v>
      </c>
      <c r="CG13" s="216"/>
      <c r="CH13" s="216">
        <f>IF(AND((تسعير!AT45="B"),(Table1588090[[#Totals],[المسطح]]+Table16627383[[#Totals],[Column12]])&gt;0),(((Table1588090[[#Totals],[المسطح]]+Table16627383[[#Totals],[Column12]])+1)*Table6637484[[#This Row],[المعدل]]),0)</f>
        <v>0</v>
      </c>
      <c r="CI13" s="216"/>
      <c r="CJ13" s="216"/>
      <c r="CK13" s="216"/>
      <c r="CL13" s="216"/>
      <c r="CM13" s="216"/>
      <c r="CN13" s="216"/>
      <c r="CO13" s="256"/>
    </row>
    <row r="14" ht="18.75" s="187" customFormat="1">
      <c r="A14" s="549" t="s">
        <v>585</v>
      </c>
      <c r="B14" s="550"/>
      <c r="C14" s="550">
        <v>8</v>
      </c>
      <c r="D14" s="550" t="s">
        <v>28</v>
      </c>
      <c r="E14" s="550">
        <v>300</v>
      </c>
      <c r="F14" s="550">
        <f>C14*E14</f>
        <v>2400</v>
      </c>
      <c r="G14" s="555"/>
      <c r="H14" s="540"/>
      <c r="I14" s="555"/>
      <c r="J14" s="555"/>
      <c r="L14" s="211">
        <v>1</v>
      </c>
      <c r="M14" s="212">
        <v>2</v>
      </c>
      <c r="N14" s="213" t="s">
        <v>81</v>
      </c>
      <c r="O14" s="214"/>
      <c r="P14" s="214"/>
      <c r="Q14" s="214"/>
      <c r="R14" s="211" t="s">
        <v>82</v>
      </c>
      <c r="S14" s="211"/>
      <c r="T14" s="242"/>
      <c r="U14" s="246">
        <f>Sheet2!B28</f>
        <v>400</v>
      </c>
      <c r="V14" s="240">
        <f ref="V14:V18" t="shared" si="6">M14*U14</f>
        <v>800</v>
      </c>
      <c r="W14" s="241">
        <f>(V14)/$R$68</f>
        <v>0.00341856236632887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58</v>
      </c>
      <c r="AW14" s="199">
        <f>(Table8091[[#Totals],[price]]*1.1)/(BA1*AY1/10000)</f>
        <v>5493.4825</v>
      </c>
      <c r="AX14" s="194"/>
      <c r="AY14" s="194"/>
      <c r="AZ14" s="194"/>
      <c r="BA14" s="194">
        <f>SUBTOTAL(109,Table8091[price])</f>
        <v>99881.5</v>
      </c>
      <c r="BC14" s="1"/>
      <c r="BG14" s="211">
        <v>1</v>
      </c>
      <c r="BH14" s="212">
        <v>2</v>
      </c>
      <c r="BI14" s="213" t="s">
        <v>81</v>
      </c>
      <c r="BJ14" s="214"/>
      <c r="BK14" s="214"/>
      <c r="BL14" s="214"/>
      <c r="BM14" s="211" t="s">
        <v>82</v>
      </c>
      <c r="BN14" s="211"/>
      <c r="BO14" s="242"/>
      <c r="BP14" s="246">
        <f>Sheet2!B28</f>
        <v>400</v>
      </c>
      <c r="BQ14" s="240">
        <f ref="BQ14:BQ18" t="shared" si="7">BH14*BP14</f>
        <v>800</v>
      </c>
      <c r="BR14" s="241">
        <f>(BQ14)/$R$68</f>
        <v>0.00341856236632887</v>
      </c>
      <c r="BS14" s="216"/>
      <c r="BT14" s="216" t="s">
        <v>72</v>
      </c>
      <c r="BU14" s="216">
        <v>100</v>
      </c>
      <c r="BV14" s="216">
        <v>50</v>
      </c>
      <c r="BW14" s="216">
        <v>75</v>
      </c>
      <c r="BX14" s="216">
        <v>2000</v>
      </c>
      <c r="BY14" s="216">
        <v>3000</v>
      </c>
      <c r="BZ14" s="216">
        <v>150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.75" s="187" customFormat="1">
      <c r="A15" s="549" t="s">
        <v>582</v>
      </c>
      <c r="B15" s="550"/>
      <c r="C15" s="550">
        <f>B3*2</f>
        <v>64</v>
      </c>
      <c r="D15" s="550" t="s">
        <v>28</v>
      </c>
      <c r="E15" s="550">
        <v>120</v>
      </c>
      <c r="F15" s="550">
        <f>C15*E15</f>
        <v>7680</v>
      </c>
      <c r="G15" s="555"/>
      <c r="H15" s="540"/>
      <c r="I15" s="540"/>
      <c r="J15" s="540"/>
      <c r="L15" s="211">
        <v>2</v>
      </c>
      <c r="M15" s="212">
        <v>2</v>
      </c>
      <c r="N15" s="213" t="s">
        <v>87</v>
      </c>
      <c r="O15" s="214"/>
      <c r="P15" s="214"/>
      <c r="Q15" s="214"/>
      <c r="R15" s="211" t="s">
        <v>28</v>
      </c>
      <c r="S15" s="211"/>
      <c r="T15" s="242"/>
      <c r="U15" s="246">
        <v>85</v>
      </c>
      <c r="V15" s="240">
        <f t="shared" si="6"/>
        <v>170</v>
      </c>
      <c r="W15" s="241">
        <f>(V15)/$R$68</f>
        <v>0.0007264445028448849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87</v>
      </c>
      <c r="BJ15" s="214"/>
      <c r="BK15" s="214"/>
      <c r="BL15" s="214"/>
      <c r="BM15" s="211" t="s">
        <v>28</v>
      </c>
      <c r="BN15" s="211"/>
      <c r="BO15" s="242"/>
      <c r="BP15" s="246">
        <v>85</v>
      </c>
      <c r="BQ15" s="240">
        <f t="shared" si="7"/>
        <v>170</v>
      </c>
      <c r="BR15" s="241">
        <f>(BQ15)/$R$68</f>
        <v>0.0007264445028448849</v>
      </c>
      <c r="BS15" s="216"/>
      <c r="BT15" s="216" t="s">
        <v>74</v>
      </c>
      <c r="BU15" s="216">
        <v>120</v>
      </c>
      <c r="BV15" s="216">
        <v>50</v>
      </c>
      <c r="BW15" s="216">
        <v>75</v>
      </c>
      <c r="BX15" s="216">
        <v>2000</v>
      </c>
      <c r="BY15" s="216">
        <v>3500</v>
      </c>
      <c r="BZ15" s="216">
        <v>200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.75" s="187" customFormat="1">
      <c r="A16" s="549" t="s">
        <v>583</v>
      </c>
      <c r="B16" s="550"/>
      <c r="C16" s="550">
        <f>B3*2</f>
        <v>64</v>
      </c>
      <c r="D16" s="550" t="s">
        <v>28</v>
      </c>
      <c r="E16" s="550">
        <v>120</v>
      </c>
      <c r="F16" s="550">
        <f>C16*E16</f>
        <v>7680</v>
      </c>
      <c r="G16" s="555"/>
      <c r="H16" s="540"/>
      <c r="I16" s="540"/>
      <c r="J16" s="540"/>
      <c r="L16" s="211">
        <v>3</v>
      </c>
      <c r="M16" s="219">
        <v>1</v>
      </c>
      <c r="N16" s="213" t="s">
        <v>89</v>
      </c>
      <c r="O16" s="214"/>
      <c r="P16" s="214"/>
      <c r="Q16" s="214"/>
      <c r="R16" s="211" t="s">
        <v>28</v>
      </c>
      <c r="S16" s="211"/>
      <c r="T16" s="242"/>
      <c r="U16" s="246">
        <v>75</v>
      </c>
      <c r="V16" s="240">
        <f t="shared" si="6"/>
        <v>75</v>
      </c>
      <c r="W16" s="241">
        <f>(V16)/$R$68</f>
        <v>0.00032049022184333156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89</v>
      </c>
      <c r="BJ16" s="214"/>
      <c r="BK16" s="214"/>
      <c r="BL16" s="214"/>
      <c r="BM16" s="211" t="s">
        <v>28</v>
      </c>
      <c r="BN16" s="211"/>
      <c r="BO16" s="242"/>
      <c r="BP16" s="246">
        <v>75</v>
      </c>
      <c r="BQ16" s="240">
        <f t="shared" si="7"/>
        <v>75</v>
      </c>
      <c r="BR16" s="241">
        <f>(BQ16)/$R$68</f>
        <v>0.00032049022184333156</v>
      </c>
      <c r="BS16" s="216"/>
      <c r="BT16" s="216" t="s">
        <v>77</v>
      </c>
      <c r="BU16" s="216">
        <v>150</v>
      </c>
      <c r="BV16" s="216">
        <v>50</v>
      </c>
      <c r="BW16" s="216">
        <v>75</v>
      </c>
      <c r="BX16" s="216">
        <v>2200</v>
      </c>
      <c r="BY16" s="216">
        <v>4000</v>
      </c>
      <c r="BZ16" s="216">
        <v>200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.75" s="187" customFormat="1">
      <c r="A17" s="549" t="s">
        <v>586</v>
      </c>
      <c r="B17" s="550">
        <v>2</v>
      </c>
      <c r="C17" s="550"/>
      <c r="D17" s="550" t="s">
        <v>564</v>
      </c>
      <c r="E17" s="550">
        <v>1000</v>
      </c>
      <c r="F17" s="550">
        <f>B17*E17</f>
        <v>2000</v>
      </c>
      <c r="G17" s="555"/>
      <c r="H17" s="540"/>
      <c r="I17" s="540"/>
      <c r="J17" s="540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90</v>
      </c>
      <c r="O17" s="214"/>
      <c r="P17" s="214"/>
      <c r="Q17" s="214"/>
      <c r="R17" s="247" t="s">
        <v>91</v>
      </c>
      <c r="S17" s="247"/>
      <c r="T17" s="242"/>
      <c r="U17" s="246">
        <v>30</v>
      </c>
      <c r="V17" s="240">
        <f t="shared" si="6"/>
        <v>480</v>
      </c>
      <c r="W17" s="241">
        <f>(V17)/$R$68</f>
        <v>0.0020511374197973221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90</v>
      </c>
      <c r="BJ17" s="214"/>
      <c r="BK17" s="214"/>
      <c r="BL17" s="214"/>
      <c r="BM17" s="247" t="s">
        <v>91</v>
      </c>
      <c r="BN17" s="247"/>
      <c r="BO17" s="242"/>
      <c r="BP17" s="246">
        <v>30</v>
      </c>
      <c r="BQ17" s="240">
        <f t="shared" si="7"/>
        <v>480</v>
      </c>
      <c r="BR17" s="241">
        <f>(BQ17)/$R$68</f>
        <v>0.0020511374197973221</v>
      </c>
      <c r="BS17" s="216"/>
      <c r="BT17" s="216" t="s">
        <v>79</v>
      </c>
      <c r="BU17" s="216">
        <v>150</v>
      </c>
      <c r="BV17" s="216">
        <v>50</v>
      </c>
      <c r="BW17" s="216">
        <v>75</v>
      </c>
      <c r="BX17" s="216">
        <v>2200</v>
      </c>
      <c r="BY17" s="216">
        <v>4000</v>
      </c>
      <c r="BZ17" s="216">
        <v>200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.75" s="187" customFormat="1">
      <c r="A18" s="549" t="s">
        <v>587</v>
      </c>
      <c r="B18" s="550"/>
      <c r="C18" s="550">
        <f>ROUNDUP(((C3*B3)/100),0)</f>
        <v>123</v>
      </c>
      <c r="D18" s="550" t="s">
        <v>564</v>
      </c>
      <c r="E18" s="550">
        <v>10</v>
      </c>
      <c r="F18" s="550">
        <f>C18*E18</f>
        <v>1230</v>
      </c>
      <c r="G18" s="555"/>
      <c r="H18" s="540"/>
      <c r="I18" s="540"/>
      <c r="J18" s="540"/>
      <c r="L18" s="211">
        <v>7</v>
      </c>
      <c r="M18" s="212">
        <f>IF(OR((N3="B11"),(N3="B12"),(N3="B21"),(N3="B22"),(N3="B31"),(N3="B32")),2,0)</f>
        <v>0</v>
      </c>
      <c r="N18" s="213" t="s">
        <v>97</v>
      </c>
      <c r="O18" s="214"/>
      <c r="P18" s="214"/>
      <c r="Q18" s="214"/>
      <c r="R18" s="211" t="s">
        <v>91</v>
      </c>
      <c r="S18" s="211"/>
      <c r="T18" s="242"/>
      <c r="U18" s="243">
        <f>Sheet2!B30</f>
        <v>1200</v>
      </c>
      <c r="V18" s="240">
        <f t="shared" si="6"/>
        <v>0</v>
      </c>
      <c r="W18" s="241">
        <f>(V18)/$R$68</f>
        <v>0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97</v>
      </c>
      <c r="BJ18" s="214"/>
      <c r="BK18" s="214"/>
      <c r="BL18" s="214"/>
      <c r="BM18" s="211" t="s">
        <v>91</v>
      </c>
      <c r="BN18" s="211"/>
      <c r="BO18" s="242"/>
      <c r="BP18" s="243">
        <f>Sheet2!AW30</f>
        <v>0</v>
      </c>
      <c r="BQ18" s="240">
        <f t="shared" si="7"/>
        <v>0</v>
      </c>
      <c r="BR18" s="241">
        <f>(BQ18)/$R$68</f>
        <v>0</v>
      </c>
      <c r="BS18" s="216"/>
      <c r="BT18" s="216" t="s">
        <v>83</v>
      </c>
      <c r="BU18" s="216">
        <v>500</v>
      </c>
      <c r="BV18" s="216">
        <v>200</v>
      </c>
      <c r="BW18" s="216">
        <v>100</v>
      </c>
      <c r="BX18" s="216">
        <v>3500</v>
      </c>
      <c r="BY18" s="216">
        <v>6000</v>
      </c>
      <c r="BZ18" s="216">
        <v>300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.75">
      <c r="A19" s="193" t="s">
        <v>588</v>
      </c>
      <c r="B19" s="566"/>
      <c r="C19" s="566">
        <f>C18</f>
        <v>123</v>
      </c>
      <c r="D19" s="566"/>
      <c r="E19" s="566">
        <v>20</v>
      </c>
      <c r="F19" s="550">
        <f ref="F19:F20" t="shared" si="8">C19*E19</f>
        <v>2460</v>
      </c>
      <c r="G19" s="540"/>
      <c r="H19" s="540"/>
      <c r="I19" s="540"/>
      <c r="J19" s="540"/>
      <c r="L19" s="211" t="s">
        <v>58</v>
      </c>
      <c r="M19" s="212"/>
      <c r="N19" s="213" t="s">
        <v>58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1525</v>
      </c>
      <c r="W19" s="244">
        <f>Table156172[[#Totals],[اجمالي]]/$R$68</f>
        <v>0.0065166345108144084</v>
      </c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211" t="s">
        <v>58</v>
      </c>
      <c r="BH19" s="212"/>
      <c r="BI19" s="213" t="s">
        <v>58</v>
      </c>
      <c r="BJ19" s="214"/>
      <c r="BK19" s="214"/>
      <c r="BL19" s="216"/>
      <c r="BM19" s="211"/>
      <c r="BN19" s="211"/>
      <c r="BO19" s="211"/>
      <c r="BP19" s="242"/>
      <c r="BQ19" s="240">
        <f>SUBTOTAL(109,Table15617282[اجمالي])</f>
        <v>1525</v>
      </c>
      <c r="BR19" s="244">
        <f>Table15617282[[#Totals],[اجمالي]]/$R$68</f>
        <v>0.0065166345108144084</v>
      </c>
      <c r="BS19" s="216"/>
      <c r="BT19" s="216" t="s">
        <v>86</v>
      </c>
      <c r="BU19" s="216">
        <v>500</v>
      </c>
      <c r="BV19" s="216">
        <v>200</v>
      </c>
      <c r="BW19" s="216">
        <v>100</v>
      </c>
      <c r="BX19" s="216">
        <v>4000</v>
      </c>
      <c r="BY19" s="216">
        <v>6500</v>
      </c>
      <c r="BZ19" s="216">
        <v>300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.75">
      <c r="A20" s="549" t="s">
        <v>589</v>
      </c>
      <c r="B20" s="550" t="s">
        <v>590</v>
      </c>
      <c r="C20" s="550">
        <f>ROUNDUP((B3/3),0)</f>
        <v>11</v>
      </c>
      <c r="D20" s="550" t="s">
        <v>28</v>
      </c>
      <c r="E20" s="550">
        <v>250</v>
      </c>
      <c r="F20" s="550">
        <f t="shared" si="8"/>
        <v>2750</v>
      </c>
      <c r="G20" s="540"/>
      <c r="H20" s="540"/>
      <c r="I20" s="540"/>
      <c r="J20" s="540"/>
      <c r="L20" s="216"/>
      <c r="M20" s="216"/>
      <c r="N20" s="217"/>
      <c r="O20" s="629" t="s">
        <v>99</v>
      </c>
      <c r="P20" s="629"/>
      <c r="Q20" s="629"/>
      <c r="R20" s="629"/>
      <c r="S20" s="629"/>
      <c r="T20" s="629"/>
      <c r="U20" s="216"/>
      <c r="V20" s="216"/>
      <c r="W20" s="216"/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629" t="s">
        <v>99</v>
      </c>
      <c r="BK20" s="629"/>
      <c r="BL20" s="629"/>
      <c r="BM20" s="629"/>
      <c r="BN20" s="629"/>
      <c r="BO20" s="629"/>
      <c r="BP20" s="216"/>
      <c r="BQ20" s="216"/>
      <c r="BR20" s="216"/>
      <c r="BS20" s="216"/>
      <c r="BT20" s="216" t="s">
        <v>88</v>
      </c>
      <c r="BU20" s="216">
        <v>550</v>
      </c>
      <c r="BV20" s="216">
        <v>200</v>
      </c>
      <c r="BW20" s="216">
        <v>100</v>
      </c>
      <c r="BX20" s="216">
        <v>5000</v>
      </c>
      <c r="BY20" s="216">
        <v>7000</v>
      </c>
      <c r="BZ20" s="216">
        <v>300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.75">
      <c r="A21" s="549" t="s">
        <v>591</v>
      </c>
      <c r="B21" s="550" t="s">
        <v>592</v>
      </c>
      <c r="C21" s="550">
        <f>C20</f>
        <v>11</v>
      </c>
      <c r="D21" s="550" t="s">
        <v>28</v>
      </c>
      <c r="E21" s="550">
        <v>40</v>
      </c>
      <c r="F21" s="550">
        <f>E21*C21</f>
        <v>440</v>
      </c>
      <c r="G21" s="540"/>
      <c r="H21" s="540"/>
      <c r="I21" s="540"/>
      <c r="J21" s="540"/>
      <c r="L21" s="211" t="s">
        <v>27</v>
      </c>
      <c r="M21" s="211" t="s">
        <v>28</v>
      </c>
      <c r="N21" s="218" t="s">
        <v>29</v>
      </c>
      <c r="O21" s="211" t="s">
        <v>30</v>
      </c>
      <c r="P21" s="211" t="s">
        <v>9</v>
      </c>
      <c r="Q21" s="211" t="s">
        <v>63</v>
      </c>
      <c r="R21" s="211" t="s">
        <v>32</v>
      </c>
      <c r="S21" s="211" t="s">
        <v>33</v>
      </c>
      <c r="T21" s="211" t="s">
        <v>64</v>
      </c>
      <c r="U21" s="211" t="s">
        <v>35</v>
      </c>
      <c r="V21" s="245" t="s">
        <v>36</v>
      </c>
      <c r="W21" s="211" t="s">
        <v>37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27</v>
      </c>
      <c r="BH21" s="211" t="s">
        <v>28</v>
      </c>
      <c r="BI21" s="218" t="s">
        <v>29</v>
      </c>
      <c r="BJ21" s="211" t="s">
        <v>30</v>
      </c>
      <c r="BK21" s="211" t="s">
        <v>9</v>
      </c>
      <c r="BL21" s="211" t="s">
        <v>63</v>
      </c>
      <c r="BM21" s="211" t="s">
        <v>32</v>
      </c>
      <c r="BN21" s="211" t="s">
        <v>33</v>
      </c>
      <c r="BO21" s="211" t="s">
        <v>64</v>
      </c>
      <c r="BP21" s="211" t="s">
        <v>35</v>
      </c>
      <c r="BQ21" s="245" t="s">
        <v>36</v>
      </c>
      <c r="BR21" s="211" t="s">
        <v>37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.75">
      <c r="A22" s="549" t="s">
        <v>593</v>
      </c>
      <c r="B22" s="550" t="s">
        <v>28</v>
      </c>
      <c r="C22" s="550">
        <v>2</v>
      </c>
      <c r="D22" s="550" t="s">
        <v>28</v>
      </c>
      <c r="E22" s="550">
        <v>1500</v>
      </c>
      <c r="F22" s="550">
        <f>E22*C22</f>
        <v>3000</v>
      </c>
      <c r="G22" s="540"/>
      <c r="H22" s="540"/>
      <c r="I22" s="540"/>
      <c r="J22" s="540"/>
      <c r="L22" s="211"/>
      <c r="M22" s="212">
        <f>IF((I1="قواعد عادية"),0,2)</f>
        <v>2</v>
      </c>
      <c r="N22" s="220" t="s">
        <v>100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600</v>
      </c>
      <c r="V22" s="240">
        <f>M22*U22</f>
        <v>1200</v>
      </c>
      <c r="W22" s="249">
        <f>(V22)/$R$68</f>
        <v>0.005127843549493305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100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600</v>
      </c>
      <c r="BQ22" s="240">
        <f>BH22*BP22</f>
        <v>1200</v>
      </c>
      <c r="BR22" s="249">
        <f>(BQ22)/$R$68</f>
        <v>0.005127843549493305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.75">
      <c r="A23" s="549" t="s">
        <v>184</v>
      </c>
      <c r="B23" s="550" t="s">
        <v>28</v>
      </c>
      <c r="C23" s="550">
        <v>1</v>
      </c>
      <c r="D23" s="550" t="s">
        <v>28</v>
      </c>
      <c r="E23" s="550">
        <f>Sheet2!B57</f>
        <v>12000</v>
      </c>
      <c r="F23" s="550">
        <f>E23*C23</f>
        <v>12000</v>
      </c>
      <c r="G23" s="540"/>
      <c r="H23" s="540"/>
      <c r="I23" s="540"/>
      <c r="J23" s="540"/>
      <c r="L23" s="211">
        <v>3</v>
      </c>
      <c r="M23" s="219">
        <v>2</v>
      </c>
      <c r="N23" s="220" t="s">
        <v>473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85</v>
      </c>
      <c r="S23" s="250">
        <v>7</v>
      </c>
      <c r="T23" s="211"/>
      <c r="U23" s="243">
        <f>S23*$S$2/1000</f>
        <v>350</v>
      </c>
      <c r="V23" s="240">
        <f>M23*U23</f>
        <v>700</v>
      </c>
      <c r="W23" s="241">
        <f>(V23)/$R$68</f>
        <v>0.0029912420705377613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473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85</v>
      </c>
      <c r="BN23" s="250">
        <v>7</v>
      </c>
      <c r="BO23" s="211"/>
      <c r="BP23" s="243">
        <f>BN23*$S$2/1000</f>
        <v>350</v>
      </c>
      <c r="BQ23" s="240">
        <f>BH23*BP23</f>
        <v>700</v>
      </c>
      <c r="BR23" s="241">
        <f>(BQ23)/$R$68</f>
        <v>0.0029912420705377613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.75">
      <c r="A24" s="193" t="s">
        <v>58</v>
      </c>
      <c r="B24" s="199">
        <f>(Table80102114[[#Totals],[price]]*1.1)/(F1*D1/10000)</f>
        <v>8685.27</v>
      </c>
      <c r="C24" s="194"/>
      <c r="D24" s="194"/>
      <c r="E24" s="194"/>
      <c r="F24" s="194">
        <f>SUBTOTAL(109,Table80102114[price])</f>
        <v>157914</v>
      </c>
      <c r="L24" s="211">
        <v>8</v>
      </c>
      <c r="M24" s="212">
        <f>M22*4</f>
        <v>8</v>
      </c>
      <c r="N24" s="213" t="s">
        <v>101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85</v>
      </c>
      <c r="S24" s="211">
        <v>0.75</v>
      </c>
      <c r="T24" s="211"/>
      <c r="U24" s="243">
        <f>S24*$S$2/1000</f>
        <v>37.5</v>
      </c>
      <c r="V24" s="240">
        <f>M24*U24</f>
        <v>300</v>
      </c>
      <c r="W24" s="251">
        <f>(V24)/$R$68</f>
        <v>0.0012819608873733263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101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85</v>
      </c>
      <c r="BN24" s="211">
        <v>0.75</v>
      </c>
      <c r="BO24" s="211"/>
      <c r="BP24" s="243">
        <f>BN24*$S$2/1000</f>
        <v>37.5</v>
      </c>
      <c r="BQ24" s="240">
        <f>BH24*BP24</f>
        <v>300</v>
      </c>
      <c r="BR24" s="251">
        <f>(BQ24)/$R$68</f>
        <v>0.0012819608873733263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.75">
      <c r="A25" s="200"/>
      <c r="L25" s="211" t="s">
        <v>58</v>
      </c>
      <c r="M25" s="212">
        <f>SUBTOTAL(103,Table166273[عدد])</f>
        <v>3</v>
      </c>
      <c r="N25" s="213" t="s">
        <v>58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2200</v>
      </c>
      <c r="W25" s="244">
        <f>Table166273[[#Totals],[اجمالي]]/$R$68</f>
        <v>0.0094010465074043925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58</v>
      </c>
      <c r="BH25" s="212">
        <f>SUBTOTAL(103,Table16627383[عدد])</f>
        <v>3</v>
      </c>
      <c r="BI25" s="213" t="s">
        <v>58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2200</v>
      </c>
      <c r="BR25" s="244">
        <f>Table16627383[[#Totals],[اجمالي]]/$R$68</f>
        <v>0.0094010465074043925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.75">
      <c r="A26" s="200"/>
      <c r="L26" s="216"/>
      <c r="M26" s="216"/>
      <c r="N26" s="217"/>
      <c r="O26" s="629" t="s">
        <v>102</v>
      </c>
      <c r="P26" s="629"/>
      <c r="Q26" s="629"/>
      <c r="R26" s="629"/>
      <c r="S26" s="629"/>
      <c r="T26" s="629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629" t="s">
        <v>102</v>
      </c>
      <c r="BK26" s="629"/>
      <c r="BL26" s="629"/>
      <c r="BM26" s="629"/>
      <c r="BN26" s="629"/>
      <c r="BO26" s="629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.75">
      <c r="A27" s="200"/>
      <c r="L27" s="211" t="s">
        <v>27</v>
      </c>
      <c r="M27" s="211" t="s">
        <v>28</v>
      </c>
      <c r="N27" s="218" t="s">
        <v>29</v>
      </c>
      <c r="O27" s="211" t="s">
        <v>30</v>
      </c>
      <c r="P27" s="211" t="s">
        <v>9</v>
      </c>
      <c r="Q27" s="211" t="s">
        <v>63</v>
      </c>
      <c r="R27" s="211" t="s">
        <v>32</v>
      </c>
      <c r="S27" s="211" t="s">
        <v>33</v>
      </c>
      <c r="T27" s="211" t="s">
        <v>64</v>
      </c>
      <c r="U27" s="211" t="s">
        <v>35</v>
      </c>
      <c r="V27" s="245" t="s">
        <v>36</v>
      </c>
      <c r="W27" s="211" t="s">
        <v>37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27</v>
      </c>
      <c r="BH27" s="211" t="s">
        <v>28</v>
      </c>
      <c r="BI27" s="218" t="s">
        <v>29</v>
      </c>
      <c r="BJ27" s="211" t="s">
        <v>30</v>
      </c>
      <c r="BK27" s="211" t="s">
        <v>9</v>
      </c>
      <c r="BL27" s="211" t="s">
        <v>63</v>
      </c>
      <c r="BM27" s="211" t="s">
        <v>32</v>
      </c>
      <c r="BN27" s="211" t="s">
        <v>33</v>
      </c>
      <c r="BO27" s="211" t="s">
        <v>64</v>
      </c>
      <c r="BP27" s="211" t="s">
        <v>35</v>
      </c>
      <c r="BQ27" s="245" t="s">
        <v>36</v>
      </c>
      <c r="BR27" s="211" t="s">
        <v>37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.75">
      <c r="A28" s="200"/>
      <c r="L28" s="211">
        <v>3</v>
      </c>
      <c r="M28" s="222">
        <f>AM7/3</f>
        <v>2.2600000000000002</v>
      </c>
      <c r="N28" s="213" t="s">
        <v>103</v>
      </c>
      <c r="O28" s="214"/>
      <c r="P28" s="214"/>
      <c r="Q28" s="214"/>
      <c r="R28" s="211" t="s">
        <v>104</v>
      </c>
      <c r="S28" s="211"/>
      <c r="T28" s="211"/>
      <c r="U28" s="248">
        <f>Sheet2!B24</f>
        <v>400</v>
      </c>
      <c r="V28" s="240">
        <f ref="V28:V33" t="shared" si="9">M28*U28</f>
        <v>904.00000000000011</v>
      </c>
      <c r="W28" s="241">
        <f ref="W28:W42" t="shared" si="10" ca="1">(V28)/$R$68</f>
        <v>0.0038629754739516234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2.2600000000000002</v>
      </c>
      <c r="BI28" s="213" t="s">
        <v>103</v>
      </c>
      <c r="BJ28" s="214"/>
      <c r="BK28" s="214"/>
      <c r="BL28" s="214"/>
      <c r="BM28" s="211" t="s">
        <v>104</v>
      </c>
      <c r="BN28" s="211"/>
      <c r="BO28" s="211"/>
      <c r="BP28" s="248">
        <f>Sheet2!B24</f>
        <v>400</v>
      </c>
      <c r="BQ28" s="240">
        <f ref="BQ28:BQ41" t="shared" si="11">BH28*BP28</f>
        <v>904.00000000000011</v>
      </c>
      <c r="BR28" s="241">
        <f ref="BR28:BR41" t="shared" si="12" ca="1">(BQ28)/$R$68</f>
        <v>0.0038629754739516234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.75">
      <c r="A29" s="200"/>
      <c r="L29" s="211">
        <v>4</v>
      </c>
      <c r="M29" s="219">
        <v>3</v>
      </c>
      <c r="N29" s="218" t="s">
        <v>108</v>
      </c>
      <c r="O29" s="211"/>
      <c r="P29" s="211"/>
      <c r="Q29" s="211"/>
      <c r="R29" s="211" t="s">
        <v>109</v>
      </c>
      <c r="S29" s="211"/>
      <c r="T29" s="211"/>
      <c r="U29" s="248">
        <f>Sheet2!B48</f>
        <v>20</v>
      </c>
      <c r="V29" s="240">
        <f t="shared" si="9"/>
        <v>60</v>
      </c>
      <c r="W29" s="241">
        <f t="shared" si="10" ca="1"/>
        <v>0.00025639217747466526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108</v>
      </c>
      <c r="BJ29" s="211"/>
      <c r="BK29" s="211"/>
      <c r="BL29" s="211"/>
      <c r="BM29" s="211" t="s">
        <v>109</v>
      </c>
      <c r="BN29" s="211"/>
      <c r="BO29" s="211"/>
      <c r="BP29" s="248">
        <v>18</v>
      </c>
      <c r="BQ29" s="240">
        <f t="shared" si="11"/>
        <v>54</v>
      </c>
      <c r="BR29" s="241">
        <f t="shared" si="12" ca="1"/>
        <v>0.00023075295972719873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.75">
      <c r="A30" s="200"/>
      <c r="L30" s="211">
        <v>5</v>
      </c>
      <c r="M30" s="212">
        <v>3</v>
      </c>
      <c r="N30" s="218" t="s">
        <v>110</v>
      </c>
      <c r="O30" s="211"/>
      <c r="P30" s="211"/>
      <c r="Q30" s="211"/>
      <c r="R30" s="211" t="s">
        <v>109</v>
      </c>
      <c r="S30" s="211"/>
      <c r="T30" s="211"/>
      <c r="U30" s="248">
        <f>Sheet2!B48</f>
        <v>20</v>
      </c>
      <c r="V30" s="240">
        <f t="shared" si="9"/>
        <v>60</v>
      </c>
      <c r="W30" s="241">
        <f t="shared" si="10" ca="1"/>
        <v>0.00025639217747466526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110</v>
      </c>
      <c r="BJ30" s="211"/>
      <c r="BK30" s="211"/>
      <c r="BL30" s="211"/>
      <c r="BM30" s="211" t="s">
        <v>109</v>
      </c>
      <c r="BN30" s="211"/>
      <c r="BO30" s="211"/>
      <c r="BP30" s="248">
        <v>18</v>
      </c>
      <c r="BQ30" s="240">
        <f t="shared" si="11"/>
        <v>54</v>
      </c>
      <c r="BR30" s="241">
        <f t="shared" si="12" ca="1"/>
        <v>0.00023075295972719873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.75">
      <c r="A31" s="200"/>
      <c r="L31" s="211">
        <v>6</v>
      </c>
      <c r="M31" s="219">
        <v>1</v>
      </c>
      <c r="N31" s="213" t="s">
        <v>111</v>
      </c>
      <c r="O31" s="214"/>
      <c r="P31" s="214"/>
      <c r="Q31" s="214"/>
      <c r="R31" s="211" t="s">
        <v>112</v>
      </c>
      <c r="S31" s="211"/>
      <c r="T31" s="211"/>
      <c r="U31" s="248">
        <v>40</v>
      </c>
      <c r="V31" s="240">
        <f t="shared" si="9"/>
        <v>40</v>
      </c>
      <c r="W31" s="241">
        <f t="shared" si="10" ca="1"/>
        <v>0.00017092811831644349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111</v>
      </c>
      <c r="BJ31" s="214"/>
      <c r="BK31" s="214"/>
      <c r="BL31" s="214"/>
      <c r="BM31" s="211" t="s">
        <v>112</v>
      </c>
      <c r="BN31" s="211"/>
      <c r="BO31" s="211"/>
      <c r="BP31" s="248">
        <v>25</v>
      </c>
      <c r="BQ31" s="240">
        <f t="shared" si="11"/>
        <v>25</v>
      </c>
      <c r="BR31" s="241">
        <f t="shared" si="12" ca="1"/>
        <v>0.00010683007394777719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.75">
      <c r="A32" s="200"/>
      <c r="L32" s="211">
        <v>7</v>
      </c>
      <c r="M32" s="212">
        <v>1</v>
      </c>
      <c r="N32" s="213" t="s">
        <v>113</v>
      </c>
      <c r="O32" s="214"/>
      <c r="P32" s="214"/>
      <c r="Q32" s="214"/>
      <c r="R32" s="211" t="s">
        <v>112</v>
      </c>
      <c r="S32" s="211"/>
      <c r="T32" s="211"/>
      <c r="U32" s="248">
        <v>150</v>
      </c>
      <c r="V32" s="240">
        <f t="shared" si="9"/>
        <v>150</v>
      </c>
      <c r="W32" s="241">
        <f t="shared" si="10" ca="1"/>
        <v>0.00064098044368666313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113</v>
      </c>
      <c r="BJ32" s="214"/>
      <c r="BK32" s="214"/>
      <c r="BL32" s="214"/>
      <c r="BM32" s="211" t="s">
        <v>112</v>
      </c>
      <c r="BN32" s="211"/>
      <c r="BO32" s="211"/>
      <c r="BP32" s="248">
        <v>150</v>
      </c>
      <c r="BQ32" s="240">
        <f t="shared" si="11"/>
        <v>150</v>
      </c>
      <c r="BR32" s="241">
        <f t="shared" si="12" ca="1"/>
        <v>0.00064098044368666313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.75">
      <c r="A33" s="200"/>
      <c r="L33" s="211">
        <v>8</v>
      </c>
      <c r="M33" s="219">
        <v>2</v>
      </c>
      <c r="N33" s="213" t="s">
        <v>114</v>
      </c>
      <c r="O33" s="214"/>
      <c r="P33" s="214"/>
      <c r="Q33" s="214"/>
      <c r="R33" s="211" t="s">
        <v>85</v>
      </c>
      <c r="S33" s="211"/>
      <c r="T33" s="211"/>
      <c r="U33" s="248">
        <v>40</v>
      </c>
      <c r="V33" s="240">
        <f t="shared" si="9"/>
        <v>80</v>
      </c>
      <c r="W33" s="241">
        <f t="shared" si="10" ca="1"/>
        <v>0.000341856236632887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114</v>
      </c>
      <c r="BJ33" s="214"/>
      <c r="BK33" s="214"/>
      <c r="BL33" s="214"/>
      <c r="BM33" s="211" t="s">
        <v>85</v>
      </c>
      <c r="BN33" s="211"/>
      <c r="BO33" s="211"/>
      <c r="BP33" s="248">
        <v>40</v>
      </c>
      <c r="BQ33" s="240">
        <f t="shared" si="11"/>
        <v>80</v>
      </c>
      <c r="BR33" s="241">
        <f t="shared" si="12" ca="1"/>
        <v>0.000341856236632887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.75">
      <c r="A34" s="200"/>
      <c r="L34" s="211"/>
      <c r="M34" s="219">
        <f>ROUNDUP(AM5,0)</f>
        <v>11</v>
      </c>
      <c r="N34" s="213" t="s">
        <v>40</v>
      </c>
      <c r="O34" s="214"/>
      <c r="P34" s="214"/>
      <c r="Q34" s="214"/>
      <c r="R34" s="211"/>
      <c r="S34" s="211"/>
      <c r="T34" s="211"/>
      <c r="U34" s="248">
        <f>Sheet2!B26</f>
        <v>250</v>
      </c>
      <c r="V34" s="240">
        <f ref="V34:V42" t="shared" si="13">M34*U34</f>
        <v>2750</v>
      </c>
      <c r="W34" s="251">
        <f t="shared" si="10" ca="1"/>
        <v>0.011751308134255491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11</v>
      </c>
      <c r="BI34" s="213" t="s">
        <v>40</v>
      </c>
      <c r="BJ34" s="214"/>
      <c r="BK34" s="214"/>
      <c r="BL34" s="214"/>
      <c r="BM34" s="211"/>
      <c r="BN34" s="211"/>
      <c r="BO34" s="211"/>
      <c r="BP34" s="248">
        <f>Sheet2!B26</f>
        <v>250</v>
      </c>
      <c r="BQ34" s="240">
        <f t="shared" si="11"/>
        <v>2750</v>
      </c>
      <c r="BR34" s="251">
        <f t="shared" si="12" ca="1"/>
        <v>0.011751308134255491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.75">
      <c r="A35" s="200"/>
      <c r="L35" s="211"/>
      <c r="M35" s="219">
        <f ref="M35:M36" t="shared" si="14">ROUNDUP(AM6,0)</f>
        <v>7</v>
      </c>
      <c r="N35" s="213" t="s">
        <v>45</v>
      </c>
      <c r="O35" s="214"/>
      <c r="P35" s="214"/>
      <c r="Q35" s="214"/>
      <c r="R35" s="211"/>
      <c r="S35" s="211"/>
      <c r="T35" s="211"/>
      <c r="U35" s="248">
        <f>Sheet2!B25</f>
        <v>105</v>
      </c>
      <c r="V35" s="240">
        <f t="shared" si="13"/>
        <v>735</v>
      </c>
      <c r="W35" s="251">
        <f t="shared" si="10" ca="1"/>
        <v>0.0031408041740646495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5">ROUNDUP(CH6,0)</f>
        <v>7</v>
      </c>
      <c r="BI35" s="213" t="s">
        <v>45</v>
      </c>
      <c r="BJ35" s="214"/>
      <c r="BK35" s="214"/>
      <c r="BL35" s="214"/>
      <c r="BM35" s="211"/>
      <c r="BN35" s="211"/>
      <c r="BO35" s="211"/>
      <c r="BP35" s="248">
        <f>Sheet2!B25</f>
        <v>105</v>
      </c>
      <c r="BQ35" s="240">
        <f t="shared" si="11"/>
        <v>735</v>
      </c>
      <c r="BR35" s="251">
        <f t="shared" si="12" ca="1"/>
        <v>0.0031408041740646495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.75">
      <c r="A36" s="200"/>
      <c r="L36" s="211"/>
      <c r="M36" s="219">
        <f t="shared" si="14"/>
        <v>7</v>
      </c>
      <c r="N36" s="213" t="s">
        <v>53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3"/>
        <v>3570</v>
      </c>
      <c r="W36" s="251">
        <f t="shared" si="10" ca="1"/>
        <v>0.015255334559742583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5"/>
        <v>7</v>
      </c>
      <c r="BI36" s="213" t="s">
        <v>53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11"/>
        <v>3570</v>
      </c>
      <c r="BR36" s="251">
        <f t="shared" si="12" ca="1"/>
        <v>0.015255334559742583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.75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3"/>
        <v>0</v>
      </c>
      <c r="W37" s="251">
        <f t="shared" si="10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IF((تسعير!AT45="B"),(Table1588090[[#Totals],[الوزن]]+Table16627383[[#Totals],[الوزن]]),0)</f>
        <v>0</v>
      </c>
      <c r="BI37" s="213" t="s">
        <v>132</v>
      </c>
      <c r="BJ37" s="214"/>
      <c r="BK37" s="214"/>
      <c r="BL37" s="214"/>
      <c r="BM37" s="211"/>
      <c r="BN37" s="211"/>
      <c r="BO37" s="211"/>
      <c r="BP37" s="248">
        <v>20</v>
      </c>
      <c r="BQ37" s="240">
        <f t="shared" si="11"/>
        <v>0</v>
      </c>
      <c r="BR37" s="251">
        <f t="shared" si="12" ca="1"/>
        <v>0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.75">
      <c r="A38" s="200"/>
      <c r="L38" s="211"/>
      <c r="M38" s="212">
        <f>IF((تسعير!AT5="B"),(Table15880[[#Totals],[الوزن]]+Table166273[[#Totals],[الوزن]]),0)</f>
        <v>245</v>
      </c>
      <c r="N38" s="213" t="s">
        <v>132</v>
      </c>
      <c r="O38" s="214"/>
      <c r="P38" s="214"/>
      <c r="Q38" s="214"/>
      <c r="R38" s="211"/>
      <c r="S38" s="211"/>
      <c r="T38" s="211"/>
      <c r="U38" s="248">
        <v>20</v>
      </c>
      <c r="V38" s="240">
        <f t="shared" si="13"/>
        <v>4900</v>
      </c>
      <c r="W38" s="251">
        <f t="shared" si="10" ca="1"/>
        <v>0.020938694493764329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0</v>
      </c>
      <c r="BI38" s="213" t="s">
        <v>62</v>
      </c>
      <c r="BJ38" s="214"/>
      <c r="BK38" s="214"/>
      <c r="BL38" s="214"/>
      <c r="BM38" s="211" t="s">
        <v>115</v>
      </c>
      <c r="BN38" s="211"/>
      <c r="BO38" s="211"/>
      <c r="BP38" s="248">
        <f>Sheet2!B18</f>
        <v>450</v>
      </c>
      <c r="BQ38" s="240">
        <f t="shared" si="11"/>
        <v>0</v>
      </c>
      <c r="BR38" s="251">
        <f t="shared" si="12" ca="1"/>
        <v>0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.75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39" s="213" t="s">
        <v>62</v>
      </c>
      <c r="O39" s="214"/>
      <c r="P39" s="214"/>
      <c r="Q39" s="214"/>
      <c r="R39" s="211" t="s">
        <v>115</v>
      </c>
      <c r="S39" s="211"/>
      <c r="T39" s="211"/>
      <c r="U39" s="248">
        <f>Sheet2!B18</f>
        <v>450</v>
      </c>
      <c r="V39" s="240">
        <f t="shared" si="13"/>
        <v>0</v>
      </c>
      <c r="W39" s="251">
        <f t="shared" si="10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0</v>
      </c>
      <c r="BI39" s="218" t="s">
        <v>70</v>
      </c>
      <c r="BJ39" s="214"/>
      <c r="BK39" s="214"/>
      <c r="BL39" s="214"/>
      <c r="BM39" s="218" t="s">
        <v>116</v>
      </c>
      <c r="BN39" s="211"/>
      <c r="BO39" s="211"/>
      <c r="BP39" s="248">
        <f>Sheet2!B20</f>
        <v>550</v>
      </c>
      <c r="BQ39" s="240">
        <f t="shared" si="11"/>
        <v>0</v>
      </c>
      <c r="BR39" s="251">
        <f t="shared" si="12" ca="1"/>
        <v>0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.75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0" s="218" t="s">
        <v>70</v>
      </c>
      <c r="O40" s="214"/>
      <c r="P40" s="214"/>
      <c r="Q40" s="214"/>
      <c r="R40" s="218" t="s">
        <v>116</v>
      </c>
      <c r="S40" s="211"/>
      <c r="T40" s="211"/>
      <c r="U40" s="248">
        <f>Sheet2!B20</f>
        <v>550</v>
      </c>
      <c r="V40" s="240">
        <f t="shared" si="13"/>
        <v>0</v>
      </c>
      <c r="W40" s="251">
        <f t="shared" si="10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0</v>
      </c>
      <c r="BI40" s="218" t="s">
        <v>78</v>
      </c>
      <c r="BJ40" s="214"/>
      <c r="BK40" s="214"/>
      <c r="BL40" s="214"/>
      <c r="BM40" s="218" t="s">
        <v>117</v>
      </c>
      <c r="BN40" s="211"/>
      <c r="BO40" s="211"/>
      <c r="BP40" s="248">
        <f>Sheet2!B22</f>
        <v>160</v>
      </c>
      <c r="BQ40" s="240">
        <f t="shared" si="11"/>
        <v>0</v>
      </c>
      <c r="BR40" s="251">
        <f t="shared" si="12" ca="1"/>
        <v>0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.75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1" s="218" t="s">
        <v>78</v>
      </c>
      <c r="O41" s="214"/>
      <c r="P41" s="214"/>
      <c r="Q41" s="214"/>
      <c r="R41" s="218" t="s">
        <v>117</v>
      </c>
      <c r="S41" s="211"/>
      <c r="T41" s="211"/>
      <c r="U41" s="248">
        <f>Sheet2!B22</f>
        <v>160</v>
      </c>
      <c r="V41" s="240">
        <f t="shared" si="13"/>
        <v>0</v>
      </c>
      <c r="W41" s="251">
        <f t="shared" si="10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0</v>
      </c>
      <c r="BI41" s="218" t="s">
        <v>80</v>
      </c>
      <c r="BJ41" s="214"/>
      <c r="BK41" s="214"/>
      <c r="BL41" s="214"/>
      <c r="BM41" s="218" t="s">
        <v>117</v>
      </c>
      <c r="BN41" s="211"/>
      <c r="BO41" s="211"/>
      <c r="BP41" s="248">
        <f>Sheet2!B23</f>
        <v>160</v>
      </c>
      <c r="BQ41" s="240">
        <f t="shared" si="11"/>
        <v>0</v>
      </c>
      <c r="BR41" s="251">
        <f t="shared" si="12" ca="1"/>
        <v>0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.75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2" s="218" t="s">
        <v>80</v>
      </c>
      <c r="O42" s="214"/>
      <c r="P42" s="214"/>
      <c r="Q42" s="214"/>
      <c r="R42" s="218" t="s">
        <v>117</v>
      </c>
      <c r="S42" s="211"/>
      <c r="T42" s="211"/>
      <c r="U42" s="248">
        <f>Sheet2!B23</f>
        <v>160</v>
      </c>
      <c r="V42" s="240">
        <f t="shared" si="13"/>
        <v>0</v>
      </c>
      <c r="W42" s="251">
        <f t="shared" si="10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58</v>
      </c>
      <c r="BH42" s="212"/>
      <c r="BI42" s="213" t="s">
        <v>58</v>
      </c>
      <c r="BJ42" s="214"/>
      <c r="BK42" s="214"/>
      <c r="BL42" s="214"/>
      <c r="BM42" s="211" t="s">
        <v>118</v>
      </c>
      <c r="BN42" s="211"/>
      <c r="BO42" s="211"/>
      <c r="BP42" s="242"/>
      <c r="BQ42" s="240">
        <f>SUBTOTAL(109,Table13597166[اجمالي])</f>
        <v>8322</v>
      </c>
      <c r="BR42" s="244">
        <f>Table13597166[[#Totals],[اجمالي]]/$R$68</f>
        <v>0.035561595015736067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.75">
      <c r="A43" s="200"/>
      <c r="L43" s="211" t="s">
        <v>58</v>
      </c>
      <c r="M43" s="212"/>
      <c r="N43" s="213" t="s">
        <v>58</v>
      </c>
      <c r="O43" s="214"/>
      <c r="P43" s="214"/>
      <c r="Q43" s="214"/>
      <c r="R43" s="211" t="s">
        <v>118</v>
      </c>
      <c r="S43" s="211"/>
      <c r="T43" s="211"/>
      <c r="U43" s="242"/>
      <c r="V43" s="240">
        <f>SUBTOTAL(109,Table135971[اجمالي])</f>
        <v>13249</v>
      </c>
      <c r="W43" s="244">
        <f>Table135971[[#Totals],[اجمالي]]/$R$68</f>
        <v>0.056615665989363996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.75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629" t="s">
        <v>131</v>
      </c>
      <c r="BK44" s="629"/>
      <c r="BL44" s="629"/>
      <c r="BM44" s="629"/>
      <c r="BN44" s="629"/>
      <c r="BO44" s="629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.75">
      <c r="A45" s="200"/>
      <c r="L45" s="216"/>
      <c r="M45" s="216"/>
      <c r="N45" s="217"/>
      <c r="O45" s="629" t="s">
        <v>131</v>
      </c>
      <c r="P45" s="629"/>
      <c r="Q45" s="629"/>
      <c r="R45" s="629"/>
      <c r="S45" s="629"/>
      <c r="T45" s="629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27</v>
      </c>
      <c r="BH45" s="211" t="s">
        <v>28</v>
      </c>
      <c r="BI45" s="218" t="s">
        <v>29</v>
      </c>
      <c r="BJ45" s="211" t="s">
        <v>30</v>
      </c>
      <c r="BK45" s="211" t="s">
        <v>9</v>
      </c>
      <c r="BL45" s="211" t="s">
        <v>63</v>
      </c>
      <c r="BM45" s="211" t="s">
        <v>32</v>
      </c>
      <c r="BN45" s="211" t="s">
        <v>33</v>
      </c>
      <c r="BO45" s="211" t="s">
        <v>64</v>
      </c>
      <c r="BP45" s="211" t="s">
        <v>35</v>
      </c>
      <c r="BQ45" s="245" t="s">
        <v>36</v>
      </c>
      <c r="BR45" s="211" t="s">
        <v>37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.75">
      <c r="A46" s="200"/>
      <c r="L46" s="211" t="s">
        <v>27</v>
      </c>
      <c r="M46" s="211" t="s">
        <v>28</v>
      </c>
      <c r="N46" s="218" t="s">
        <v>29</v>
      </c>
      <c r="O46" s="211" t="s">
        <v>30</v>
      </c>
      <c r="P46" s="211" t="s">
        <v>9</v>
      </c>
      <c r="Q46" s="211" t="s">
        <v>63</v>
      </c>
      <c r="R46" s="211" t="s">
        <v>32</v>
      </c>
      <c r="S46" s="211" t="s">
        <v>33</v>
      </c>
      <c r="T46" s="211" t="s">
        <v>64</v>
      </c>
      <c r="U46" s="211" t="s">
        <v>35</v>
      </c>
      <c r="V46" s="245" t="s">
        <v>36</v>
      </c>
      <c r="W46" s="211" t="s">
        <v>37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556</v>
      </c>
      <c r="BJ46" s="214"/>
      <c r="BK46" s="211"/>
      <c r="BL46" s="216"/>
      <c r="BM46" s="214"/>
      <c r="BN46" s="211"/>
      <c r="BO46" s="247"/>
      <c r="BP46" s="248">
        <f>Table8091[[#Totals],[price]]</f>
        <v>99881.5</v>
      </c>
      <c r="BQ46" s="252">
        <f>BH46*Table1613687787[[#This Row],[سعر الشبك ]]</f>
        <v>99881.5</v>
      </c>
      <c r="BR46" s="241">
        <f>(BQ46)/$R$68</f>
        <v>0.42681392124059631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.75">
      <c r="A47" s="200"/>
      <c r="L47" s="211">
        <v>5</v>
      </c>
      <c r="M47" s="219">
        <v>1</v>
      </c>
      <c r="N47" s="213" t="s">
        <v>556</v>
      </c>
      <c r="O47" s="214"/>
      <c r="P47" s="211"/>
      <c r="Q47" s="216"/>
      <c r="R47" s="214"/>
      <c r="S47" s="211"/>
      <c r="T47" s="247"/>
      <c r="U47" s="248">
        <f>Table80102114[[#Totals],[price]]</f>
        <v>157914</v>
      </c>
      <c r="V47" s="252">
        <f>M47*Table16136877[[#This Row],[سعر الشبك ]]</f>
        <v>157914</v>
      </c>
      <c r="W47" s="241">
        <f>(V47)/$R$68</f>
        <v>0.67479857189557146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130</v>
      </c>
      <c r="BJ47" s="214"/>
      <c r="BK47" s="211"/>
      <c r="BL47" s="216"/>
      <c r="BM47" s="214"/>
      <c r="BN47" s="211"/>
      <c r="BO47" s="247"/>
      <c r="BP47" s="248">
        <f>BQ46</f>
        <v>99881.5</v>
      </c>
      <c r="BQ47" s="240">
        <f>BH47*Table1613687787[[#This Row],[سعر الشبك ]]</f>
        <v>9988.1500000000015</v>
      </c>
      <c r="BR47" s="241">
        <f>(BQ47)/$R$68</f>
        <v>0.042681392124059636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.75">
      <c r="A48" s="200"/>
      <c r="L48" s="211">
        <v>4</v>
      </c>
      <c r="M48" s="212">
        <f>IF((Q64="الاسكندرية"),0.25,0.1)</f>
        <v>0.25</v>
      </c>
      <c r="N48" s="213" t="s">
        <v>130</v>
      </c>
      <c r="O48" s="214"/>
      <c r="P48" s="211"/>
      <c r="Q48" s="216"/>
      <c r="R48" s="214"/>
      <c r="S48" s="211"/>
      <c r="T48" s="247"/>
      <c r="U48" s="248">
        <f>Table80102114[[#Totals],[price]]</f>
        <v>157914</v>
      </c>
      <c r="V48" s="240">
        <f>M48*Table16136877[[#This Row],[سعر الشبك ]]</f>
        <v>39478.5</v>
      </c>
      <c r="W48" s="241">
        <f>(V48)/$R$68</f>
        <v>0.16869964297389287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58</v>
      </c>
      <c r="BH48" s="212"/>
      <c r="BI48" s="213" t="s">
        <v>58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109869.65</v>
      </c>
      <c r="BR48" s="244">
        <f>Table1613687787[[#Totals],[اجمالي]]/$R$68</f>
        <v>0.46949531336465589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.75">
      <c r="A49" s="200"/>
      <c r="L49" s="211" t="s">
        <v>58</v>
      </c>
      <c r="M49" s="212"/>
      <c r="N49" s="213" t="s">
        <v>58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197392.5</v>
      </c>
      <c r="W49" s="244">
        <f>Table16136877[[#Totals],[اجمالي]]/$R$68</f>
        <v>0.8434982148694643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629" t="s">
        <v>133</v>
      </c>
      <c r="BK49" s="629"/>
      <c r="BL49" s="629"/>
      <c r="BM49" s="629"/>
      <c r="BN49" s="629"/>
      <c r="BO49" s="629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.75">
      <c r="A50" s="200"/>
      <c r="L50" s="216"/>
      <c r="M50" s="216"/>
      <c r="N50" s="217"/>
      <c r="O50" s="629" t="s">
        <v>133</v>
      </c>
      <c r="P50" s="629"/>
      <c r="Q50" s="629"/>
      <c r="R50" s="629"/>
      <c r="S50" s="629"/>
      <c r="T50" s="629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27</v>
      </c>
      <c r="BH50" s="211" t="s">
        <v>28</v>
      </c>
      <c r="BI50" s="218" t="s">
        <v>29</v>
      </c>
      <c r="BJ50" s="211" t="s">
        <v>134</v>
      </c>
      <c r="BK50" s="211" t="s">
        <v>12</v>
      </c>
      <c r="BL50" s="211" t="s">
        <v>135</v>
      </c>
      <c r="BM50" s="211" t="s">
        <v>136</v>
      </c>
      <c r="BN50" s="211" t="s">
        <v>63</v>
      </c>
      <c r="BO50" s="211" t="s">
        <v>137</v>
      </c>
      <c r="BP50" s="211" t="s">
        <v>138</v>
      </c>
      <c r="BQ50" s="245" t="s">
        <v>36</v>
      </c>
      <c r="BR50" s="211" t="s">
        <v>37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.75">
      <c r="A51" s="200"/>
      <c r="L51" s="211" t="s">
        <v>27</v>
      </c>
      <c r="M51" s="211" t="s">
        <v>28</v>
      </c>
      <c r="N51" s="218" t="s">
        <v>29</v>
      </c>
      <c r="O51" s="211" t="s">
        <v>134</v>
      </c>
      <c r="P51" s="211" t="s">
        <v>12</v>
      </c>
      <c r="Q51" s="211" t="s">
        <v>135</v>
      </c>
      <c r="R51" s="211" t="s">
        <v>136</v>
      </c>
      <c r="S51" s="211" t="s">
        <v>63</v>
      </c>
      <c r="T51" s="211" t="s">
        <v>137</v>
      </c>
      <c r="U51" s="211" t="s">
        <v>138</v>
      </c>
      <c r="V51" s="245" t="s">
        <v>36</v>
      </c>
      <c r="W51" s="211" t="s">
        <v>37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139</v>
      </c>
      <c r="BJ51" s="211">
        <f>IF((Table1612677686[[#This Row],[موقع العمل]]="المصنع"),185,IF((Table1612677686[[#This Row],[موقع العمل]]="الاسكندرية"),185,235))</f>
        <v>185</v>
      </c>
      <c r="BK51" s="211">
        <f>SUMIF(Table17697888[Column1],Table1612677686[[#This Row],[موقع العمل]],$AB$2:$AB$20)</f>
        <v>0</v>
      </c>
      <c r="BL51" s="211" t="s">
        <v>140</v>
      </c>
      <c r="BM51" s="214" t="s">
        <v>39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1" s="240">
        <f ref="BQ51:BQ63" t="shared" si="16" ca="1">BH51*BP51</f>
        <v>370</v>
      </c>
      <c r="BR51" s="267">
        <f ref="BR51:BR63" t="shared" si="17" ca="1">(BQ51)/$R$68</f>
        <v>0.0015810850944271023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.75">
      <c r="A52" s="200"/>
      <c r="L52" s="211">
        <v>1</v>
      </c>
      <c r="M52" s="219">
        <v>2</v>
      </c>
      <c r="N52" s="220" t="s">
        <v>139</v>
      </c>
      <c r="O52" s="211">
        <f>IF((Table16126776[[#This Row],[موقع العمل]]="المصنع"),200,IF((Table16126776[[#This Row],[موقع العمل]]="الاسكندرية"),200,250))</f>
        <v>200</v>
      </c>
      <c r="P52" s="211">
        <f>SUMIF(Table176978[Column1],Table16126776[[#This Row],[موقع العمل]],$AB$2:$AB$20)</f>
        <v>0</v>
      </c>
      <c r="Q52" s="211" t="s">
        <v>140</v>
      </c>
      <c r="R52" s="214" t="s">
        <v>39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2" s="240">
        <f ref="V52:V64" t="shared" si="18" ca="1">M52*U52</f>
        <v>400</v>
      </c>
      <c r="W52" s="241">
        <f ref="W52:W64" t="shared" si="19" ca="1">(V52)/$R$68</f>
        <v>0.001709281183164435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141</v>
      </c>
      <c r="BJ52" s="211">
        <f>IF((Table1612677686[[#This Row],[موقع العمل]]="المصنع"),185,IF((Table1612677686[[#This Row],[موقع العمل]]="الاسكندرية"),185,235))</f>
        <v>185</v>
      </c>
      <c r="BK52" s="211">
        <f>SUMIF(Table17697888[Column1],Table1612677686[[#This Row],[موقع العمل]],$AB$2:$AB$20)</f>
        <v>0</v>
      </c>
      <c r="BL52" s="211" t="s">
        <v>140</v>
      </c>
      <c r="BM52" s="214" t="s">
        <v>39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2" s="240">
        <f t="shared" si="16" ca="1"/>
        <v>370</v>
      </c>
      <c r="BR52" s="267">
        <f t="shared" si="17" ca="1"/>
        <v>0.0015810850944271023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.75">
      <c r="A53" s="200"/>
      <c r="L53" s="211">
        <v>2</v>
      </c>
      <c r="M53" s="219">
        <v>2</v>
      </c>
      <c r="N53" s="220" t="s">
        <v>141</v>
      </c>
      <c r="O53" s="211">
        <f>IF((Table16126776[[#This Row],[موقع العمل]]="المصنع"),200,IF((Table16126776[[#This Row],[موقع العمل]]="الاسكندرية"),200,250))</f>
        <v>200</v>
      </c>
      <c r="P53" s="211">
        <f>SUMIF(Table176978[Column1],Table16126776[[#This Row],[موقع العمل]],$AB$2:$AB$20)</f>
        <v>0</v>
      </c>
      <c r="Q53" s="211" t="s">
        <v>140</v>
      </c>
      <c r="R53" s="214" t="s">
        <v>39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3" s="240">
        <f t="shared" si="18" ca="1"/>
        <v>400</v>
      </c>
      <c r="W53" s="241">
        <f t="shared" si="19" ca="1"/>
        <v>0.001709281183164435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142</v>
      </c>
      <c r="BJ53" s="211">
        <f>IF((Table1612677686[[#This Row],[موقع العمل]]="المصنع"),185,IF((Table1612677686[[#This Row],[موقع العمل]]="الاسكندرية"),185,235))</f>
        <v>185</v>
      </c>
      <c r="BK53" s="211">
        <f>SUMIF(Table17697888[Column1],Table1612677686[[#This Row],[موقع العمل]],$AB$2:$AB$20)</f>
        <v>0</v>
      </c>
      <c r="BL53" s="211" t="s">
        <v>140</v>
      </c>
      <c r="BM53" s="214" t="s">
        <v>39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6"/>
        <v>0</v>
      </c>
      <c r="BR53" s="267">
        <f t="shared" si="17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.75">
      <c r="A54" s="200"/>
      <c r="L54" s="211">
        <v>3</v>
      </c>
      <c r="M54" s="219">
        <v>3</v>
      </c>
      <c r="N54" s="220" t="s">
        <v>142</v>
      </c>
      <c r="O54" s="211">
        <f>IF((Table16126776[[#This Row],[موقع العمل]]="المصنع"),200,IF((Table16126776[[#This Row],[موقع العمل]]="الاسكندرية"),200,250))</f>
        <v>200</v>
      </c>
      <c r="P54" s="211">
        <f>SUMIF(Table176978[Column1],Table16126776[[#This Row],[موقع العمل]],$AB$2:$AB$20)</f>
        <v>0</v>
      </c>
      <c r="Q54" s="211" t="s">
        <v>140</v>
      </c>
      <c r="R54" s="214" t="s">
        <v>39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8"/>
        <v>0</v>
      </c>
      <c r="W54" s="241">
        <f t="shared" si="19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143</v>
      </c>
      <c r="BJ54" s="211">
        <f>IF((Table1612677686[[#This Row],[موقع العمل]]="المصنع"),185,IF((Table1612677686[[#This Row],[موقع العمل]]="الاسكندرية"),185,235))</f>
        <v>185</v>
      </c>
      <c r="BK54" s="211">
        <f>SUMIF(Table17697888[Column1],Table1612677686[[#This Row],[موقع العمل]],$AB$2:$AB$20)</f>
        <v>0</v>
      </c>
      <c r="BL54" s="211" t="s">
        <v>140</v>
      </c>
      <c r="BM54" s="214" t="s">
        <v>39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370</v>
      </c>
      <c r="BQ54" s="240">
        <f t="shared" si="16" ca="1"/>
        <v>1110</v>
      </c>
      <c r="BR54" s="267">
        <f t="shared" si="17" ca="1"/>
        <v>0.0047432552832813073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.75">
      <c r="A55" s="200"/>
      <c r="L55" s="211">
        <v>4</v>
      </c>
      <c r="M55" s="212">
        <v>3</v>
      </c>
      <c r="N55" s="220" t="s">
        <v>143</v>
      </c>
      <c r="O55" s="211">
        <f>IF((Table16126776[[#This Row],[موقع العمل]]="المصنع"),200,IF((Table16126776[[#This Row],[موقع العمل]]="الاسكندرية"),200,250))</f>
        <v>200</v>
      </c>
      <c r="P55" s="211">
        <f>SUMIF(Table176978[Column1],Table16126776[[#This Row],[موقع العمل]],$AB$2:$AB$20)</f>
        <v>0</v>
      </c>
      <c r="Q55" s="211" t="s">
        <v>140</v>
      </c>
      <c r="R55" s="214" t="s">
        <v>39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5" s="240">
        <f t="shared" si="18" ca="1"/>
        <v>1200</v>
      </c>
      <c r="W55" s="241">
        <f t="shared" si="19" ca="1"/>
        <v>0.005127843549493305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144</v>
      </c>
      <c r="BJ55" s="211">
        <f>IF((Table1612677686[[#This Row],[موقع العمل]]="المصنع"),185,IF((Table1612677686[[#This Row],[موقع العمل]]="الاسكندرية"),185,235))</f>
        <v>235</v>
      </c>
      <c r="BK55" s="211">
        <f>SUMIF(Table17697888[Column1],Table1612677686[[#This Row],[موقع العمل]],$AB$2:$AB$20)</f>
        <v>75</v>
      </c>
      <c r="BL55" s="211" t="str">
        <f>تسعير!$AT$44</f>
        <v>المقطم</v>
      </c>
      <c r="BM55" s="214" t="s">
        <v>39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5" s="240">
        <f t="shared" si="16" ca="1"/>
        <v>2480</v>
      </c>
      <c r="BR55" s="267">
        <f t="shared" si="17" ca="1"/>
        <v>0.010597543335619497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.75">
      <c r="A56" s="200"/>
      <c r="L56" s="211">
        <v>5</v>
      </c>
      <c r="M56" s="212">
        <v>4</v>
      </c>
      <c r="N56" s="220" t="s">
        <v>144</v>
      </c>
      <c r="O56" s="211">
        <f>IF((Table16126776[[#This Row],[موقع العمل]]="المصنع"),200,IF((Table16126776[[#This Row],[موقع العمل]]="الاسكندرية"),200,250))</f>
        <v>200</v>
      </c>
      <c r="P56" s="211">
        <f>SUMIF(Table176978[Column1],Table16126776[[#This Row],[موقع العمل]],$AB$2:$AB$20)</f>
        <v>0</v>
      </c>
      <c r="Q56" s="211" t="str">
        <f>تسعير!$AT$24</f>
        <v>الاسكندرية</v>
      </c>
      <c r="R56" s="214" t="s">
        <v>39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6" s="240">
        <f t="shared" si="18" ca="1"/>
        <v>1600</v>
      </c>
      <c r="W56" s="241">
        <f t="shared" si="19" ca="1"/>
        <v>0.00683712473265774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145</v>
      </c>
      <c r="BJ56" s="211">
        <f>IF((Table1612677686[[#This Row],[موقع العمل]]="المصنع"),185,IF((Table1612677686[[#This Row],[موقع العمل]]="الاسكندرية"),185,235))</f>
        <v>235</v>
      </c>
      <c r="BK56" s="211">
        <f>SUMIF(Table17697888[Column1],Table1612677686[[#This Row],[موقع العمل]],$AB$2:$AB$20)</f>
        <v>75</v>
      </c>
      <c r="BL56" s="211" t="str">
        <f>تسعير!$AT$44</f>
        <v>المقطم</v>
      </c>
      <c r="BM56" s="214" t="s">
        <v>39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6" s="240">
        <f t="shared" si="16" ca="1"/>
        <v>1860</v>
      </c>
      <c r="BR56" s="267">
        <f t="shared" si="17" ca="1"/>
        <v>0.0079481575017146221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.75">
      <c r="A57" s="200"/>
      <c r="L57" s="211">
        <v>6</v>
      </c>
      <c r="M57" s="212">
        <v>3</v>
      </c>
      <c r="N57" s="220" t="s">
        <v>145</v>
      </c>
      <c r="O57" s="211">
        <f>IF((Table16126776[[#This Row],[موقع العمل]]="المصنع"),200,IF((Table16126776[[#This Row],[موقع العمل]]="الاسكندرية"),200,250))</f>
        <v>200</v>
      </c>
      <c r="P57" s="211">
        <f>SUMIF(Table176978[Column1],Table16126776[[#This Row],[موقع العمل]],$AB$2:$AB$20)</f>
        <v>0</v>
      </c>
      <c r="Q57" s="211" t="str">
        <f>تسعير!$AT$24</f>
        <v>الاسكندرية</v>
      </c>
      <c r="R57" s="214" t="s">
        <v>39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7" s="240">
        <f t="shared" si="18" ca="1"/>
        <v>1200</v>
      </c>
      <c r="W57" s="241">
        <f t="shared" si="19" ca="1"/>
        <v>0.005127843549493305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146</v>
      </c>
      <c r="BJ57" s="211">
        <f>IF((Table1612677686[[#This Row],[موقع العمل]]="المصنع"),185,IF((Table1612677686[[#This Row],[موقع العمل]]="الاسكندرية"),185,235))</f>
        <v>235</v>
      </c>
      <c r="BK57" s="211">
        <f>SUMIF(Table17697888[Column1],Table1612677686[[#This Row],[موقع العمل]],$AB$2:$AB$20)</f>
        <v>75</v>
      </c>
      <c r="BL57" s="211" t="str">
        <f>تسعير!$AT$44</f>
        <v>المقطم</v>
      </c>
      <c r="BM57" s="214" t="s">
        <v>39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6"/>
        <v>0</v>
      </c>
      <c r="BR57" s="267">
        <f t="shared" si="17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.75">
      <c r="A58" s="200"/>
      <c r="L58" s="211">
        <v>7</v>
      </c>
      <c r="M58" s="212">
        <v>0</v>
      </c>
      <c r="N58" s="220" t="s">
        <v>146</v>
      </c>
      <c r="O58" s="211">
        <f>IF((Table16126776[[#This Row],[موقع العمل]]="المصنع"),200,IF((Table16126776[[#This Row],[موقع العمل]]="الاسكندرية"),200,250))</f>
        <v>200</v>
      </c>
      <c r="P58" s="211">
        <f>SUMIF(Table176978[Column1],Table16126776[[#This Row],[موقع العمل]],$AB$2:$AB$20)</f>
        <v>0</v>
      </c>
      <c r="Q58" s="211" t="str">
        <f>تسعير!$AT$24</f>
        <v>الاسكندرية</v>
      </c>
      <c r="R58" s="214" t="s">
        <v>39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8"/>
        <v>0</v>
      </c>
      <c r="W58" s="241">
        <f t="shared" si="19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147</v>
      </c>
      <c r="BJ58" s="211">
        <f>IF((Table1612677686[[#This Row],[موقع العمل]]="المصنع"),185,IF((Table1612677686[[#This Row],[موقع العمل]]="الاسكندرية"),185,235))</f>
        <v>235</v>
      </c>
      <c r="BK58" s="211">
        <f>SUMIF(Table17697888[Column1],Table1612677686[[#This Row],[موقع العمل]],$AB$2:$AB$20)</f>
        <v>75</v>
      </c>
      <c r="BL58" s="211" t="str">
        <f>تسعير!$AT$44</f>
        <v>المقطم</v>
      </c>
      <c r="BM58" s="214" t="s">
        <v>39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8" s="240">
        <f t="shared" si="16" ca="1"/>
        <v>2480</v>
      </c>
      <c r="BR58" s="267">
        <f t="shared" si="17" ca="1"/>
        <v>0.010597543335619497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.75">
      <c r="A59" s="200"/>
      <c r="L59" s="211">
        <v>8</v>
      </c>
      <c r="M59" s="212">
        <v>4</v>
      </c>
      <c r="N59" s="220" t="s">
        <v>147</v>
      </c>
      <c r="O59" s="211">
        <f>IF((Table16126776[[#This Row],[موقع العمل]]="المصنع"),200,IF((Table16126776[[#This Row],[موقع العمل]]="الاسكندرية"),200,250))</f>
        <v>200</v>
      </c>
      <c r="P59" s="211">
        <f>SUMIF(Table176978[Column1],Table16126776[[#This Row],[موقع العمل]],$AB$2:$AB$20)</f>
        <v>0</v>
      </c>
      <c r="Q59" s="211" t="str">
        <f>تسعير!$AT$24</f>
        <v>الاسكندرية</v>
      </c>
      <c r="R59" s="214" t="s">
        <v>39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9" s="240">
        <f t="shared" si="18" ca="1"/>
        <v>1600</v>
      </c>
      <c r="W59" s="241">
        <f t="shared" si="19" ca="1"/>
        <v>0.00683712473265774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148</v>
      </c>
      <c r="BJ59" s="211"/>
      <c r="BK59" s="211"/>
      <c r="BL59" s="211" t="str">
        <f>تسعير!$AT$44</f>
        <v>المقطم</v>
      </c>
      <c r="BM59" s="214"/>
      <c r="BN59" s="247">
        <f>SUMIF(Table17697888[Column1],Table1612677686[[#This Row],[موقع العمل]],$Z$2:$Z$20)</f>
        <v>120</v>
      </c>
      <c r="BO59" s="247"/>
      <c r="BP59" s="243">
        <f>Table1612677686[[#This Row],[Column12]]</f>
        <v>120</v>
      </c>
      <c r="BQ59" s="240">
        <f t="shared" si="16" ca="1"/>
        <v>2640</v>
      </c>
      <c r="BR59" s="267">
        <f t="shared" si="17" ca="1"/>
        <v>0.011281255808885272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.75">
      <c r="A60" s="200"/>
      <c r="L60" s="211">
        <v>9</v>
      </c>
      <c r="M60" s="212">
        <f>(M56+M57+M58+M59)*2</f>
        <v>22</v>
      </c>
      <c r="N60" s="220" t="s">
        <v>148</v>
      </c>
      <c r="O60" s="211"/>
      <c r="P60" s="211"/>
      <c r="Q60" s="211" t="str">
        <f>تسعير!$AT$24</f>
        <v>الاسكندرية</v>
      </c>
      <c r="R60" s="214"/>
      <c r="S60" s="247">
        <f>SUMIF(Table176978[Column1],Table16126776[[#This Row],[موقع العمل]],$Z$2:$Z$20)</f>
        <v>0</v>
      </c>
      <c r="T60" s="247"/>
      <c r="U60" s="243">
        <f>Table16126776[[#This Row],[Column12]]</f>
        <v>0</v>
      </c>
      <c r="V60" s="240">
        <f t="shared" si="18" ca="1"/>
        <v>0</v>
      </c>
      <c r="W60" s="241">
        <f t="shared" si="19" ca="1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149</v>
      </c>
      <c r="BJ60" s="211"/>
      <c r="BK60" s="211"/>
      <c r="BL60" s="211" t="str">
        <f>تسعير!$AT$44</f>
        <v>المقطم</v>
      </c>
      <c r="BM60" s="214"/>
      <c r="BN60" s="247">
        <f>SUMIF(Table17697888[Column1],Table1612677686[[#This Row],[موقع العمل]],$AA$2:$AA$20)</f>
        <v>250</v>
      </c>
      <c r="BO60" s="247"/>
      <c r="BP60" s="243">
        <f>Table1612677686[[#This Row],[Column12]]</f>
        <v>250</v>
      </c>
      <c r="BQ60" s="240">
        <f t="shared" si="16" ca="1"/>
        <v>2250</v>
      </c>
      <c r="BR60" s="267">
        <f t="shared" si="17" ca="1"/>
        <v>0.0096147066552999469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.75">
      <c r="A61" s="200"/>
      <c r="L61" s="211">
        <v>10</v>
      </c>
      <c r="M61" s="212">
        <f>((T56+T57+T58+T59)*2)-3</f>
        <v>9</v>
      </c>
      <c r="N61" s="220" t="s">
        <v>149</v>
      </c>
      <c r="O61" s="211"/>
      <c r="P61" s="211"/>
      <c r="Q61" s="211" t="str">
        <f>تسعير!$AT$24</f>
        <v>الاسكندرية</v>
      </c>
      <c r="R61" s="214"/>
      <c r="S61" s="247">
        <f>SUMIF(Table176978[Column1],Table16126776[[#This Row],[موقع العمل]],$AA$2:$AA$20)</f>
        <v>0</v>
      </c>
      <c r="T61" s="247"/>
      <c r="U61" s="243">
        <f>Table16126776[[#This Row],[Column12]]</f>
        <v>0</v>
      </c>
      <c r="V61" s="240">
        <f t="shared" si="18" ca="1"/>
        <v>0</v>
      </c>
      <c r="W61" s="241">
        <f t="shared" si="19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150</v>
      </c>
      <c r="BJ61" s="211"/>
      <c r="BK61" s="211"/>
      <c r="BL61" s="211" t="str">
        <f>تسعير!$AT$44</f>
        <v>المقطم</v>
      </c>
      <c r="BM61" s="214"/>
      <c r="BN61" s="247">
        <f>SUMIF(Table17697888[Column1],Table1612677686[[#This Row],[موقع العمل]],$AC$2:$AC$20)</f>
        <v>1600</v>
      </c>
      <c r="BO61" s="247"/>
      <c r="BP61" s="243">
        <f>Table1612677686[[#This Row],[Column12]]</f>
        <v>1600</v>
      </c>
      <c r="BQ61" s="240">
        <f t="shared" si="16" ca="1"/>
        <v>0</v>
      </c>
      <c r="BR61" s="267">
        <f t="shared" si="17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.75">
      <c r="A62" s="200"/>
      <c r="L62" s="211">
        <v>11</v>
      </c>
      <c r="M62" s="212">
        <v>0</v>
      </c>
      <c r="N62" s="220" t="s">
        <v>150</v>
      </c>
      <c r="O62" s="211"/>
      <c r="P62" s="211"/>
      <c r="Q62" s="211" t="str">
        <f>تسعير!$AT$24</f>
        <v>الاسكندرية</v>
      </c>
      <c r="R62" s="214"/>
      <c r="S62" s="247">
        <f>SUMIF(Table176978[Column1],Table16126776[[#This Row],[موقع العمل]],$AC$2:$AC$20)</f>
        <v>500</v>
      </c>
      <c r="T62" s="247"/>
      <c r="U62" s="243">
        <f>Table16126776[[#This Row],[Column12]]</f>
        <v>500</v>
      </c>
      <c r="V62" s="240">
        <f t="shared" si="18" ca="1"/>
        <v>0</v>
      </c>
      <c r="W62" s="241">
        <f t="shared" si="19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151</v>
      </c>
      <c r="BJ62" s="211"/>
      <c r="BK62" s="211"/>
      <c r="BL62" s="211" t="str">
        <f>تسعير!$AT$44</f>
        <v>المقطم</v>
      </c>
      <c r="BM62" s="214"/>
      <c r="BN62" s="247">
        <f>SUMIF(Table17697888[Column1],Table1612677686[[#This Row],[موقع العمل]],$AD$2:$AD$20)</f>
        <v>2300</v>
      </c>
      <c r="BO62" s="247"/>
      <c r="BP62" s="243">
        <f>Table1612677686[[#This Row],[Column12]]</f>
        <v>2300</v>
      </c>
      <c r="BQ62" s="240">
        <f t="shared" si="16" ca="1"/>
        <v>4600</v>
      </c>
      <c r="BR62" s="267">
        <f t="shared" si="17" ca="1"/>
        <v>0.019656733606391003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.75">
      <c r="A63" s="200"/>
      <c r="L63" s="211">
        <v>12</v>
      </c>
      <c r="M63" s="212">
        <f>IF((تسعير!$AU$14="بالتات"),1,2)</f>
        <v>2</v>
      </c>
      <c r="N63" s="220" t="s">
        <v>151</v>
      </c>
      <c r="O63" s="211"/>
      <c r="P63" s="211"/>
      <c r="Q63" s="211" t="str">
        <f>تسعير!$AT$24</f>
        <v>الاسكندرية</v>
      </c>
      <c r="R63" s="214"/>
      <c r="S63" s="247">
        <f>SUMIF(Table176978[Column1],Table16126776[[#This Row],[موقع العمل]],$AD$2:$AD$20)</f>
        <v>1000</v>
      </c>
      <c r="T63" s="247"/>
      <c r="U63" s="243">
        <f>Table16126776[[#This Row],[Column12]]</f>
        <v>1000</v>
      </c>
      <c r="V63" s="240">
        <f t="shared" si="18" ca="1"/>
        <v>2000</v>
      </c>
      <c r="W63" s="241">
        <f t="shared" si="19" ca="1"/>
        <v>0.008546405915822175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15</v>
      </c>
      <c r="BJ63" s="211"/>
      <c r="BK63" s="211"/>
      <c r="BL63" s="211" t="str">
        <f>تسعير!$AT$44</f>
        <v>المقطم</v>
      </c>
      <c r="BM63" s="214"/>
      <c r="BN63" s="247">
        <f>SUMIF(Table17697888[Column1],Table1612677686[[#This Row],[موقع العمل]],$AE$2:$AE$8)</f>
        <v>120</v>
      </c>
      <c r="BO63" s="247"/>
      <c r="BP63" s="243">
        <f>Table1612677686[[#This Row],[Column12]]</f>
        <v>120</v>
      </c>
      <c r="BQ63" s="240">
        <f t="shared" si="16" ca="1"/>
        <v>840</v>
      </c>
      <c r="BR63" s="267">
        <f t="shared" si="17" ca="1"/>
        <v>0.0035894904846453133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.75">
      <c r="A64" s="200"/>
      <c r="L64" s="211">
        <v>13</v>
      </c>
      <c r="M64" s="212">
        <f>IF((تسعير!$AU$14="بالتات"),0,M61-2)</f>
        <v>7</v>
      </c>
      <c r="N64" s="220" t="s">
        <v>15</v>
      </c>
      <c r="O64" s="211"/>
      <c r="P64" s="211"/>
      <c r="Q64" s="211" t="str">
        <f>تسعير!$AT$24</f>
        <v>الاسكندرية</v>
      </c>
      <c r="R64" s="214"/>
      <c r="S64" s="247">
        <f>SUMIF(Table176978[Column1],Table16126776[[#This Row],[موقع العمل]],$AE$2:$AE$8)</f>
        <v>0</v>
      </c>
      <c r="T64" s="247"/>
      <c r="U64" s="243">
        <f>Table16126776[[#This Row],[Column12]]</f>
        <v>0</v>
      </c>
      <c r="V64" s="240">
        <f t="shared" si="18" ca="1"/>
        <v>0</v>
      </c>
      <c r="W64" s="241">
        <f t="shared" si="19" ca="1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274" t="s">
        <v>58</v>
      </c>
      <c r="BH64" s="275"/>
      <c r="BI64" s="276" t="s">
        <v>58</v>
      </c>
      <c r="BJ64" s="274"/>
      <c r="BK64" s="274"/>
      <c r="BL64" s="285"/>
      <c r="BM64" s="285"/>
      <c r="BN64" s="286">
        <f>SUBTOTAL(109,Table1612677686[Column12])</f>
        <v>4390</v>
      </c>
      <c r="BO64" s="274"/>
      <c r="BP64" s="287"/>
      <c r="BQ64" s="288">
        <f>SUBTOTAL(109,Table1612677686[اجمالي])</f>
        <v>19000</v>
      </c>
      <c r="BR64" s="289">
        <f>Table1612677686[[#Totals],[اجمالي]]/$R$68</f>
        <v>0.081190856200310663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.75">
      <c r="A65" s="200"/>
      <c r="L65" s="518" t="s">
        <v>58</v>
      </c>
      <c r="M65" s="519"/>
      <c r="N65" s="520" t="s">
        <v>58</v>
      </c>
      <c r="O65" s="518"/>
      <c r="P65" s="518"/>
      <c r="Q65" s="521"/>
      <c r="R65" s="521"/>
      <c r="S65" s="522">
        <f>SUBTOTAL(109,Table16126776[Column12])</f>
        <v>1500</v>
      </c>
      <c r="T65" s="518"/>
      <c r="U65" s="523"/>
      <c r="V65" s="524">
        <f>SUBTOTAL(109,Table16126776[اجمالي])</f>
        <v>8400</v>
      </c>
      <c r="W65" s="525">
        <f>Table16126776[[#Totals],[اجمالي]]/$R$68</f>
        <v>0.035894904846453135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622"/>
      <c r="BK65" s="622"/>
      <c r="BL65" s="622"/>
      <c r="BM65" s="622"/>
      <c r="BN65" s="622"/>
      <c r="BO65" s="622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.75">
      <c r="A66" s="200"/>
      <c r="L66" s="216"/>
      <c r="M66" s="216"/>
      <c r="N66" s="217"/>
      <c r="O66" s="622"/>
      <c r="P66" s="622"/>
      <c r="Q66" s="622"/>
      <c r="R66" s="622"/>
      <c r="S66" s="622"/>
      <c r="T66" s="622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9</v>
      </c>
      <c r="BJ66" s="211" t="s">
        <v>152</v>
      </c>
      <c r="BK66" s="211" t="s">
        <v>153</v>
      </c>
      <c r="BL66" s="211" t="s">
        <v>154</v>
      </c>
      <c r="BM66" s="211" t="s">
        <v>30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.75">
      <c r="A67" s="200"/>
      <c r="L67" s="211"/>
      <c r="M67" s="211"/>
      <c r="N67" s="218" t="s">
        <v>9</v>
      </c>
      <c r="O67" s="211" t="s">
        <v>152</v>
      </c>
      <c r="P67" s="211" t="s">
        <v>153</v>
      </c>
      <c r="Q67" s="211" t="s">
        <v>154</v>
      </c>
      <c r="R67" s="211" t="s">
        <v>30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155</v>
      </c>
      <c r="BJ67" s="214"/>
      <c r="BK67" s="211"/>
      <c r="BL67" s="290"/>
      <c r="BM67" s="291">
        <f>Table1612677686[[#Totals],[اجمالي]]+Table1613687787[[#Totals],[اجمالي]]+Table13597166[[#Totals],[اجمالي]]+Table16627383[[#Totals],[اجمالي]]+Table15617282[[#Totals],[اجمالي]]+Table1588090[[#Totals],[اجمالي]]</f>
        <v>152166.65</v>
      </c>
      <c r="BN67" s="211"/>
      <c r="BO67" s="211"/>
      <c r="BP67" s="243"/>
      <c r="BQ67" s="292"/>
      <c r="BR67" s="293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.75">
      <c r="A68" s="200"/>
      <c r="L68" s="211"/>
      <c r="M68" s="219"/>
      <c r="N68" s="213" t="s">
        <v>155</v>
      </c>
      <c r="O68" s="214"/>
      <c r="P68" s="211"/>
      <c r="Q68" s="290"/>
      <c r="R68" s="291">
        <f>Table16126776[[#Totals],[اجمالي]]+Table16136877[[#Totals],[اجمالي]]+Table135971[[#Totals],[اجمالي]]+Table166273[[#Totals],[اجمالي]]+Table156172[[#Totals],[اجمالي]]+Table15880[[#Totals],[اجمالي]]</f>
        <v>234016.5</v>
      </c>
      <c r="S68" s="211"/>
      <c r="T68" s="211"/>
      <c r="U68" s="243"/>
      <c r="V68" s="292"/>
      <c r="W68" s="293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7"/>
      <c r="BH68" s="278"/>
      <c r="BI68" s="279" t="s">
        <v>156</v>
      </c>
      <c r="BJ68" s="280"/>
      <c r="BK68" s="277"/>
      <c r="BL68" s="294">
        <f>IF((BL63="المقطم"),0.3,IF((BL63="التجمع"),0.3,IF((BL63="الشيخ زايد"),0.3,IF((BL63="الاسكندرية"),0.5,0.35))))</f>
        <v>0.3</v>
      </c>
      <c r="BM68" s="295">
        <f>BM67*(1+Table18707989[[#This Row],[Column3]])</f>
        <v>197816.645</v>
      </c>
      <c r="BN68" s="277"/>
      <c r="BO68" s="277"/>
      <c r="BP68" s="296"/>
      <c r="BQ68" s="297"/>
      <c r="BR68" s="298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.75">
      <c r="A69" s="200"/>
      <c r="L69" s="277"/>
      <c r="M69" s="278"/>
      <c r="N69" s="279" t="s">
        <v>156</v>
      </c>
      <c r="O69" s="280"/>
      <c r="P69" s="277"/>
      <c r="Q69" s="294">
        <f>IF((Q64="المقطم"),0.3,IF((Q64="التجمع"),0.3,IF((Q64="الشيخ زايد"),0.3,IF((Q64="الاسكندرية"),0.5,0.35))))</f>
        <v>0.5</v>
      </c>
      <c r="R69" s="295">
        <f>R68*(1+Table187079[[#This Row],[Column3]])</f>
        <v>351024.75</v>
      </c>
      <c r="S69" s="277"/>
      <c r="T69" s="277"/>
      <c r="U69" s="296"/>
      <c r="V69" s="297"/>
      <c r="W69" s="298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300"/>
      <c r="AO69" s="300"/>
      <c r="AP69" s="300"/>
      <c r="AQ69" s="300"/>
      <c r="AR69" s="300"/>
      <c r="AS69" s="300"/>
      <c r="AT69" s="305"/>
      <c r="AU69" s="216"/>
      <c r="AV69" s="306"/>
      <c r="AW69" s="269"/>
      <c r="AX69" s="269"/>
      <c r="AY69" s="269"/>
      <c r="AZ69" s="269"/>
      <c r="BA69" s="269"/>
      <c r="BB69" s="269"/>
      <c r="BC69" s="269"/>
      <c r="BD69" s="269"/>
      <c r="BE69" s="269"/>
      <c r="BF69" s="269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.75">
      <c r="A70" s="268"/>
      <c r="B70" s="269"/>
      <c r="C70" s="269"/>
      <c r="D70" s="269"/>
      <c r="E70" s="269"/>
      <c r="F70" s="269"/>
      <c r="G70" s="269"/>
      <c r="H70" s="269"/>
      <c r="I70" s="269"/>
      <c r="J70" s="269"/>
      <c r="K70" s="269"/>
      <c r="X70" s="300"/>
      <c r="Y70" s="300"/>
      <c r="Z70" s="300"/>
      <c r="AA70" s="300"/>
      <c r="AB70" s="300"/>
      <c r="AC70" s="300"/>
      <c r="AD70" s="300"/>
      <c r="AE70" s="300"/>
      <c r="AF70" s="300"/>
      <c r="AG70" s="300"/>
      <c r="AH70" s="300"/>
      <c r="AI70" s="300"/>
      <c r="AJ70" s="300"/>
      <c r="AK70" s="300"/>
      <c r="AL70" s="300"/>
      <c r="AM70" s="300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.75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624" t="s">
        <v>0</v>
      </c>
      <c r="BH71" s="624"/>
      <c r="BI71" s="624"/>
      <c r="BJ71" s="311" t="s">
        <v>1</v>
      </c>
      <c r="BK71" s="311" t="s">
        <v>2</v>
      </c>
      <c r="BL71" s="312" t="s">
        <v>3</v>
      </c>
      <c r="BM71" s="316" t="s">
        <v>4</v>
      </c>
      <c r="BN71" s="316" t="s">
        <v>5</v>
      </c>
      <c r="BO71" s="316" t="s">
        <v>6</v>
      </c>
      <c r="BP71" s="316" t="s">
        <v>7</v>
      </c>
      <c r="BQ71" s="316" t="s">
        <v>8</v>
      </c>
      <c r="BR71" s="226"/>
      <c r="BS71" s="300"/>
      <c r="BT71" s="300"/>
      <c r="BU71" s="300"/>
      <c r="BV71" s="300"/>
      <c r="BW71" s="300"/>
      <c r="BX71" s="300"/>
      <c r="BY71" s="300"/>
      <c r="BZ71" s="300"/>
      <c r="CA71" s="300"/>
      <c r="CB71" s="300"/>
      <c r="CC71" s="300"/>
      <c r="CD71" s="300"/>
      <c r="CE71" s="300"/>
      <c r="CF71" s="300"/>
      <c r="CG71" s="300"/>
      <c r="CH71" s="300"/>
      <c r="CI71" s="300"/>
      <c r="CJ71" s="300"/>
      <c r="CK71" s="300"/>
      <c r="CL71" s="300"/>
      <c r="CM71" s="300"/>
      <c r="CN71" s="300"/>
      <c r="CO71" s="305"/>
    </row>
    <row r="72" ht="21">
      <c r="A72" s="200"/>
      <c r="L72" s="624" t="s">
        <v>0</v>
      </c>
      <c r="M72" s="624"/>
      <c r="N72" s="624"/>
      <c r="O72" s="281" t="s">
        <v>1</v>
      </c>
      <c r="P72" s="281" t="s">
        <v>2</v>
      </c>
      <c r="Q72" s="299" t="s">
        <v>3</v>
      </c>
      <c r="R72" s="225" t="s">
        <v>4</v>
      </c>
      <c r="S72" s="225" t="s">
        <v>5</v>
      </c>
      <c r="T72" s="225" t="s">
        <v>6</v>
      </c>
      <c r="U72" s="225" t="s">
        <v>7</v>
      </c>
      <c r="V72" s="225" t="s">
        <v>8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70" t="s">
        <v>594</v>
      </c>
      <c r="AW72" s="271">
        <f>(BA72*AY72)/10000</f>
        <v>20</v>
      </c>
      <c r="AX72" s="272" t="s">
        <v>427</v>
      </c>
      <c r="AY72" s="273">
        <f>تسعير!BE54</f>
        <v>400</v>
      </c>
      <c r="AZ72" s="272" t="s">
        <v>125</v>
      </c>
      <c r="BA72" s="273">
        <f>تسعير!BE53</f>
        <v>500</v>
      </c>
      <c r="BC72" s="167"/>
      <c r="BD72" s="167" t="str">
        <f>تسعير!BE52</f>
        <v>بالتات</v>
      </c>
      <c r="BE72" s="167"/>
      <c r="BG72" s="634"/>
      <c r="BH72" s="634"/>
      <c r="BI72" s="634"/>
      <c r="BJ72" s="313"/>
      <c r="BK72" s="313"/>
      <c r="BL72" s="314">
        <f>BJ72*BK72</f>
        <v>0</v>
      </c>
      <c r="BM72" s="317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634"/>
      <c r="M73" s="634"/>
      <c r="N73" s="634"/>
      <c r="O73" s="282"/>
      <c r="P73" s="282"/>
      <c r="Q73" s="301">
        <f>O73*P73</f>
        <v>0</v>
      </c>
      <c r="R73" s="302" t="e">
        <f>R140/Q73</f>
        <v>#DIV/0!</v>
      </c>
      <c r="S73" s="303">
        <f>Sheet2!B12</f>
        <v>50000</v>
      </c>
      <c r="T73" s="303">
        <f>Sheet2!B13</f>
        <v>55000</v>
      </c>
      <c r="U73" s="303">
        <f>Sheet2!B14</f>
        <v>230000</v>
      </c>
      <c r="V73" s="303">
        <f>Sheet2!B15</f>
        <v>60000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9</v>
      </c>
      <c r="AW73" s="194" t="s">
        <v>28</v>
      </c>
      <c r="AX73" s="194" t="s">
        <v>558</v>
      </c>
      <c r="AY73" s="194" t="s">
        <v>30</v>
      </c>
      <c r="AZ73" s="194" t="s">
        <v>559</v>
      </c>
      <c r="BA73" s="194" t="s">
        <v>560</v>
      </c>
      <c r="BB73" s="167"/>
      <c r="BC73" s="198" t="s">
        <v>561</v>
      </c>
      <c r="BD73" s="198"/>
      <c r="BE73" s="198" t="s">
        <v>562</v>
      </c>
      <c r="BF73" s="167"/>
      <c r="BG73" s="636" t="s">
        <v>17</v>
      </c>
      <c r="BH73" s="636"/>
      <c r="BI73" s="315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304" t="s">
        <v>18</v>
      </c>
      <c r="BM73" s="633">
        <f>NOW()</f>
        <v>45447.291791377313</v>
      </c>
      <c r="BN73" s="633"/>
      <c r="BO73" s="633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44" t="s">
        <v>556</v>
      </c>
      <c r="B74" s="545">
        <f>(F74*D74)/10000</f>
        <v>13.394</v>
      </c>
      <c r="C74" s="546" t="s">
        <v>427</v>
      </c>
      <c r="D74" s="547">
        <f>تسعير!BE34</f>
        <v>362</v>
      </c>
      <c r="E74" s="546" t="s">
        <v>125</v>
      </c>
      <c r="F74" s="547">
        <f>تسعير!BE33</f>
        <v>370</v>
      </c>
      <c r="G74" s="546" t="s">
        <v>173</v>
      </c>
      <c r="H74" s="547" t="str">
        <f>تسعير!BE26</f>
        <v>خشبي</v>
      </c>
      <c r="I74" s="548" t="str">
        <f>تسعير!BE32</f>
        <v>قواعد عادية</v>
      </c>
      <c r="J74" s="548"/>
      <c r="K74" s="167"/>
      <c r="L74" s="635" t="s">
        <v>17</v>
      </c>
      <c r="M74" s="635"/>
      <c r="N74" s="283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B22</v>
      </c>
      <c r="O74" s="207"/>
      <c r="P74" s="207"/>
      <c r="Q74" s="304" t="s">
        <v>18</v>
      </c>
      <c r="R74" s="633">
        <f>NOW()</f>
        <v>45447.291791377313</v>
      </c>
      <c r="S74" s="633"/>
      <c r="T74" s="633"/>
      <c r="U74" s="235"/>
      <c r="V74" s="235"/>
      <c r="W74" s="235"/>
      <c r="X74" s="207"/>
      <c r="Y74" s="207" t="s">
        <v>9</v>
      </c>
      <c r="Z74" s="207" t="s">
        <v>10</v>
      </c>
      <c r="AA74" s="207" t="s">
        <v>11</v>
      </c>
      <c r="AB74" s="207" t="s">
        <v>12</v>
      </c>
      <c r="AC74" s="207" t="s">
        <v>13</v>
      </c>
      <c r="AD74" s="207" t="s">
        <v>14</v>
      </c>
      <c r="AE74" s="207" t="s">
        <v>15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563</v>
      </c>
      <c r="AW74" s="196">
        <f>ROUNDUP((12+((ROUNDUP((AY72-210),18))/18)),0)</f>
        <v>23</v>
      </c>
      <c r="AX74" s="197">
        <f>BA72-16.5</f>
        <v>483.5</v>
      </c>
      <c r="AY74" s="194" t="s">
        <v>564</v>
      </c>
      <c r="AZ74" s="194">
        <v>2</v>
      </c>
      <c r="BA74" s="194">
        <f>IF((تسعير!$BE$46="سادة"),(BE74*BC74*AZ74*(Sheet2!$B$14+12000)/1000),(BE74*BC74*AZ74*(Sheet2!$B$14+Sheet2!$B$15)/1000))</f>
        <v>66700</v>
      </c>
      <c r="BC74" s="198">
        <f>IF(AND((AX74&gt;=150),(AX74&lt;201)),4,IF(AND((AX74&gt;=201),(AX74&lt;251)),5,IF(AND((AX74&gt;=251),(AX74&lt;401)),4,IF(AND((AX74&gt;=401),(AX74&lt;501)),5,0))))</f>
        <v>5</v>
      </c>
      <c r="BD74" s="308">
        <f>(BC74*100)/AX74</f>
        <v>1.0341261633919339</v>
      </c>
      <c r="BE74" s="185">
        <f>AW74/(ROUNDDOWN(BD74,0))</f>
        <v>23</v>
      </c>
      <c r="BG74" s="208"/>
      <c r="BH74" s="208"/>
      <c r="BI74" s="209"/>
      <c r="BJ74" s="629" t="s">
        <v>20</v>
      </c>
      <c r="BK74" s="629"/>
      <c r="BL74" s="629"/>
      <c r="BM74" s="629"/>
      <c r="BN74" s="629"/>
      <c r="BO74" s="629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.75">
      <c r="A75" s="549" t="s">
        <v>9</v>
      </c>
      <c r="B75" s="550" t="s">
        <v>28</v>
      </c>
      <c r="C75" s="550" t="s">
        <v>558</v>
      </c>
      <c r="D75" s="550" t="s">
        <v>30</v>
      </c>
      <c r="E75" s="550" t="s">
        <v>559</v>
      </c>
      <c r="F75" s="550" t="s">
        <v>560</v>
      </c>
      <c r="G75" s="540"/>
      <c r="H75" s="551" t="s">
        <v>561</v>
      </c>
      <c r="I75" s="551"/>
      <c r="J75" s="551" t="s">
        <v>562</v>
      </c>
      <c r="L75" s="208"/>
      <c r="M75" s="208"/>
      <c r="N75" s="209"/>
      <c r="O75" s="629" t="s">
        <v>20</v>
      </c>
      <c r="P75" s="629"/>
      <c r="Q75" s="629"/>
      <c r="R75" s="629"/>
      <c r="S75" s="629"/>
      <c r="T75" s="629"/>
      <c r="U75" s="236"/>
      <c r="V75" s="236"/>
      <c r="W75" s="236"/>
      <c r="X75" s="207"/>
      <c r="Y75" s="216" t="s">
        <v>16</v>
      </c>
      <c r="Z75" s="216">
        <v>0</v>
      </c>
      <c r="AA75" s="216">
        <v>0</v>
      </c>
      <c r="AB75" s="216">
        <v>0</v>
      </c>
      <c r="AC75" s="216">
        <v>500</v>
      </c>
      <c r="AD75" s="216">
        <v>1000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565</v>
      </c>
      <c r="AW75" s="194">
        <v>2</v>
      </c>
      <c r="AX75" s="196">
        <f>BA72</f>
        <v>500</v>
      </c>
      <c r="AY75" s="194" t="s">
        <v>564</v>
      </c>
      <c r="AZ75" s="194">
        <v>1.7</v>
      </c>
      <c r="BA75" s="194">
        <f>IF((تسعير!$BE$46="سادة"),(BE75*BC75*AZ75*(Sheet2!$B$14+12000)/1000),(BE75*BC75*AZ75*(Sheet2!$B$14+Sheet2!$B$15)/1000))</f>
        <v>4930</v>
      </c>
      <c r="BC75" s="198">
        <f>IF(AND((AX75&gt;=200),(AX75&lt;350)),5,IF(AND((AX75&gt;=350),(AX75&lt;400)),7,IF(AND((AX75&gt;=400),(AX75&lt;501)),5,IF(AND((AX75&gt;=501),(AX75&lt;701)),7,0))))</f>
        <v>5</v>
      </c>
      <c r="BD75" s="308">
        <f>(BC75*100)/AX75</f>
        <v>1</v>
      </c>
      <c r="BE75" s="185">
        <f>AW75/(ROUNDDOWN(BD75,0))</f>
        <v>2</v>
      </c>
      <c r="BG75" s="208" t="s">
        <v>27</v>
      </c>
      <c r="BH75" s="208" t="s">
        <v>28</v>
      </c>
      <c r="BI75" s="210" t="s">
        <v>29</v>
      </c>
      <c r="BJ75" s="208" t="s">
        <v>30</v>
      </c>
      <c r="BK75" s="208" t="s">
        <v>9</v>
      </c>
      <c r="BL75" s="208" t="s">
        <v>31</v>
      </c>
      <c r="BM75" s="237" t="s">
        <v>32</v>
      </c>
      <c r="BN75" s="237" t="s">
        <v>33</v>
      </c>
      <c r="BO75" s="237" t="s">
        <v>568</v>
      </c>
      <c r="BP75" s="237" t="s">
        <v>35</v>
      </c>
      <c r="BQ75" s="238" t="s">
        <v>36</v>
      </c>
      <c r="BR75" s="237" t="s">
        <v>37</v>
      </c>
      <c r="BS75" s="207"/>
      <c r="BT75" s="207" t="s">
        <v>9</v>
      </c>
      <c r="BU75" s="207" t="s">
        <v>10</v>
      </c>
      <c r="BV75" s="207" t="s">
        <v>11</v>
      </c>
      <c r="BW75" s="207" t="s">
        <v>12</v>
      </c>
      <c r="BX75" s="207" t="s">
        <v>13</v>
      </c>
      <c r="BY75" s="207" t="s">
        <v>14</v>
      </c>
      <c r="BZ75" s="207" t="s">
        <v>15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.75">
      <c r="A76" s="549" t="s">
        <v>563</v>
      </c>
      <c r="B76" s="552">
        <f>ROUNDUP((12+((ROUNDUP((D74-210),15))/15)),0)</f>
        <v>23</v>
      </c>
      <c r="C76" s="553">
        <f>F74-16.5</f>
        <v>353.5</v>
      </c>
      <c r="D76" s="550" t="s">
        <v>564</v>
      </c>
      <c r="E76" s="550">
        <v>2.3</v>
      </c>
      <c r="F76" s="550">
        <f ref="F76:F81" t="shared" si="22">IF(($H$74="سادة"),(J76*H76*E76*($U$73+12000)/1000),(J76*H76*E76*($U$73+40000)/1000))</f>
        <v>57132</v>
      </c>
      <c r="G76" s="540"/>
      <c r="H76" s="551">
        <f>IF(AND((C76&gt;=150),(C76&lt;201)),4,IF(AND((C76&gt;=201),(C76&lt;251)),5,IF(AND((C76&gt;=251),(C76&lt;401)),4,IF(AND((C76&gt;=401),(C76&lt;501)),5,0))))</f>
        <v>4</v>
      </c>
      <c r="I76" s="284">
        <f ref="I76:I81" t="shared" si="23">(H76*100)/C76</f>
        <v>1.1315417256011315</v>
      </c>
      <c r="J76" s="554">
        <f ref="J76:J81" t="shared" si="24">B76/(ROUNDDOWN(I76,0))</f>
        <v>23</v>
      </c>
      <c r="L76" s="208" t="s">
        <v>27</v>
      </c>
      <c r="M76" s="208" t="s">
        <v>28</v>
      </c>
      <c r="N76" s="210" t="s">
        <v>29</v>
      </c>
      <c r="O76" s="208" t="s">
        <v>30</v>
      </c>
      <c r="P76" s="208" t="s">
        <v>9</v>
      </c>
      <c r="Q76" s="208" t="s">
        <v>31</v>
      </c>
      <c r="R76" s="237" t="s">
        <v>32</v>
      </c>
      <c r="S76" s="237" t="s">
        <v>33</v>
      </c>
      <c r="T76" s="237" t="s">
        <v>568</v>
      </c>
      <c r="U76" s="237" t="s">
        <v>35</v>
      </c>
      <c r="V76" s="238" t="s">
        <v>36</v>
      </c>
      <c r="W76" s="237" t="s">
        <v>37</v>
      </c>
      <c r="X76" s="207"/>
      <c r="Y76" s="216" t="s">
        <v>19</v>
      </c>
      <c r="Z76" s="216">
        <v>60</v>
      </c>
      <c r="AA76" s="216">
        <v>120</v>
      </c>
      <c r="AB76" s="216">
        <v>75</v>
      </c>
      <c r="AC76" s="216">
        <v>1300</v>
      </c>
      <c r="AD76" s="216">
        <v>2000</v>
      </c>
      <c r="AE76" s="216">
        <v>500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9</v>
      </c>
      <c r="AP76" s="207" t="s">
        <v>30</v>
      </c>
      <c r="AQ76" s="207" t="s">
        <v>154</v>
      </c>
      <c r="AR76" s="207" t="s">
        <v>26</v>
      </c>
      <c r="AS76" s="207" t="s">
        <v>450</v>
      </c>
      <c r="AT76" s="255"/>
      <c r="AU76" s="216"/>
      <c r="AV76" s="193" t="s">
        <v>567</v>
      </c>
      <c r="AW76" s="194">
        <v>2</v>
      </c>
      <c r="AX76" s="196">
        <f>AY72</f>
        <v>400</v>
      </c>
      <c r="AY76" s="194" t="s">
        <v>564</v>
      </c>
      <c r="AZ76" s="194">
        <v>1.7</v>
      </c>
      <c r="BA76" s="194">
        <f>IF((تسعير!$BE$46="سادة"),(BE76*BC76*AZ76*(Sheet2!$B$14+12000)/1000),(BE76*BC76*AZ76*(Sheet2!$B$14+Sheet2!$B$15)/1000))</f>
        <v>4930</v>
      </c>
      <c r="BB76" s="187"/>
      <c r="BC76" s="198">
        <f>IF(AND((AX76&gt;=200),(AX76&lt;350)),5,IF(AND((AX76&gt;=350),(AX76&lt;400)),7,IF(AND((AX76&gt;=400),(AX76&lt;501)),5,IF(AND((AX76&gt;=501),(AX76&lt;701)),7,0))))</f>
        <v>5</v>
      </c>
      <c r="BD76" s="308">
        <f>(BC76*100)/AX76</f>
        <v>1.25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572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4200</v>
      </c>
      <c r="BQ76" s="240">
        <f>BH76*BP76</f>
        <v>8400</v>
      </c>
      <c r="BR76" s="241">
        <f>(BQ76)/$R$68</f>
        <v>0.035894904846453135</v>
      </c>
      <c r="BS76" s="207"/>
      <c r="BT76" s="216" t="s">
        <v>16</v>
      </c>
      <c r="BU76" s="216">
        <v>0</v>
      </c>
      <c r="BV76" s="216">
        <v>0</v>
      </c>
      <c r="BW76" s="216">
        <v>0</v>
      </c>
      <c r="BX76" s="216">
        <v>500</v>
      </c>
      <c r="BY76" s="216">
        <v>1000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.75">
      <c r="A77" s="549" t="s">
        <v>565</v>
      </c>
      <c r="B77" s="550">
        <v>2</v>
      </c>
      <c r="C77" s="552">
        <f>F74</f>
        <v>370</v>
      </c>
      <c r="D77" s="550" t="s">
        <v>564</v>
      </c>
      <c r="E77" s="550">
        <v>3.8</v>
      </c>
      <c r="F77" s="550">
        <f t="shared" si="22"/>
        <v>10260</v>
      </c>
      <c r="G77" s="555"/>
      <c r="H77" s="551">
        <f>IF(AND((C77&gt;=200),(C77&lt;250)),5,IF(AND((C77&gt;=250),(C77&lt;=350)),7,IF(AND((C77&gt;350),(C77&lt;501)),5,IF(AND((C77&gt;=501),(C77&lt;701)),7,0))))</f>
        <v>5</v>
      </c>
      <c r="I77" s="284">
        <f t="shared" si="23"/>
        <v>1.3513513513513513</v>
      </c>
      <c r="J77" s="554">
        <f t="shared" si="24"/>
        <v>2</v>
      </c>
      <c r="K77" s="187"/>
      <c r="L77" s="211">
        <v>1</v>
      </c>
      <c r="M77" s="212">
        <f>IF(OR((N74="a11"),(N74="a112"),(N74="a21"),(N74="a22"),(N74="a31"),(N74="a32")),2,4)</f>
        <v>4</v>
      </c>
      <c r="N77" s="213" t="s">
        <v>572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14.399999999999999</v>
      </c>
      <c r="R77" s="211"/>
      <c r="S77" s="211">
        <v>84</v>
      </c>
      <c r="T77" s="211">
        <f>Table15880101[[#This Row],[المسطح]]*Table15880101[[#This Row],[عدد]]</f>
        <v>57.599999999999994</v>
      </c>
      <c r="U77" s="239">
        <f>S77*$S$2/1000</f>
        <v>4200</v>
      </c>
      <c r="V77" s="240">
        <f>M77*U77</f>
        <v>16800</v>
      </c>
      <c r="W77" s="241">
        <f>(V77)/$R$68</f>
        <v>0.07178980969290627</v>
      </c>
      <c r="X77" s="207"/>
      <c r="Y77" s="216" t="s">
        <v>21</v>
      </c>
      <c r="Z77" s="216">
        <v>120</v>
      </c>
      <c r="AA77" s="216">
        <v>250</v>
      </c>
      <c r="AB77" s="216">
        <v>75</v>
      </c>
      <c r="AC77" s="216">
        <v>1500</v>
      </c>
      <c r="AD77" s="216">
        <v>2300</v>
      </c>
      <c r="AE77" s="216">
        <v>120</v>
      </c>
      <c r="AF77" s="207" t="s">
        <v>22</v>
      </c>
      <c r="AG77" s="207"/>
      <c r="AH77" s="207"/>
      <c r="AI77" s="207"/>
      <c r="AJ77" s="207" t="s">
        <v>23</v>
      </c>
      <c r="AK77" s="207" t="s">
        <v>24</v>
      </c>
      <c r="AL77" s="207" t="s">
        <v>25</v>
      </c>
      <c r="AM77" s="207" t="s">
        <v>26</v>
      </c>
      <c r="AN77" s="207"/>
      <c r="AO77" s="207" t="s">
        <v>452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571</v>
      </c>
      <c r="AW77" s="194">
        <v>1</v>
      </c>
      <c r="AX77" s="194">
        <f>(15.6*(AW74-1)+4)</f>
        <v>347.2</v>
      </c>
      <c r="AY77" s="194" t="s">
        <v>564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574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1850</v>
      </c>
      <c r="BQ77" s="240">
        <f>BH77*BP77</f>
        <v>7400</v>
      </c>
      <c r="BR77" s="241">
        <f>(BQ77)/$R$68</f>
        <v>0.031621701888542048</v>
      </c>
      <c r="BS77" s="207"/>
      <c r="BT77" s="216" t="s">
        <v>19</v>
      </c>
      <c r="BU77" s="216">
        <v>60</v>
      </c>
      <c r="BV77" s="216">
        <v>120</v>
      </c>
      <c r="BW77" s="216">
        <v>75</v>
      </c>
      <c r="BX77" s="216">
        <v>1300</v>
      </c>
      <c r="BY77" s="216">
        <v>2000</v>
      </c>
      <c r="BZ77" s="216">
        <v>500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.75">
      <c r="A78" s="549" t="s">
        <v>567</v>
      </c>
      <c r="B78" s="550">
        <v>2</v>
      </c>
      <c r="C78" s="552">
        <f>D74</f>
        <v>362</v>
      </c>
      <c r="D78" s="550" t="s">
        <v>564</v>
      </c>
      <c r="E78" s="550">
        <v>3.8</v>
      </c>
      <c r="F78" s="550">
        <f t="shared" si="22"/>
        <v>10260</v>
      </c>
      <c r="G78" s="555"/>
      <c r="H78" s="551">
        <f>IF(AND((C78&gt;=200),(C78&lt;=250)),5,IF(AND((C78&gt;250),(C78&lt;=350)),7,IF(AND((C78&gt;350),(C78&lt;501)),5,IF(AND((C78&gt;=501),(C78&lt;701)),7,0))))</f>
        <v>5</v>
      </c>
      <c r="I78" s="284">
        <f t="shared" si="23"/>
        <v>1.3812154696132597</v>
      </c>
      <c r="J78" s="554">
        <f t="shared" si="24"/>
        <v>2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4</v>
      </c>
      <c r="N78" s="213" t="s">
        <v>574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9.6000000000000014</v>
      </c>
      <c r="R78" s="211"/>
      <c r="S78" s="211">
        <v>37</v>
      </c>
      <c r="T78" s="211">
        <f>Table15880101[[#This Row],[المسطح]]*Table15880101[[#This Row],[عدد]]</f>
        <v>38.400000000000006</v>
      </c>
      <c r="U78" s="239">
        <f>S78*$S$2/1000</f>
        <v>1850</v>
      </c>
      <c r="V78" s="240">
        <f>M78*U78</f>
        <v>7400</v>
      </c>
      <c r="W78" s="241">
        <f>(V78)/$R$68</f>
        <v>0.031621701888542048</v>
      </c>
      <c r="X78" s="207"/>
      <c r="Y78" s="216" t="s">
        <v>38</v>
      </c>
      <c r="Z78" s="216">
        <v>120</v>
      </c>
      <c r="AA78" s="216">
        <v>250</v>
      </c>
      <c r="AB78" s="216">
        <v>75</v>
      </c>
      <c r="AC78" s="216">
        <v>1600</v>
      </c>
      <c r="AD78" s="216">
        <v>2300</v>
      </c>
      <c r="AE78" s="216">
        <v>120</v>
      </c>
      <c r="AF78" s="207" t="s">
        <v>39</v>
      </c>
      <c r="AG78" s="207"/>
      <c r="AH78" s="207"/>
      <c r="AI78" s="207"/>
      <c r="AJ78" s="233" t="s">
        <v>40</v>
      </c>
      <c r="AK78" s="233">
        <v>0.4</v>
      </c>
      <c r="AL78" s="237" t="s">
        <v>41</v>
      </c>
      <c r="AM78" s="216">
        <f>IF((تسعير!BE25="A"),IF(((Table15880101[[#Totals],[المسطح]]+Table16627394[[#Totals],[Column12]])&gt;0),(Table15880101[[#Totals],[المسطح]]+Table16627394[[#Totals],[Column12]]-Q82+1)*Table6637495[[#This Row],[المعدل]]),0)</f>
        <v>4.2400000000000011</v>
      </c>
      <c r="AN78" s="216"/>
      <c r="AO78" s="216" t="s">
        <v>454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575</v>
      </c>
      <c r="AW78" s="194"/>
      <c r="AX78" s="194">
        <f>AW74*2</f>
        <v>46</v>
      </c>
      <c r="AY78" s="194" t="s">
        <v>28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577</v>
      </c>
      <c r="BJ78" s="214">
        <v>0.03</v>
      </c>
      <c r="BK78" s="214">
        <v>0.03</v>
      </c>
      <c r="BL78" s="211">
        <f>(Table15880101112[[#This Row],[Column1]]+Table15880101112[[#This Row],[Column2]])*12*Table15880101112[[#This Row],[عدد]]</f>
        <v>2.88</v>
      </c>
      <c r="BM78" s="211"/>
      <c r="BN78" s="211">
        <v>5</v>
      </c>
      <c r="BO78" s="211">
        <f>Table15880101112[[#This Row],[المسطح]]*Table15880101112[[#This Row],[عدد]]</f>
        <v>11.52</v>
      </c>
      <c r="BP78" s="239">
        <f>BN78*$S$2/1000</f>
        <v>250</v>
      </c>
      <c r="BQ78" s="240">
        <f>BH78*BP78</f>
        <v>1000</v>
      </c>
      <c r="BR78" s="241">
        <f>(BQ78)/$R$68</f>
        <v>0.0042732029579110875</v>
      </c>
      <c r="BS78" s="207"/>
      <c r="BT78" s="216" t="s">
        <v>21</v>
      </c>
      <c r="BU78" s="216">
        <v>120</v>
      </c>
      <c r="BV78" s="216">
        <v>250</v>
      </c>
      <c r="BW78" s="216">
        <v>75</v>
      </c>
      <c r="BX78" s="216">
        <v>1500</v>
      </c>
      <c r="BY78" s="216">
        <v>2300</v>
      </c>
      <c r="BZ78" s="216">
        <v>120</v>
      </c>
      <c r="CA78" s="207" t="s">
        <v>22</v>
      </c>
      <c r="CB78" s="207"/>
      <c r="CC78" s="207"/>
      <c r="CD78" s="207"/>
      <c r="CE78" s="207" t="s">
        <v>23</v>
      </c>
      <c r="CF78" s="207" t="s">
        <v>24</v>
      </c>
      <c r="CG78" s="207" t="s">
        <v>25</v>
      </c>
      <c r="CH78" s="207" t="s">
        <v>26</v>
      </c>
      <c r="CI78" s="207"/>
      <c r="CJ78" s="207" t="s">
        <v>9</v>
      </c>
      <c r="CK78" s="207" t="s">
        <v>30</v>
      </c>
      <c r="CL78" s="207" t="s">
        <v>154</v>
      </c>
      <c r="CM78" s="207" t="s">
        <v>26</v>
      </c>
      <c r="CN78" s="207" t="s">
        <v>450</v>
      </c>
      <c r="CO78" s="255"/>
    </row>
    <row r="79" ht="18.75">
      <c r="A79" s="549" t="s">
        <v>569</v>
      </c>
      <c r="B79" s="550">
        <v>2</v>
      </c>
      <c r="C79" s="552">
        <f>F74</f>
        <v>370</v>
      </c>
      <c r="D79" s="550" t="s">
        <v>564</v>
      </c>
      <c r="E79" s="550">
        <v>1.7</v>
      </c>
      <c r="F79" s="550">
        <f t="shared" si="22"/>
        <v>4590</v>
      </c>
      <c r="G79" s="555"/>
      <c r="H79" s="551">
        <f>IF(AND((C79&gt;=200),(C79&lt;=250)),5,IF(AND((C79&gt;250),(C79&lt;=350)),7,IF(AND((C79&gt;350),(C79&lt;501)),5,IF(AND((C79&gt;=501),(C79&lt;701)),7,0))))</f>
        <v>5</v>
      </c>
      <c r="I79" s="284">
        <f t="shared" si="23"/>
        <v>1.3513513513513513</v>
      </c>
      <c r="J79" s="554">
        <f t="shared" si="24"/>
        <v>2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4</v>
      </c>
      <c r="N79" s="213" t="s">
        <v>577</v>
      </c>
      <c r="O79" s="214">
        <v>0.03</v>
      </c>
      <c r="P79" s="214">
        <v>0.03</v>
      </c>
      <c r="Q79" s="211">
        <f>(Table15880101[[#This Row],[Column1]]+Table15880101[[#This Row],[Column2]])*12*Table15880101[[#This Row],[عدد]]</f>
        <v>2.88</v>
      </c>
      <c r="R79" s="211"/>
      <c r="S79" s="211">
        <v>5</v>
      </c>
      <c r="T79" s="211">
        <f>Table15880101[[#This Row],[المسطح]]*Table15880101[[#This Row],[عدد]]</f>
        <v>11.52</v>
      </c>
      <c r="U79" s="239">
        <f>S79*$S$2/1000</f>
        <v>250</v>
      </c>
      <c r="V79" s="240">
        <f>M79*U79</f>
        <v>1000</v>
      </c>
      <c r="W79" s="241">
        <f>(V79)/$R$68</f>
        <v>0.0042732029579110875</v>
      </c>
      <c r="X79" s="216"/>
      <c r="Y79" s="216" t="s">
        <v>44</v>
      </c>
      <c r="Z79" s="216">
        <v>120</v>
      </c>
      <c r="AA79" s="216">
        <v>250</v>
      </c>
      <c r="AB79" s="216">
        <v>75</v>
      </c>
      <c r="AC79" s="216">
        <v>1600</v>
      </c>
      <c r="AD79" s="216">
        <v>2300</v>
      </c>
      <c r="AE79" s="216">
        <v>120</v>
      </c>
      <c r="AF79" s="216"/>
      <c r="AG79" s="216"/>
      <c r="AH79" s="216"/>
      <c r="AI79" s="216"/>
      <c r="AJ79" s="216" t="s">
        <v>45</v>
      </c>
      <c r="AK79" s="216">
        <v>0.25</v>
      </c>
      <c r="AL79" s="216" t="s">
        <v>46</v>
      </c>
      <c r="AM79" s="216">
        <f>AM78*Table6637495[[#This Row],[المعدل]]+4</f>
        <v>5.0600000000000005</v>
      </c>
      <c r="AN79" s="216"/>
      <c r="AO79" s="216" t="s">
        <v>456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578</v>
      </c>
      <c r="AW79" s="194"/>
      <c r="AX79" s="194">
        <f>AW74*2</f>
        <v>46</v>
      </c>
      <c r="AY79" s="194" t="s">
        <v>28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572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4200</v>
      </c>
      <c r="BQ79" s="240">
        <f>BH79*BP79</f>
        <v>0</v>
      </c>
      <c r="BR79" s="241">
        <f>(BQ79)/$R$68</f>
        <v>0</v>
      </c>
      <c r="BS79" s="207"/>
      <c r="BT79" s="216" t="s">
        <v>38</v>
      </c>
      <c r="BU79" s="216">
        <v>120</v>
      </c>
      <c r="BV79" s="216">
        <v>250</v>
      </c>
      <c r="BW79" s="216">
        <v>75</v>
      </c>
      <c r="BX79" s="216">
        <v>1600</v>
      </c>
      <c r="BY79" s="216">
        <v>2300</v>
      </c>
      <c r="BZ79" s="216">
        <v>120</v>
      </c>
      <c r="CA79" s="207" t="s">
        <v>39</v>
      </c>
      <c r="CB79" s="207"/>
      <c r="CC79" s="207"/>
      <c r="CD79" s="207"/>
      <c r="CE79" s="233" t="s">
        <v>40</v>
      </c>
      <c r="CF79" s="233">
        <v>0.4</v>
      </c>
      <c r="CG79" s="237" t="s">
        <v>41</v>
      </c>
      <c r="CH79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4.3040000000000012</v>
      </c>
      <c r="CI79" s="207"/>
      <c r="CJ79" s="207" t="s">
        <v>452</v>
      </c>
      <c r="CK79" s="207">
        <v>0.03</v>
      </c>
      <c r="CL79" s="207">
        <v>0.03</v>
      </c>
      <c r="CM79" s="207"/>
      <c r="CN79" s="207"/>
      <c r="CO79" s="255"/>
    </row>
    <row r="80" ht="18.75">
      <c r="A80" s="549" t="s">
        <v>573</v>
      </c>
      <c r="B80" s="550">
        <v>2</v>
      </c>
      <c r="C80" s="552">
        <f>D74</f>
        <v>362</v>
      </c>
      <c r="D80" s="550" t="s">
        <v>564</v>
      </c>
      <c r="E80" s="550">
        <v>1.7</v>
      </c>
      <c r="F80" s="550">
        <f t="shared" si="22"/>
        <v>4590</v>
      </c>
      <c r="G80" s="555"/>
      <c r="H80" s="551">
        <f>IF(AND((C80&gt;=200),(C80&lt;=250)),5,IF(AND((C80&gt;250),(C80&lt;=350)),7,IF(AND((C80&gt;350),(C80&lt;501)),5,IF(AND((C80&gt;=501),(C80&lt;701)),7,0))))</f>
        <v>5</v>
      </c>
      <c r="I80" s="284">
        <f t="shared" si="23"/>
        <v>1.3812154696132597</v>
      </c>
      <c r="J80" s="554">
        <f t="shared" si="24"/>
        <v>2</v>
      </c>
      <c r="K80" s="187"/>
      <c r="L80" s="211">
        <v>4</v>
      </c>
      <c r="M80" s="212">
        <v>0</v>
      </c>
      <c r="N80" s="213" t="s">
        <v>572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4200</v>
      </c>
      <c r="V80" s="240">
        <f>M80*U80</f>
        <v>0</v>
      </c>
      <c r="W80" s="241">
        <f>(V80)/$R$68</f>
        <v>0</v>
      </c>
      <c r="X80" s="216"/>
      <c r="Y80" s="216" t="s">
        <v>48</v>
      </c>
      <c r="Z80" s="216">
        <v>75</v>
      </c>
      <c r="AA80" s="216">
        <v>100</v>
      </c>
      <c r="AB80" s="216">
        <v>75</v>
      </c>
      <c r="AC80" s="216">
        <v>2000</v>
      </c>
      <c r="AD80" s="216">
        <v>3500</v>
      </c>
      <c r="AE80" s="216">
        <v>250</v>
      </c>
      <c r="AF80" s="216"/>
      <c r="AG80" s="216"/>
      <c r="AH80" s="216"/>
      <c r="AI80" s="216"/>
      <c r="AJ80" s="216" t="s">
        <v>49</v>
      </c>
      <c r="AK80" s="216">
        <v>0.25</v>
      </c>
      <c r="AL80" s="211" t="s">
        <v>50</v>
      </c>
      <c r="AM80" s="216">
        <f>IF((تسعير!BE25="A"),IF(((Table15880101[[#Totals],[المسطح]]+Table16627394[[#Totals],[Column12]])&gt;0),(Table15880101[[#Totals],[المسطح]]+Table16627394[[#Totals],[Column12]]+1)*Table6637495[[#This Row],[المعدل]]),0)</f>
        <v>9.91</v>
      </c>
      <c r="AN80" s="216"/>
      <c r="AO80" s="216" t="s">
        <v>458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579</v>
      </c>
      <c r="AW80" s="194">
        <v>1</v>
      </c>
      <c r="AX80" s="196">
        <v>100</v>
      </c>
      <c r="AY80" s="194" t="s">
        <v>564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580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43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44</v>
      </c>
      <c r="BU80" s="216">
        <v>120</v>
      </c>
      <c r="BV80" s="216">
        <v>250</v>
      </c>
      <c r="BW80" s="216">
        <v>75</v>
      </c>
      <c r="BX80" s="216">
        <v>1600</v>
      </c>
      <c r="BY80" s="216">
        <v>2300</v>
      </c>
      <c r="BZ80" s="216">
        <v>120</v>
      </c>
      <c r="CA80" s="216"/>
      <c r="CB80" s="216"/>
      <c r="CC80" s="216"/>
      <c r="CD80" s="216"/>
      <c r="CE80" s="216" t="s">
        <v>45</v>
      </c>
      <c r="CF80" s="216">
        <v>0.25</v>
      </c>
      <c r="CG80" s="216" t="s">
        <v>46</v>
      </c>
      <c r="CH80" s="216">
        <f>CH79*Table6637495106[[#This Row],[المعدل]]+4</f>
        <v>5.0760000000000005</v>
      </c>
      <c r="CI80" s="216"/>
      <c r="CJ80" s="216" t="s">
        <v>454</v>
      </c>
      <c r="CK80" s="216">
        <v>0.05</v>
      </c>
      <c r="CL80" s="216">
        <v>0.05</v>
      </c>
      <c r="CM80" s="216"/>
      <c r="CN80" s="216"/>
      <c r="CO80" s="256"/>
    </row>
    <row r="81" ht="18.75">
      <c r="A81" s="549" t="s">
        <v>576</v>
      </c>
      <c r="B81" s="550">
        <v>2</v>
      </c>
      <c r="C81" s="550">
        <f>C76</f>
        <v>353.5</v>
      </c>
      <c r="D81" s="550" t="s">
        <v>564</v>
      </c>
      <c r="E81" s="550">
        <v>0.65</v>
      </c>
      <c r="F81" s="550">
        <f t="shared" si="22"/>
        <v>1404</v>
      </c>
      <c r="G81" s="555"/>
      <c r="H81" s="551">
        <f>IF(AND((C81&gt;=150),(C81&lt;201)),4,IF(AND((C81&gt;=201),(C81&lt;251)),5,IF(AND((C81&gt;=251),(C81&lt;401)),4,IF(AND((C81&gt;=401),(C81&lt;501)),5,0))))</f>
        <v>4</v>
      </c>
      <c r="I81" s="284">
        <f t="shared" si="23"/>
        <v>1.1315417256011315</v>
      </c>
      <c r="J81" s="554">
        <f t="shared" si="24"/>
        <v>2</v>
      </c>
      <c r="K81" s="187"/>
      <c r="L81" s="211">
        <v>5</v>
      </c>
      <c r="M81" s="212">
        <f>IF(OR((N74="B11"),(N74="B12"),(N74="B21"),(N74="B22"),(N74="B31"),(N74="B32")),3,0)</f>
        <v>3</v>
      </c>
      <c r="N81" s="215" t="s">
        <v>580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2.16</v>
      </c>
      <c r="R81" s="242" t="s">
        <v>43</v>
      </c>
      <c r="S81" s="211"/>
      <c r="T81" s="211">
        <f>Table15880101[[#This Row],[المسطح]]*Table15880101[[#This Row],[عدد]]</f>
        <v>6.48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52</v>
      </c>
      <c r="Z81" s="216">
        <v>30</v>
      </c>
      <c r="AA81" s="216">
        <v>30</v>
      </c>
      <c r="AB81" s="216">
        <v>75</v>
      </c>
      <c r="AC81" s="216">
        <v>800</v>
      </c>
      <c r="AD81" s="216">
        <v>1600</v>
      </c>
      <c r="AE81" s="216">
        <v>150</v>
      </c>
      <c r="AF81" s="216"/>
      <c r="AG81" s="216"/>
      <c r="AH81" s="216"/>
      <c r="AI81" s="216"/>
      <c r="AJ81" s="216" t="s">
        <v>53</v>
      </c>
      <c r="AK81" s="216">
        <v>0.4</v>
      </c>
      <c r="AL81" s="211" t="s">
        <v>50</v>
      </c>
      <c r="AM81" s="216">
        <f>IF((تسعير!BE25="A"),IF(((Table15880101[[#Totals],[المسطح]]+Table16627394[[#Totals],[Column12]])&gt;0),(Table15880101[[#Totals],[المسطح]]+Table16627394[[#Totals],[Column12]]-Q82+1)*Table6637495[[#This Row],[المعدل]]),0)</f>
        <v>4.2400000000000011</v>
      </c>
      <c r="AN81" s="216"/>
      <c r="AO81" s="216" t="s">
        <v>460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584</v>
      </c>
      <c r="AW81" s="194"/>
      <c r="AX81" s="194">
        <v>100</v>
      </c>
      <c r="AY81" s="194" t="s">
        <v>372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58</v>
      </c>
      <c r="BJ81" s="214"/>
      <c r="BK81" s="214"/>
      <c r="BL81" s="216">
        <f>SUBTOTAL(109,Table15880101112[المسطح])</f>
        <v>19.68</v>
      </c>
      <c r="BM81" s="211"/>
      <c r="BN81" s="211">
        <f>(BN76*BH76)+(BN77*BH77)+(BN78*BH78)+(BN79*BH79)</f>
        <v>336</v>
      </c>
      <c r="BO81" s="211">
        <f>SUBTOTAL(109,Table15880101112[اجمالي المسطح])</f>
        <v>64.320000000000007</v>
      </c>
      <c r="BP81" s="242"/>
      <c r="BQ81" s="240">
        <f>SUBTOTAL(109,Table15880101112[اجمالي])</f>
        <v>16800</v>
      </c>
      <c r="BR81" s="244">
        <f>Table15880101112[[#Totals],[اجمالي]]/$R$68</f>
        <v>0.07178980969290627</v>
      </c>
      <c r="BS81" s="216"/>
      <c r="BT81" s="216" t="s">
        <v>48</v>
      </c>
      <c r="BU81" s="216">
        <v>75</v>
      </c>
      <c r="BV81" s="216">
        <v>100</v>
      </c>
      <c r="BW81" s="216">
        <v>75</v>
      </c>
      <c r="BX81" s="216">
        <v>2000</v>
      </c>
      <c r="BY81" s="216">
        <v>3500</v>
      </c>
      <c r="BZ81" s="216">
        <v>250</v>
      </c>
      <c r="CA81" s="216"/>
      <c r="CB81" s="216"/>
      <c r="CC81" s="216"/>
      <c r="CD81" s="216"/>
      <c r="CE81" s="216" t="s">
        <v>49</v>
      </c>
      <c r="CF81" s="216">
        <v>0.25</v>
      </c>
      <c r="CG81" s="211" t="s">
        <v>50</v>
      </c>
      <c r="CH81" s="216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7.61</v>
      </c>
      <c r="CI81" s="216"/>
      <c r="CJ81" s="216" t="s">
        <v>456</v>
      </c>
      <c r="CK81" s="216">
        <v>0.07</v>
      </c>
      <c r="CL81" s="216">
        <v>0.07</v>
      </c>
      <c r="CM81" s="216"/>
      <c r="CN81" s="216"/>
      <c r="CO81" s="256"/>
    </row>
    <row r="82" ht="18.75">
      <c r="A82" s="549" t="s">
        <v>571</v>
      </c>
      <c r="B82" s="550">
        <v>2</v>
      </c>
      <c r="C82" s="550">
        <f>(15.6*(B76-1)+4)</f>
        <v>347.2</v>
      </c>
      <c r="D82" s="550" t="s">
        <v>564</v>
      </c>
      <c r="E82" s="550">
        <v>1000</v>
      </c>
      <c r="F82" s="550">
        <f>E82*B82</f>
        <v>2000</v>
      </c>
      <c r="G82" s="555"/>
      <c r="H82" s="556"/>
      <c r="I82" s="540"/>
      <c r="J82" s="540"/>
      <c r="K82" s="187"/>
      <c r="L82" s="211"/>
      <c r="M82" s="212"/>
      <c r="N82" s="213" t="s">
        <v>58</v>
      </c>
      <c r="O82" s="214"/>
      <c r="P82" s="214"/>
      <c r="Q82" s="216">
        <f>SUBTOTAL(109,Table15880101[المسطح])</f>
        <v>29.04</v>
      </c>
      <c r="R82" s="211"/>
      <c r="S82" s="211">
        <f>(S77*M77)+(S78*M78)+(M79*S79)+(S80*M80)</f>
        <v>504</v>
      </c>
      <c r="T82" s="211">
        <f>SUBTOTAL(109,Table15880101[اجمالي المسطح])</f>
        <v>114</v>
      </c>
      <c r="U82" s="242"/>
      <c r="V82" s="240">
        <f>SUBTOTAL(109,Table15880101[اجمالي])</f>
        <v>25200</v>
      </c>
      <c r="W82" s="244">
        <f>Table15880101[[#Totals],[اجمالي]]/$R$68</f>
        <v>0.10768471453935941</v>
      </c>
      <c r="X82" s="216"/>
      <c r="Y82" s="216" t="s">
        <v>55</v>
      </c>
      <c r="Z82" s="216">
        <v>50</v>
      </c>
      <c r="AA82" s="216">
        <v>50</v>
      </c>
      <c r="AB82" s="216">
        <v>75</v>
      </c>
      <c r="AC82" s="216">
        <v>1200</v>
      </c>
      <c r="AD82" s="216">
        <v>2200</v>
      </c>
      <c r="AE82" s="216">
        <v>150</v>
      </c>
      <c r="AF82" s="216"/>
      <c r="AG82" s="216"/>
      <c r="AH82" s="216"/>
      <c r="AI82" s="216"/>
      <c r="AJ82" s="216" t="s">
        <v>56</v>
      </c>
      <c r="AK82" s="216"/>
      <c r="AL82" s="216" t="s">
        <v>57</v>
      </c>
      <c r="AM82" s="216"/>
      <c r="AN82" s="216"/>
      <c r="AO82" s="216" t="s">
        <v>462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582</v>
      </c>
      <c r="AW82" s="194"/>
      <c r="AX82" s="194">
        <f>AW74*2</f>
        <v>46</v>
      </c>
      <c r="AY82" s="194" t="s">
        <v>28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629" t="s">
        <v>76</v>
      </c>
      <c r="BK82" s="629"/>
      <c r="BL82" s="629"/>
      <c r="BM82" s="629"/>
      <c r="BN82" s="629"/>
      <c r="BO82" s="629"/>
      <c r="BP82" s="216"/>
      <c r="BQ82" s="216"/>
      <c r="BR82" s="216"/>
      <c r="BS82" s="216"/>
      <c r="BT82" s="216" t="s">
        <v>52</v>
      </c>
      <c r="BU82" s="216">
        <v>30</v>
      </c>
      <c r="BV82" s="216">
        <v>30</v>
      </c>
      <c r="BW82" s="216">
        <v>75</v>
      </c>
      <c r="BX82" s="216">
        <v>800</v>
      </c>
      <c r="BY82" s="216">
        <v>1600</v>
      </c>
      <c r="BZ82" s="216">
        <v>150</v>
      </c>
      <c r="CA82" s="216"/>
      <c r="CB82" s="216"/>
      <c r="CC82" s="216"/>
      <c r="CD82" s="216"/>
      <c r="CE82" s="216" t="s">
        <v>53</v>
      </c>
      <c r="CF82" s="216">
        <v>0.4</v>
      </c>
      <c r="CG82" s="211" t="s">
        <v>50</v>
      </c>
      <c r="CH82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4.3040000000000012</v>
      </c>
      <c r="CI82" s="216"/>
      <c r="CJ82" s="216" t="s">
        <v>458</v>
      </c>
      <c r="CK82" s="216">
        <v>0.1</v>
      </c>
      <c r="CL82" s="216">
        <v>0.1</v>
      </c>
      <c r="CM82" s="216"/>
      <c r="CN82" s="216"/>
      <c r="CO82" s="256"/>
    </row>
    <row r="83" ht="18.75">
      <c r="A83" s="549" t="s">
        <v>575</v>
      </c>
      <c r="B83" s="550"/>
      <c r="C83" s="550">
        <f>B76*2</f>
        <v>46</v>
      </c>
      <c r="D83" s="550" t="s">
        <v>28</v>
      </c>
      <c r="E83" s="550">
        <v>20</v>
      </c>
      <c r="F83" s="550">
        <f>E83*C83</f>
        <v>920</v>
      </c>
      <c r="G83" s="555"/>
      <c r="H83" s="556"/>
      <c r="I83" s="540"/>
      <c r="J83" s="540"/>
      <c r="K83" s="187"/>
      <c r="L83" s="216"/>
      <c r="M83" s="216"/>
      <c r="N83" s="217"/>
      <c r="O83" s="629" t="s">
        <v>76</v>
      </c>
      <c r="P83" s="629"/>
      <c r="Q83" s="629"/>
      <c r="R83" s="629"/>
      <c r="S83" s="629"/>
      <c r="T83" s="629"/>
      <c r="U83" s="216"/>
      <c r="V83" s="216"/>
      <c r="W83" s="216"/>
      <c r="X83" s="216"/>
      <c r="Y83" s="216" t="s">
        <v>59</v>
      </c>
      <c r="Z83" s="216">
        <v>50</v>
      </c>
      <c r="AA83" s="216">
        <v>50</v>
      </c>
      <c r="AB83" s="216">
        <v>75</v>
      </c>
      <c r="AC83" s="216">
        <v>1200</v>
      </c>
      <c r="AD83" s="216">
        <v>2500</v>
      </c>
      <c r="AE83" s="216">
        <v>150</v>
      </c>
      <c r="AF83" s="216"/>
      <c r="AG83" s="216"/>
      <c r="AH83" s="216"/>
      <c r="AI83" s="216"/>
      <c r="AJ83" s="213" t="s">
        <v>62</v>
      </c>
      <c r="AK83" s="216">
        <v>0.6</v>
      </c>
      <c r="AL83" s="216"/>
      <c r="AM83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3" s="216"/>
      <c r="AO83" s="216" t="s">
        <v>464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583</v>
      </c>
      <c r="AW83" s="194"/>
      <c r="AX83" s="194">
        <f>AW74*2</f>
        <v>46</v>
      </c>
      <c r="AY83" s="194" t="s">
        <v>28</v>
      </c>
      <c r="AZ83" s="194">
        <v>100</v>
      </c>
      <c r="BA83" s="194">
        <f>AX83*AZ83</f>
        <v>4600</v>
      </c>
      <c r="BB83" s="187"/>
      <c r="BC83" s="195"/>
      <c r="BE83" s="266"/>
      <c r="BF83" s="187"/>
      <c r="BG83" s="211" t="s">
        <v>27</v>
      </c>
      <c r="BH83" s="211" t="s">
        <v>28</v>
      </c>
      <c r="BI83" s="218" t="s">
        <v>29</v>
      </c>
      <c r="BJ83" s="211" t="s">
        <v>30</v>
      </c>
      <c r="BK83" s="211" t="s">
        <v>9</v>
      </c>
      <c r="BL83" s="211" t="s">
        <v>63</v>
      </c>
      <c r="BM83" s="211" t="s">
        <v>32</v>
      </c>
      <c r="BN83" s="211" t="s">
        <v>33</v>
      </c>
      <c r="BO83" s="211" t="s">
        <v>64</v>
      </c>
      <c r="BP83" s="211" t="s">
        <v>35</v>
      </c>
      <c r="BQ83" s="245" t="s">
        <v>36</v>
      </c>
      <c r="BR83" s="211" t="s">
        <v>37</v>
      </c>
      <c r="BS83" s="216"/>
      <c r="BT83" s="216" t="s">
        <v>55</v>
      </c>
      <c r="BU83" s="216">
        <v>50</v>
      </c>
      <c r="BV83" s="216">
        <v>50</v>
      </c>
      <c r="BW83" s="216">
        <v>75</v>
      </c>
      <c r="BX83" s="216">
        <v>1200</v>
      </c>
      <c r="BY83" s="216">
        <v>2200</v>
      </c>
      <c r="BZ83" s="216">
        <v>150</v>
      </c>
      <c r="CA83" s="216"/>
      <c r="CB83" s="216"/>
      <c r="CC83" s="216"/>
      <c r="CD83" s="216"/>
      <c r="CE83" s="216" t="s">
        <v>56</v>
      </c>
      <c r="CF83" s="216"/>
      <c r="CG83" s="216" t="s">
        <v>57</v>
      </c>
      <c r="CH83" s="216"/>
      <c r="CI83" s="216"/>
      <c r="CJ83" s="216" t="s">
        <v>460</v>
      </c>
      <c r="CK83" s="216">
        <v>0.15</v>
      </c>
      <c r="CL83" s="216">
        <v>0.15</v>
      </c>
      <c r="CM83" s="216"/>
      <c r="CN83" s="216"/>
      <c r="CO83" s="256"/>
    </row>
    <row r="84" ht="18.75">
      <c r="A84" s="549" t="s">
        <v>578</v>
      </c>
      <c r="B84" s="550"/>
      <c r="C84" s="550">
        <f>B76*2</f>
        <v>46</v>
      </c>
      <c r="D84" s="550" t="s">
        <v>28</v>
      </c>
      <c r="E84" s="550">
        <v>18</v>
      </c>
      <c r="F84" s="550">
        <f>E84*C84</f>
        <v>828</v>
      </c>
      <c r="G84" s="555"/>
      <c r="H84" s="556"/>
      <c r="I84" s="540"/>
      <c r="J84" s="540"/>
      <c r="K84" s="187"/>
      <c r="L84" s="211" t="s">
        <v>27</v>
      </c>
      <c r="M84" s="211" t="s">
        <v>28</v>
      </c>
      <c r="N84" s="218" t="s">
        <v>29</v>
      </c>
      <c r="O84" s="211" t="s">
        <v>30</v>
      </c>
      <c r="P84" s="211" t="s">
        <v>9</v>
      </c>
      <c r="Q84" s="211" t="s">
        <v>63</v>
      </c>
      <c r="R84" s="211" t="s">
        <v>32</v>
      </c>
      <c r="S84" s="211" t="s">
        <v>33</v>
      </c>
      <c r="T84" s="211" t="s">
        <v>64</v>
      </c>
      <c r="U84" s="211" t="s">
        <v>35</v>
      </c>
      <c r="V84" s="245" t="s">
        <v>36</v>
      </c>
      <c r="W84" s="211" t="s">
        <v>37</v>
      </c>
      <c r="X84" s="216"/>
      <c r="Y84" s="216" t="s">
        <v>61</v>
      </c>
      <c r="Z84" s="216">
        <v>75</v>
      </c>
      <c r="AA84" s="216">
        <v>50</v>
      </c>
      <c r="AB84" s="216">
        <v>75</v>
      </c>
      <c r="AC84" s="216">
        <v>1200</v>
      </c>
      <c r="AD84" s="216">
        <v>2500</v>
      </c>
      <c r="AE84" s="216">
        <v>150</v>
      </c>
      <c r="AF84" s="216"/>
      <c r="AG84" s="216"/>
      <c r="AH84" s="216"/>
      <c r="AI84" s="216"/>
      <c r="AJ84" s="218" t="s">
        <v>70</v>
      </c>
      <c r="AK84" s="216">
        <v>0.6</v>
      </c>
      <c r="AL84" s="216"/>
      <c r="AM84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4" s="216"/>
      <c r="AO84" s="216" t="s">
        <v>466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184</v>
      </c>
      <c r="AW84" s="194" t="s">
        <v>28</v>
      </c>
      <c r="AX84" s="194">
        <v>1</v>
      </c>
      <c r="AY84" s="194" t="s">
        <v>28</v>
      </c>
      <c r="AZ84" s="194">
        <f>E23</f>
        <v>12000</v>
      </c>
      <c r="BA84" s="194">
        <f>AZ84*AX84</f>
        <v>12000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81</v>
      </c>
      <c r="BJ84" s="214"/>
      <c r="BK84" s="214"/>
      <c r="BL84" s="214"/>
      <c r="BM84" s="211" t="s">
        <v>82</v>
      </c>
      <c r="BN84" s="211"/>
      <c r="BO84" s="242"/>
      <c r="BP84" s="247">
        <f>Sheet2!B28</f>
        <v>400</v>
      </c>
      <c r="BQ84" s="240">
        <f ref="BQ84:BQ88" t="shared" si="25">BH84*BP84</f>
        <v>1200</v>
      </c>
      <c r="BR84" s="241">
        <f>(BQ84)/$R$68</f>
        <v>0.005127843549493305</v>
      </c>
      <c r="BS84" s="216"/>
      <c r="BT84" s="216" t="s">
        <v>59</v>
      </c>
      <c r="BU84" s="216">
        <v>50</v>
      </c>
      <c r="BV84" s="216">
        <v>50</v>
      </c>
      <c r="BW84" s="216">
        <v>75</v>
      </c>
      <c r="BX84" s="216">
        <v>1200</v>
      </c>
      <c r="BY84" s="216">
        <v>2500</v>
      </c>
      <c r="BZ84" s="216">
        <v>150</v>
      </c>
      <c r="CA84" s="216"/>
      <c r="CB84" s="216"/>
      <c r="CC84" s="216"/>
      <c r="CD84" s="216"/>
      <c r="CE84" s="213" t="s">
        <v>62</v>
      </c>
      <c r="CF84" s="216">
        <v>0.6</v>
      </c>
      <c r="CG84" s="216"/>
      <c r="CH84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0</v>
      </c>
      <c r="CI84" s="216"/>
      <c r="CJ84" s="216" t="s">
        <v>462</v>
      </c>
      <c r="CK84" s="216">
        <v>0.05</v>
      </c>
      <c r="CL84" s="216">
        <v>0.1</v>
      </c>
      <c r="CM84" s="216"/>
      <c r="CN84" s="216"/>
      <c r="CO84" s="256"/>
    </row>
    <row r="85" ht="18.75">
      <c r="A85" s="549" t="s">
        <v>579</v>
      </c>
      <c r="B85" s="550">
        <v>1</v>
      </c>
      <c r="C85" s="552">
        <v>100</v>
      </c>
      <c r="D85" s="550" t="s">
        <v>564</v>
      </c>
      <c r="E85" s="550">
        <v>250</v>
      </c>
      <c r="F85" s="550">
        <f>Table80102114115[[#This Row],[wt/m]]*Table80102114115[[#This Row],[عدد]]</f>
        <v>250</v>
      </c>
      <c r="G85" s="555"/>
      <c r="H85" s="556"/>
      <c r="I85" s="540"/>
      <c r="J85" s="557"/>
      <c r="K85" s="187"/>
      <c r="L85" s="211">
        <v>1</v>
      </c>
      <c r="M85" s="212">
        <v>2</v>
      </c>
      <c r="N85" s="213" t="s">
        <v>81</v>
      </c>
      <c r="O85" s="214"/>
      <c r="P85" s="214"/>
      <c r="Q85" s="214"/>
      <c r="R85" s="211" t="s">
        <v>82</v>
      </c>
      <c r="S85" s="211"/>
      <c r="T85" s="242"/>
      <c r="U85" s="246">
        <f>Sheet2!B28</f>
        <v>400</v>
      </c>
      <c r="V85" s="240">
        <f ref="V85:V89" t="shared" si="26">M85*U85</f>
        <v>800</v>
      </c>
      <c r="W85" s="241">
        <f>(V85)/$R$68</f>
        <v>0.00341856236632887</v>
      </c>
      <c r="X85" s="216"/>
      <c r="Y85" s="216" t="s">
        <v>65</v>
      </c>
      <c r="Z85" s="216">
        <v>75</v>
      </c>
      <c r="AA85" s="216">
        <v>50</v>
      </c>
      <c r="AB85" s="216">
        <v>75</v>
      </c>
      <c r="AC85" s="216">
        <v>1600</v>
      </c>
      <c r="AD85" s="216">
        <v>3000</v>
      </c>
      <c r="AE85" s="216">
        <v>150</v>
      </c>
      <c r="AF85" s="216"/>
      <c r="AG85" s="216"/>
      <c r="AH85" s="216"/>
      <c r="AI85" s="216"/>
      <c r="AJ85" s="218" t="s">
        <v>78</v>
      </c>
      <c r="AK85" s="216">
        <v>0.1</v>
      </c>
      <c r="AL85" s="216"/>
      <c r="AM85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5" s="216"/>
      <c r="AO85" s="216"/>
      <c r="AP85" s="216"/>
      <c r="AQ85" s="216"/>
      <c r="AR85" s="216"/>
      <c r="AS85" s="216"/>
      <c r="AT85" s="256"/>
      <c r="AU85" s="216"/>
      <c r="AV85" s="307" t="s">
        <v>58</v>
      </c>
      <c r="AW85" s="309">
        <f>(Table80102113[[#Totals],[price]]*1.1)/(BA72*AY72/10000)</f>
        <v>5493.4825</v>
      </c>
      <c r="AX85" s="310"/>
      <c r="AY85" s="310"/>
      <c r="AZ85" s="310"/>
      <c r="BA85" s="310">
        <f>SUBTOTAL(109,Table80102113[price])</f>
        <v>99881.5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87</v>
      </c>
      <c r="BJ85" s="214"/>
      <c r="BK85" s="214"/>
      <c r="BL85" s="214"/>
      <c r="BM85" s="211" t="s">
        <v>28</v>
      </c>
      <c r="BN85" s="211"/>
      <c r="BO85" s="242"/>
      <c r="BP85" s="247">
        <v>85</v>
      </c>
      <c r="BQ85" s="240">
        <f t="shared" si="25"/>
        <v>170</v>
      </c>
      <c r="BR85" s="241">
        <f>(BQ85)/$R$68</f>
        <v>0.0007264445028448849</v>
      </c>
      <c r="BS85" s="216"/>
      <c r="BT85" s="216" t="s">
        <v>61</v>
      </c>
      <c r="BU85" s="216">
        <v>75</v>
      </c>
      <c r="BV85" s="216">
        <v>50</v>
      </c>
      <c r="BW85" s="216">
        <v>75</v>
      </c>
      <c r="BX85" s="216">
        <v>1200</v>
      </c>
      <c r="BY85" s="216">
        <v>2500</v>
      </c>
      <c r="BZ85" s="216">
        <v>150</v>
      </c>
      <c r="CA85" s="216"/>
      <c r="CB85" s="216"/>
      <c r="CC85" s="216"/>
      <c r="CD85" s="216"/>
      <c r="CE85" s="218" t="s">
        <v>70</v>
      </c>
      <c r="CF85" s="216">
        <v>0.6</v>
      </c>
      <c r="CG85" s="216"/>
      <c r="CH85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0</v>
      </c>
      <c r="CI85" s="216"/>
      <c r="CJ85" s="216" t="s">
        <v>464</v>
      </c>
      <c r="CK85" s="216">
        <v>0.05</v>
      </c>
      <c r="CL85" s="216">
        <v>0.15</v>
      </c>
      <c r="CM85" s="216"/>
      <c r="CN85" s="216"/>
      <c r="CO85" s="256"/>
    </row>
    <row r="86" ht="18.75">
      <c r="A86" s="549" t="s">
        <v>584</v>
      </c>
      <c r="B86" s="550"/>
      <c r="C86" s="550">
        <v>4</v>
      </c>
      <c r="D86" s="550" t="s">
        <v>372</v>
      </c>
      <c r="E86" s="550">
        <v>250</v>
      </c>
      <c r="F86" s="550">
        <f>C86*E86</f>
        <v>1000</v>
      </c>
      <c r="G86" s="555"/>
      <c r="H86" s="540"/>
      <c r="I86" s="555"/>
      <c r="J86" s="555"/>
      <c r="K86" s="187"/>
      <c r="L86" s="211">
        <v>2</v>
      </c>
      <c r="M86" s="212">
        <v>2</v>
      </c>
      <c r="N86" s="213" t="s">
        <v>87</v>
      </c>
      <c r="O86" s="214"/>
      <c r="P86" s="214"/>
      <c r="Q86" s="214"/>
      <c r="R86" s="211" t="s">
        <v>28</v>
      </c>
      <c r="S86" s="211"/>
      <c r="T86" s="242"/>
      <c r="U86" s="246">
        <v>85</v>
      </c>
      <c r="V86" s="240">
        <f t="shared" si="26"/>
        <v>170</v>
      </c>
      <c r="W86" s="241">
        <f>(V86)/$R$68</f>
        <v>0.0007264445028448849</v>
      </c>
      <c r="X86" s="216"/>
      <c r="Y86" s="216" t="s">
        <v>69</v>
      </c>
      <c r="Z86" s="216">
        <v>75</v>
      </c>
      <c r="AA86" s="216">
        <v>50</v>
      </c>
      <c r="AB86" s="216">
        <v>75</v>
      </c>
      <c r="AC86" s="216">
        <v>1600</v>
      </c>
      <c r="AD86" s="216">
        <v>2500</v>
      </c>
      <c r="AE86" s="216">
        <v>150</v>
      </c>
      <c r="AF86" s="216"/>
      <c r="AG86" s="216"/>
      <c r="AH86" s="216"/>
      <c r="AI86" s="216"/>
      <c r="AJ86" s="218" t="s">
        <v>80</v>
      </c>
      <c r="AK86" s="216">
        <v>0.1</v>
      </c>
      <c r="AL86" s="216"/>
      <c r="AM86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89</v>
      </c>
      <c r="BJ86" s="214"/>
      <c r="BK86" s="214"/>
      <c r="BL86" s="214"/>
      <c r="BM86" s="211" t="s">
        <v>28</v>
      </c>
      <c r="BN86" s="211"/>
      <c r="BO86" s="242"/>
      <c r="BP86" s="247">
        <v>75</v>
      </c>
      <c r="BQ86" s="240">
        <f t="shared" si="25"/>
        <v>75</v>
      </c>
      <c r="BR86" s="241">
        <f>(BQ86)/$R$68</f>
        <v>0.00032049022184333156</v>
      </c>
      <c r="BS86" s="216"/>
      <c r="BT86" s="216" t="s">
        <v>65</v>
      </c>
      <c r="BU86" s="216">
        <v>75</v>
      </c>
      <c r="BV86" s="216">
        <v>50</v>
      </c>
      <c r="BW86" s="216">
        <v>75</v>
      </c>
      <c r="BX86" s="216">
        <v>1600</v>
      </c>
      <c r="BY86" s="216">
        <v>3000</v>
      </c>
      <c r="BZ86" s="216">
        <v>150</v>
      </c>
      <c r="CA86" s="216"/>
      <c r="CB86" s="216"/>
      <c r="CC86" s="216"/>
      <c r="CD86" s="216"/>
      <c r="CE86" s="218" t="s">
        <v>78</v>
      </c>
      <c r="CF86" s="216">
        <v>0.1</v>
      </c>
      <c r="CG86" s="216"/>
      <c r="CH86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0</v>
      </c>
      <c r="CI86" s="216"/>
      <c r="CJ86" s="216" t="s">
        <v>466</v>
      </c>
      <c r="CK86" s="216">
        <v>0.1</v>
      </c>
      <c r="CL86" s="216">
        <v>0.15</v>
      </c>
      <c r="CM86" s="216"/>
      <c r="CN86" s="216"/>
      <c r="CO86" s="256"/>
    </row>
    <row r="87" ht="18.75">
      <c r="A87" s="549" t="s">
        <v>585</v>
      </c>
      <c r="B87" s="550"/>
      <c r="C87" s="550">
        <v>8</v>
      </c>
      <c r="D87" s="550" t="s">
        <v>28</v>
      </c>
      <c r="E87" s="550">
        <v>300</v>
      </c>
      <c r="F87" s="550">
        <f>C87*E87</f>
        <v>2400</v>
      </c>
      <c r="G87" s="555"/>
      <c r="H87" s="540"/>
      <c r="I87" s="555"/>
      <c r="J87" s="555"/>
      <c r="K87" s="187"/>
      <c r="L87" s="211">
        <v>3</v>
      </c>
      <c r="M87" s="219">
        <v>1</v>
      </c>
      <c r="N87" s="213" t="s">
        <v>89</v>
      </c>
      <c r="O87" s="214"/>
      <c r="P87" s="214"/>
      <c r="Q87" s="214"/>
      <c r="R87" s="211" t="s">
        <v>28</v>
      </c>
      <c r="S87" s="211"/>
      <c r="T87" s="242"/>
      <c r="U87" s="246">
        <v>75</v>
      </c>
      <c r="V87" s="240">
        <f t="shared" si="26"/>
        <v>75</v>
      </c>
      <c r="W87" s="241">
        <f>(V87)/$R$68</f>
        <v>0.00032049022184333156</v>
      </c>
      <c r="X87" s="216"/>
      <c r="Y87" s="216" t="s">
        <v>72</v>
      </c>
      <c r="Z87" s="216">
        <v>100</v>
      </c>
      <c r="AA87" s="216">
        <v>50</v>
      </c>
      <c r="AB87" s="216">
        <v>75</v>
      </c>
      <c r="AC87" s="216">
        <v>2000</v>
      </c>
      <c r="AD87" s="216">
        <v>3000</v>
      </c>
      <c r="AE87" s="216">
        <v>150</v>
      </c>
      <c r="AF87" s="216"/>
      <c r="AG87" s="216"/>
      <c r="AH87" s="216"/>
      <c r="AI87" s="216"/>
      <c r="AJ87" s="216"/>
      <c r="AK87" s="216"/>
      <c r="AL87" s="216"/>
      <c r="AM87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90</v>
      </c>
      <c r="BJ87" s="214"/>
      <c r="BK87" s="214"/>
      <c r="BL87" s="214"/>
      <c r="BM87" s="247" t="s">
        <v>91</v>
      </c>
      <c r="BN87" s="247"/>
      <c r="BO87" s="242"/>
      <c r="BP87" s="247">
        <v>30</v>
      </c>
      <c r="BQ87" s="240">
        <f t="shared" si="25"/>
        <v>480</v>
      </c>
      <c r="BR87" s="241">
        <f>(BQ87)/$R$68</f>
        <v>0.0020511374197973221</v>
      </c>
      <c r="BS87" s="216"/>
      <c r="BT87" s="216" t="s">
        <v>69</v>
      </c>
      <c r="BU87" s="216">
        <v>75</v>
      </c>
      <c r="BV87" s="216">
        <v>50</v>
      </c>
      <c r="BW87" s="216">
        <v>75</v>
      </c>
      <c r="BX87" s="216">
        <v>1600</v>
      </c>
      <c r="BY87" s="216">
        <v>2500</v>
      </c>
      <c r="BZ87" s="216">
        <v>150</v>
      </c>
      <c r="CA87" s="216"/>
      <c r="CB87" s="216"/>
      <c r="CC87" s="216"/>
      <c r="CD87" s="216"/>
      <c r="CE87" s="218" t="s">
        <v>80</v>
      </c>
      <c r="CF87" s="216">
        <v>0.1</v>
      </c>
      <c r="CG87" s="216"/>
      <c r="CH87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0</v>
      </c>
      <c r="CI87" s="216"/>
      <c r="CJ87" s="216"/>
      <c r="CK87" s="216"/>
      <c r="CL87" s="216"/>
      <c r="CM87" s="216"/>
      <c r="CN87" s="216"/>
      <c r="CO87" s="256"/>
    </row>
    <row r="88" ht="18.75">
      <c r="A88" s="549" t="s">
        <v>582</v>
      </c>
      <c r="B88" s="550"/>
      <c r="C88" s="550">
        <f>B76*2</f>
        <v>46</v>
      </c>
      <c r="D88" s="550" t="s">
        <v>28</v>
      </c>
      <c r="E88" s="550">
        <v>120</v>
      </c>
      <c r="F88" s="550">
        <f>C88*E88</f>
        <v>5520</v>
      </c>
      <c r="G88" s="555"/>
      <c r="H88" s="540"/>
      <c r="I88" s="540"/>
      <c r="J88" s="540"/>
      <c r="K88" s="187"/>
      <c r="L88" s="211">
        <v>4</v>
      </c>
      <c r="M88" s="212">
        <f>M95</f>
        <v>0</v>
      </c>
      <c r="N88" s="213" t="s">
        <v>90</v>
      </c>
      <c r="O88" s="214"/>
      <c r="P88" s="214"/>
      <c r="Q88" s="214"/>
      <c r="R88" s="247" t="s">
        <v>91</v>
      </c>
      <c r="S88" s="247"/>
      <c r="T88" s="242"/>
      <c r="U88" s="246">
        <v>30</v>
      </c>
      <c r="V88" s="240">
        <f t="shared" si="26"/>
        <v>0</v>
      </c>
      <c r="W88" s="241">
        <f>(V88)/$R$68</f>
        <v>0</v>
      </c>
      <c r="X88" s="216"/>
      <c r="Y88" s="216" t="s">
        <v>74</v>
      </c>
      <c r="Z88" s="216">
        <v>120</v>
      </c>
      <c r="AA88" s="216">
        <v>50</v>
      </c>
      <c r="AB88" s="216">
        <v>75</v>
      </c>
      <c r="AC88" s="216">
        <v>2000</v>
      </c>
      <c r="AD88" s="216">
        <v>3500</v>
      </c>
      <c r="AE88" s="216">
        <v>200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97</v>
      </c>
      <c r="BJ88" s="214"/>
      <c r="BK88" s="214"/>
      <c r="BL88" s="214"/>
      <c r="BM88" s="211" t="s">
        <v>91</v>
      </c>
      <c r="BN88" s="211"/>
      <c r="BO88" s="242"/>
      <c r="BP88" s="243">
        <f>Sheet2!AW30</f>
        <v>0</v>
      </c>
      <c r="BQ88" s="240">
        <f t="shared" si="25"/>
        <v>0</v>
      </c>
      <c r="BR88" s="241">
        <f>(BQ88)/$R$68</f>
        <v>0</v>
      </c>
      <c r="BS88" s="216"/>
      <c r="BT88" s="216" t="s">
        <v>72</v>
      </c>
      <c r="BU88" s="216">
        <v>100</v>
      </c>
      <c r="BV88" s="216">
        <v>50</v>
      </c>
      <c r="BW88" s="216">
        <v>75</v>
      </c>
      <c r="BX88" s="216">
        <v>2000</v>
      </c>
      <c r="BY88" s="216">
        <v>3000</v>
      </c>
      <c r="BZ88" s="216">
        <v>150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.75">
      <c r="A89" s="549" t="s">
        <v>583</v>
      </c>
      <c r="B89" s="550"/>
      <c r="C89" s="550">
        <f>B76*2</f>
        <v>46</v>
      </c>
      <c r="D89" s="550" t="s">
        <v>28</v>
      </c>
      <c r="E89" s="550">
        <v>120</v>
      </c>
      <c r="F89" s="550">
        <f>C89*E89</f>
        <v>5520</v>
      </c>
      <c r="G89" s="555"/>
      <c r="H89" s="540"/>
      <c r="I89" s="540"/>
      <c r="J89" s="540"/>
      <c r="K89" s="187"/>
      <c r="L89" s="211">
        <v>5</v>
      </c>
      <c r="M89" s="212">
        <f>IF((I74="بالتات"),0,4)</f>
        <v>4</v>
      </c>
      <c r="N89" s="213" t="s">
        <v>97</v>
      </c>
      <c r="O89" s="214"/>
      <c r="P89" s="214"/>
      <c r="Q89" s="214"/>
      <c r="R89" s="211" t="s">
        <v>91</v>
      </c>
      <c r="S89" s="211"/>
      <c r="T89" s="242"/>
      <c r="U89" s="243">
        <f>Sheet2!B30</f>
        <v>1200</v>
      </c>
      <c r="V89" s="240">
        <f t="shared" si="26"/>
        <v>4800</v>
      </c>
      <c r="W89" s="241">
        <f>(V89)/$R$68</f>
        <v>0.02051137419797322</v>
      </c>
      <c r="X89" s="216"/>
      <c r="Y89" s="216" t="s">
        <v>77</v>
      </c>
      <c r="Z89" s="216">
        <v>150</v>
      </c>
      <c r="AA89" s="216">
        <v>50</v>
      </c>
      <c r="AB89" s="216">
        <v>75</v>
      </c>
      <c r="AC89" s="216">
        <v>2200</v>
      </c>
      <c r="AD89" s="216">
        <v>4000</v>
      </c>
      <c r="AE89" s="216">
        <v>200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58</v>
      </c>
      <c r="BH89" s="212"/>
      <c r="BI89" s="213" t="s">
        <v>58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1925</v>
      </c>
      <c r="BR89" s="244">
        <f>Table15617293104[[#Totals],[اجمالي]]/$R$68</f>
        <v>0.0082259156939788435</v>
      </c>
      <c r="BS89" s="216"/>
      <c r="BT89" s="216" t="s">
        <v>74</v>
      </c>
      <c r="BU89" s="216">
        <v>120</v>
      </c>
      <c r="BV89" s="216">
        <v>50</v>
      </c>
      <c r="BW89" s="216">
        <v>75</v>
      </c>
      <c r="BX89" s="216">
        <v>2000</v>
      </c>
      <c r="BY89" s="216">
        <v>3500</v>
      </c>
      <c r="BZ89" s="216">
        <v>200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.75">
      <c r="A90" s="549" t="s">
        <v>586</v>
      </c>
      <c r="B90" s="550">
        <v>2</v>
      </c>
      <c r="C90" s="550"/>
      <c r="D90" s="550" t="s">
        <v>564</v>
      </c>
      <c r="E90" s="550">
        <v>1000</v>
      </c>
      <c r="F90" s="550">
        <f>B90*E90</f>
        <v>2000</v>
      </c>
      <c r="G90" s="555"/>
      <c r="H90" s="540"/>
      <c r="I90" s="540"/>
      <c r="J90" s="540"/>
      <c r="K90" s="187"/>
      <c r="L90" s="211" t="s">
        <v>58</v>
      </c>
      <c r="M90" s="212"/>
      <c r="N90" s="213" t="s">
        <v>58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5845</v>
      </c>
      <c r="W90" s="244">
        <f>Table15617293[[#Totals],[اجمالي]]/$R$68</f>
        <v>0.024976871288990305</v>
      </c>
      <c r="X90" s="216"/>
      <c r="Y90" s="216" t="s">
        <v>79</v>
      </c>
      <c r="Z90" s="216">
        <v>150</v>
      </c>
      <c r="AA90" s="216">
        <v>50</v>
      </c>
      <c r="AB90" s="216">
        <v>75</v>
      </c>
      <c r="AC90" s="216">
        <v>2200</v>
      </c>
      <c r="AD90" s="216">
        <v>4000</v>
      </c>
      <c r="AE90" s="216">
        <v>200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629" t="s">
        <v>99</v>
      </c>
      <c r="BK90" s="629"/>
      <c r="BL90" s="629"/>
      <c r="BM90" s="629"/>
      <c r="BN90" s="629"/>
      <c r="BO90" s="629"/>
      <c r="BP90" s="216"/>
      <c r="BQ90" s="216"/>
      <c r="BR90" s="216"/>
      <c r="BS90" s="216"/>
      <c r="BT90" s="216" t="s">
        <v>77</v>
      </c>
      <c r="BU90" s="216">
        <v>150</v>
      </c>
      <c r="BV90" s="216">
        <v>50</v>
      </c>
      <c r="BW90" s="216">
        <v>75</v>
      </c>
      <c r="BX90" s="216">
        <v>2200</v>
      </c>
      <c r="BY90" s="216">
        <v>4000</v>
      </c>
      <c r="BZ90" s="216">
        <v>200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.75">
      <c r="A91" s="549" t="s">
        <v>587</v>
      </c>
      <c r="B91" s="550"/>
      <c r="C91" s="550">
        <f>ROUNDUP(((C76*B76)/100),0)</f>
        <v>82</v>
      </c>
      <c r="D91" s="550" t="s">
        <v>564</v>
      </c>
      <c r="E91" s="550">
        <v>10</v>
      </c>
      <c r="F91" s="550">
        <f>C91*E91</f>
        <v>820</v>
      </c>
      <c r="G91" s="555"/>
      <c r="H91" s="540"/>
      <c r="I91" s="540"/>
      <c r="J91" s="540"/>
      <c r="K91" s="187"/>
      <c r="L91" s="216"/>
      <c r="M91" s="216"/>
      <c r="N91" s="217"/>
      <c r="O91" s="629" t="s">
        <v>99</v>
      </c>
      <c r="P91" s="629"/>
      <c r="Q91" s="629"/>
      <c r="R91" s="629"/>
      <c r="S91" s="629"/>
      <c r="T91" s="629"/>
      <c r="U91" s="216"/>
      <c r="V91" s="216"/>
      <c r="W91" s="216"/>
      <c r="X91" s="216"/>
      <c r="Y91" s="216" t="s">
        <v>83</v>
      </c>
      <c r="Z91" s="216">
        <v>500</v>
      </c>
      <c r="AA91" s="216">
        <v>200</v>
      </c>
      <c r="AB91" s="216">
        <v>100</v>
      </c>
      <c r="AC91" s="216">
        <v>3500</v>
      </c>
      <c r="AD91" s="216">
        <v>6000</v>
      </c>
      <c r="AE91" s="216">
        <v>300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27</v>
      </c>
      <c r="BH91" s="211" t="s">
        <v>28</v>
      </c>
      <c r="BI91" s="218" t="s">
        <v>29</v>
      </c>
      <c r="BJ91" s="211" t="s">
        <v>30</v>
      </c>
      <c r="BK91" s="211" t="s">
        <v>9</v>
      </c>
      <c r="BL91" s="211" t="s">
        <v>63</v>
      </c>
      <c r="BM91" s="211" t="s">
        <v>32</v>
      </c>
      <c r="BN91" s="211" t="s">
        <v>33</v>
      </c>
      <c r="BO91" s="211" t="s">
        <v>64</v>
      </c>
      <c r="BP91" s="211" t="s">
        <v>35</v>
      </c>
      <c r="BQ91" s="245" t="s">
        <v>36</v>
      </c>
      <c r="BR91" s="211" t="s">
        <v>37</v>
      </c>
      <c r="BS91" s="216"/>
      <c r="BT91" s="216" t="s">
        <v>79</v>
      </c>
      <c r="BU91" s="216">
        <v>150</v>
      </c>
      <c r="BV91" s="216">
        <v>50</v>
      </c>
      <c r="BW91" s="216">
        <v>75</v>
      </c>
      <c r="BX91" s="216">
        <v>2200</v>
      </c>
      <c r="BY91" s="216">
        <v>4000</v>
      </c>
      <c r="BZ91" s="216">
        <v>200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.75">
      <c r="A92" s="193" t="s">
        <v>588</v>
      </c>
      <c r="B92" s="566"/>
      <c r="C92" s="566">
        <f>C91</f>
        <v>82</v>
      </c>
      <c r="D92" s="550" t="s">
        <v>564</v>
      </c>
      <c r="E92" s="566">
        <v>20</v>
      </c>
      <c r="F92" s="550">
        <f ref="F92:F93" t="shared" si="27">C92*E92</f>
        <v>1640</v>
      </c>
      <c r="G92" s="540"/>
      <c r="H92" s="540"/>
      <c r="I92" s="540"/>
      <c r="J92" s="540"/>
      <c r="L92" s="211" t="s">
        <v>27</v>
      </c>
      <c r="M92" s="211" t="s">
        <v>28</v>
      </c>
      <c r="N92" s="218" t="s">
        <v>29</v>
      </c>
      <c r="O92" s="211" t="s">
        <v>30</v>
      </c>
      <c r="P92" s="211" t="s">
        <v>9</v>
      </c>
      <c r="Q92" s="211" t="s">
        <v>63</v>
      </c>
      <c r="R92" s="211" t="s">
        <v>32</v>
      </c>
      <c r="S92" s="211" t="s">
        <v>33</v>
      </c>
      <c r="T92" s="211" t="s">
        <v>64</v>
      </c>
      <c r="U92" s="211" t="s">
        <v>35</v>
      </c>
      <c r="V92" s="245" t="s">
        <v>36</v>
      </c>
      <c r="W92" s="211" t="s">
        <v>37</v>
      </c>
      <c r="X92" s="216"/>
      <c r="Y92" s="216" t="s">
        <v>86</v>
      </c>
      <c r="Z92" s="216">
        <v>500</v>
      </c>
      <c r="AA92" s="216">
        <v>200</v>
      </c>
      <c r="AB92" s="216">
        <v>100</v>
      </c>
      <c r="AC92" s="216">
        <v>4000</v>
      </c>
      <c r="AD92" s="216">
        <v>6500</v>
      </c>
      <c r="AE92" s="216">
        <v>300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100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600</v>
      </c>
      <c r="BQ92" s="240">
        <f>BH92*BP92</f>
        <v>2400</v>
      </c>
      <c r="BR92" s="249">
        <f>(BQ92)/$R$68</f>
        <v>0.01025568709898661</v>
      </c>
      <c r="BS92" s="216"/>
      <c r="BT92" s="216" t="s">
        <v>83</v>
      </c>
      <c r="BU92" s="216">
        <v>500</v>
      </c>
      <c r="BV92" s="216">
        <v>200</v>
      </c>
      <c r="BW92" s="216">
        <v>100</v>
      </c>
      <c r="BX92" s="216">
        <v>3500</v>
      </c>
      <c r="BY92" s="216">
        <v>6000</v>
      </c>
      <c r="BZ92" s="216">
        <v>300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.75">
      <c r="A93" s="549" t="s">
        <v>589</v>
      </c>
      <c r="B93" s="550" t="s">
        <v>590</v>
      </c>
      <c r="C93" s="550">
        <f>ROUNDUP((B76/3),0)</f>
        <v>8</v>
      </c>
      <c r="D93" s="550" t="s">
        <v>28</v>
      </c>
      <c r="E93" s="550">
        <v>250</v>
      </c>
      <c r="F93" s="550">
        <f t="shared" si="27"/>
        <v>2000</v>
      </c>
      <c r="G93" s="540"/>
      <c r="H93" s="540"/>
      <c r="I93" s="540"/>
      <c r="J93" s="540"/>
      <c r="L93" s="211">
        <v>1</v>
      </c>
      <c r="M93" s="212">
        <f>IF((I74="بالتات"),4,0)</f>
        <v>0</v>
      </c>
      <c r="N93" s="220" t="s">
        <v>100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600</v>
      </c>
      <c r="V93" s="240">
        <f>M93*U93</f>
        <v>0</v>
      </c>
      <c r="W93" s="249">
        <f>(V93)/$R$68</f>
        <v>0</v>
      </c>
      <c r="X93" s="216"/>
      <c r="Y93" s="216" t="s">
        <v>88</v>
      </c>
      <c r="Z93" s="216">
        <v>550</v>
      </c>
      <c r="AA93" s="216">
        <v>200</v>
      </c>
      <c r="AB93" s="216">
        <v>100</v>
      </c>
      <c r="AC93" s="216">
        <v>5000</v>
      </c>
      <c r="AD93" s="216">
        <v>7000</v>
      </c>
      <c r="AE93" s="216">
        <v>300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473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85</v>
      </c>
      <c r="BN93" s="250">
        <v>7</v>
      </c>
      <c r="BO93" s="211"/>
      <c r="BP93" s="243">
        <f>BN93*$S$2/1000</f>
        <v>350</v>
      </c>
      <c r="BQ93" s="240">
        <f>BH93*BP93</f>
        <v>0</v>
      </c>
      <c r="BR93" s="241">
        <f>(BQ93)/$R$68</f>
        <v>0</v>
      </c>
      <c r="BS93" s="216"/>
      <c r="BT93" s="216" t="s">
        <v>86</v>
      </c>
      <c r="BU93" s="216">
        <v>500</v>
      </c>
      <c r="BV93" s="216">
        <v>200</v>
      </c>
      <c r="BW93" s="216">
        <v>100</v>
      </c>
      <c r="BX93" s="216">
        <v>4000</v>
      </c>
      <c r="BY93" s="216">
        <v>6500</v>
      </c>
      <c r="BZ93" s="216">
        <v>300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.75">
      <c r="A94" s="549" t="s">
        <v>591</v>
      </c>
      <c r="B94" s="550" t="s">
        <v>592</v>
      </c>
      <c r="C94" s="550">
        <f>C93</f>
        <v>8</v>
      </c>
      <c r="D94" s="550" t="s">
        <v>28</v>
      </c>
      <c r="E94" s="550">
        <v>40</v>
      </c>
      <c r="F94" s="550">
        <f>E94*C94</f>
        <v>320</v>
      </c>
      <c r="G94" s="540"/>
      <c r="H94" s="540"/>
      <c r="I94" s="540"/>
      <c r="J94" s="540"/>
      <c r="L94" s="211">
        <v>2</v>
      </c>
      <c r="M94" s="219">
        <v>0</v>
      </c>
      <c r="N94" s="220" t="s">
        <v>473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85</v>
      </c>
      <c r="S94" s="250">
        <v>7</v>
      </c>
      <c r="T94" s="211"/>
      <c r="U94" s="243">
        <f>S94*$S$2/1000</f>
        <v>350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101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85</v>
      </c>
      <c r="BN94" s="211">
        <v>0.75</v>
      </c>
      <c r="BO94" s="211"/>
      <c r="BP94" s="243">
        <f>BN94*$S$2/1000</f>
        <v>37.5</v>
      </c>
      <c r="BQ94" s="240">
        <f>BH94*BP94</f>
        <v>600</v>
      </c>
      <c r="BR94" s="251">
        <f>(BQ94)/$R$68</f>
        <v>0.0025639217747466525</v>
      </c>
      <c r="BS94" s="216"/>
      <c r="BT94" s="216" t="s">
        <v>88</v>
      </c>
      <c r="BU94" s="216">
        <v>550</v>
      </c>
      <c r="BV94" s="216">
        <v>200</v>
      </c>
      <c r="BW94" s="216">
        <v>100</v>
      </c>
      <c r="BX94" s="216">
        <v>5000</v>
      </c>
      <c r="BY94" s="216">
        <v>7000</v>
      </c>
      <c r="BZ94" s="216">
        <v>300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.75">
      <c r="A95" s="549" t="s">
        <v>593</v>
      </c>
      <c r="B95" s="550" t="s">
        <v>28</v>
      </c>
      <c r="C95" s="550">
        <v>2</v>
      </c>
      <c r="D95" s="550" t="s">
        <v>28</v>
      </c>
      <c r="E95" s="550">
        <v>1500</v>
      </c>
      <c r="F95" s="550">
        <f>E95*C95</f>
        <v>3000</v>
      </c>
      <c r="G95" s="540"/>
      <c r="H95" s="540"/>
      <c r="I95" s="540"/>
      <c r="J95" s="540"/>
      <c r="L95" s="211">
        <v>3</v>
      </c>
      <c r="M95" s="212">
        <f>M93*4</f>
        <v>0</v>
      </c>
      <c r="N95" s="213" t="s">
        <v>101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</v>
      </c>
      <c r="R95" s="211" t="s">
        <v>85</v>
      </c>
      <c r="S95" s="211">
        <v>0.75</v>
      </c>
      <c r="T95" s="211"/>
      <c r="U95" s="243">
        <f>S95*$S$2/1000</f>
        <v>37.5</v>
      </c>
      <c r="V95" s="240">
        <f>M95*U95</f>
        <v>0</v>
      </c>
      <c r="W95" s="251">
        <f>(V95)/$R$68</f>
        <v>0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58</v>
      </c>
      <c r="BH95" s="212">
        <f>SUBTOTAL(109,Table16627394105[عدد])</f>
        <v>20</v>
      </c>
      <c r="BI95" s="213" t="s">
        <v>58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3000</v>
      </c>
      <c r="BR95" s="244">
        <f>Table16627394105[[#Totals],[اجمالي]]/$R$68</f>
        <v>0.012819608873733263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.75">
      <c r="A96" s="549" t="s">
        <v>184</v>
      </c>
      <c r="B96" s="550" t="s">
        <v>28</v>
      </c>
      <c r="C96" s="550">
        <v>1</v>
      </c>
      <c r="D96" s="550" t="s">
        <v>28</v>
      </c>
      <c r="E96" s="550">
        <f>E23</f>
        <v>12000</v>
      </c>
      <c r="F96" s="550">
        <f>E96*C96</f>
        <v>12000</v>
      </c>
      <c r="G96" s="540"/>
      <c r="H96" s="540"/>
      <c r="I96" s="540"/>
      <c r="J96" s="540"/>
      <c r="L96" s="211" t="s">
        <v>58</v>
      </c>
      <c r="M96" s="212">
        <f>SUBTOTAL(109,Table16627394[عدد])</f>
        <v>0</v>
      </c>
      <c r="N96" s="213" t="s">
        <v>58</v>
      </c>
      <c r="O96" s="214"/>
      <c r="P96" s="214"/>
      <c r="Q96" s="216">
        <f>SUBTOTAL(109,Table16627394[Column12])</f>
        <v>9.6000000000000014</v>
      </c>
      <c r="R96" s="211"/>
      <c r="S96" s="211">
        <f>(S94*M94)+(M95*S95)</f>
        <v>0</v>
      </c>
      <c r="T96" s="211"/>
      <c r="U96" s="242"/>
      <c r="V96" s="240">
        <f>SUBTOTAL(109,Table16627394[اجمالي])</f>
        <v>0</v>
      </c>
      <c r="W96" s="244">
        <f>Table16627394[[#Totals],[اجمالي]]/$R$68</f>
        <v>0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629" t="s">
        <v>102</v>
      </c>
      <c r="BK96" s="629"/>
      <c r="BL96" s="629"/>
      <c r="BM96" s="629"/>
      <c r="BN96" s="629"/>
      <c r="BO96" s="629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.75">
      <c r="A97" s="193" t="s">
        <v>58</v>
      </c>
      <c r="B97" s="199">
        <f>(Table80102114115[[#Totals],[price]]*1.1)/(F74*D74/10000)</f>
        <v>10549.454979841721</v>
      </c>
      <c r="C97" s="194"/>
      <c r="D97" s="194"/>
      <c r="E97" s="194"/>
      <c r="F97" s="194">
        <f>SUBTOTAL(109,Table80102114115[price])</f>
        <v>128454</v>
      </c>
      <c r="L97" s="216"/>
      <c r="M97" s="216"/>
      <c r="N97" s="217"/>
      <c r="O97" s="629" t="s">
        <v>102</v>
      </c>
      <c r="P97" s="629"/>
      <c r="Q97" s="629"/>
      <c r="R97" s="629"/>
      <c r="S97" s="629"/>
      <c r="T97" s="629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27</v>
      </c>
      <c r="BH97" s="211" t="s">
        <v>28</v>
      </c>
      <c r="BI97" s="218" t="s">
        <v>29</v>
      </c>
      <c r="BJ97" s="211" t="s">
        <v>30</v>
      </c>
      <c r="BK97" s="211" t="s">
        <v>9</v>
      </c>
      <c r="BL97" s="211" t="s">
        <v>63</v>
      </c>
      <c r="BM97" s="211" t="s">
        <v>32</v>
      </c>
      <c r="BN97" s="211" t="s">
        <v>33</v>
      </c>
      <c r="BO97" s="211" t="s">
        <v>64</v>
      </c>
      <c r="BP97" s="211" t="s">
        <v>35</v>
      </c>
      <c r="BQ97" s="245" t="s">
        <v>36</v>
      </c>
      <c r="BR97" s="211" t="s">
        <v>37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.75">
      <c r="A98" s="200"/>
      <c r="L98" s="211" t="s">
        <v>27</v>
      </c>
      <c r="M98" s="211" t="s">
        <v>28</v>
      </c>
      <c r="N98" s="218" t="s">
        <v>29</v>
      </c>
      <c r="O98" s="211" t="s">
        <v>30</v>
      </c>
      <c r="P98" s="211" t="s">
        <v>9</v>
      </c>
      <c r="Q98" s="211" t="s">
        <v>63</v>
      </c>
      <c r="R98" s="211" t="s">
        <v>32</v>
      </c>
      <c r="S98" s="211" t="s">
        <v>33</v>
      </c>
      <c r="T98" s="211" t="s">
        <v>64</v>
      </c>
      <c r="U98" s="211" t="s">
        <v>35</v>
      </c>
      <c r="V98" s="245" t="s">
        <v>36</v>
      </c>
      <c r="W98" s="211" t="s">
        <v>37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2.5366666666666666</v>
      </c>
      <c r="BI98" s="213" t="s">
        <v>103</v>
      </c>
      <c r="BJ98" s="214"/>
      <c r="BK98" s="214"/>
      <c r="BL98" s="214"/>
      <c r="BM98" s="211" t="s">
        <v>104</v>
      </c>
      <c r="BN98" s="211"/>
      <c r="BO98" s="211"/>
      <c r="BP98" s="248">
        <f>BP28</f>
        <v>400</v>
      </c>
      <c r="BQ98" s="240">
        <f ref="BQ98:BQ110" t="shared" si="28">BH98*BP98</f>
        <v>1014.6666666666666</v>
      </c>
      <c r="BR98" s="241">
        <f ref="BR98:BR112" t="shared" si="29" ca="1">(BQ98)/$R$68</f>
        <v>0.0043358766012937837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.75">
      <c r="A99" s="200"/>
      <c r="L99" s="211">
        <v>1</v>
      </c>
      <c r="M99" s="222">
        <f>AM80/3</f>
        <v>3.3033333333333332</v>
      </c>
      <c r="N99" s="213" t="s">
        <v>103</v>
      </c>
      <c r="O99" s="214"/>
      <c r="P99" s="214"/>
      <c r="Q99" s="214"/>
      <c r="R99" s="211" t="s">
        <v>104</v>
      </c>
      <c r="S99" s="211"/>
      <c r="T99" s="211"/>
      <c r="U99" s="248">
        <f>Sheet2!B24</f>
        <v>400</v>
      </c>
      <c r="V99" s="240">
        <f ref="V99:V104" t="shared" si="30">M99*U99</f>
        <v>1321.3333333333333</v>
      </c>
      <c r="W99" s="241">
        <f ref="W99:W113" t="shared" si="31" ca="1">(V99)/$R$68</f>
        <v>0.0056463255083865167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108</v>
      </c>
      <c r="BJ99" s="211"/>
      <c r="BK99" s="211"/>
      <c r="BL99" s="211"/>
      <c r="BM99" s="211" t="s">
        <v>109</v>
      </c>
      <c r="BN99" s="211"/>
      <c r="BO99" s="211"/>
      <c r="BP99" s="248">
        <f ref="BP99:BP112" t="shared" si="32">BP29</f>
        <v>18</v>
      </c>
      <c r="BQ99" s="240">
        <f t="shared" si="28"/>
        <v>54</v>
      </c>
      <c r="BR99" s="241">
        <f t="shared" si="29" ca="1"/>
        <v>0.00023075295972719873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.75">
      <c r="A100" s="200"/>
      <c r="L100" s="211">
        <v>2</v>
      </c>
      <c r="M100" s="219">
        <v>3</v>
      </c>
      <c r="N100" s="218" t="s">
        <v>108</v>
      </c>
      <c r="O100" s="211"/>
      <c r="P100" s="211"/>
      <c r="Q100" s="211"/>
      <c r="R100" s="211" t="s">
        <v>109</v>
      </c>
      <c r="S100" s="211"/>
      <c r="T100" s="211"/>
      <c r="U100" s="248">
        <f>Sheet2!B48</f>
        <v>20</v>
      </c>
      <c r="V100" s="240">
        <f t="shared" si="30"/>
        <v>60</v>
      </c>
      <c r="W100" s="241">
        <f t="shared" si="31" ca="1"/>
        <v>0.00025639217747466526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110</v>
      </c>
      <c r="BJ100" s="211"/>
      <c r="BK100" s="211"/>
      <c r="BL100" s="211"/>
      <c r="BM100" s="211" t="s">
        <v>109</v>
      </c>
      <c r="BN100" s="211"/>
      <c r="BO100" s="211"/>
      <c r="BP100" s="248">
        <f t="shared" si="32"/>
        <v>18</v>
      </c>
      <c r="BQ100" s="240">
        <f t="shared" si="28"/>
        <v>54</v>
      </c>
      <c r="BR100" s="241">
        <f t="shared" si="29" ca="1"/>
        <v>0.00023075295972719873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.75">
      <c r="A101" s="200"/>
      <c r="L101" s="211">
        <v>3</v>
      </c>
      <c r="M101" s="212">
        <v>3</v>
      </c>
      <c r="N101" s="218" t="s">
        <v>110</v>
      </c>
      <c r="O101" s="211"/>
      <c r="P101" s="211"/>
      <c r="Q101" s="211"/>
      <c r="R101" s="211" t="s">
        <v>109</v>
      </c>
      <c r="S101" s="211"/>
      <c r="T101" s="211"/>
      <c r="U101" s="248">
        <f>Sheet2!B48</f>
        <v>20</v>
      </c>
      <c r="V101" s="240">
        <f t="shared" si="30"/>
        <v>60</v>
      </c>
      <c r="W101" s="241">
        <f t="shared" si="31" ca="1"/>
        <v>0.00025639217747466526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111</v>
      </c>
      <c r="BJ101" s="214"/>
      <c r="BK101" s="214"/>
      <c r="BL101" s="214"/>
      <c r="BM101" s="211" t="s">
        <v>112</v>
      </c>
      <c r="BN101" s="211"/>
      <c r="BO101" s="211"/>
      <c r="BP101" s="248">
        <f t="shared" si="32"/>
        <v>25</v>
      </c>
      <c r="BQ101" s="240">
        <f t="shared" si="28"/>
        <v>25</v>
      </c>
      <c r="BR101" s="241">
        <f t="shared" si="29" ca="1"/>
        <v>0.00010683007394777719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.75">
      <c r="A102" s="200"/>
      <c r="L102" s="211">
        <v>4</v>
      </c>
      <c r="M102" s="219">
        <v>1</v>
      </c>
      <c r="N102" s="213" t="s">
        <v>111</v>
      </c>
      <c r="O102" s="214"/>
      <c r="P102" s="214"/>
      <c r="Q102" s="214"/>
      <c r="R102" s="211" t="s">
        <v>112</v>
      </c>
      <c r="S102" s="211"/>
      <c r="T102" s="211"/>
      <c r="U102" s="248">
        <v>40</v>
      </c>
      <c r="V102" s="240">
        <f t="shared" si="30"/>
        <v>40</v>
      </c>
      <c r="W102" s="241">
        <f t="shared" si="31" ca="1"/>
        <v>0.00017092811831644349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113</v>
      </c>
      <c r="BJ102" s="214"/>
      <c r="BK102" s="214"/>
      <c r="BL102" s="214"/>
      <c r="BM102" s="211" t="s">
        <v>112</v>
      </c>
      <c r="BN102" s="211"/>
      <c r="BO102" s="211"/>
      <c r="BP102" s="248">
        <f t="shared" si="32"/>
        <v>150</v>
      </c>
      <c r="BQ102" s="240">
        <f t="shared" si="28"/>
        <v>150</v>
      </c>
      <c r="BR102" s="241">
        <f t="shared" si="29" ca="1"/>
        <v>0.00064098044368666313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.75">
      <c r="A103" s="200"/>
      <c r="L103" s="211">
        <v>5</v>
      </c>
      <c r="M103" s="212">
        <v>1</v>
      </c>
      <c r="N103" s="213" t="s">
        <v>113</v>
      </c>
      <c r="O103" s="214"/>
      <c r="P103" s="214"/>
      <c r="Q103" s="214"/>
      <c r="R103" s="211" t="s">
        <v>112</v>
      </c>
      <c r="S103" s="211"/>
      <c r="T103" s="211"/>
      <c r="U103" s="248">
        <v>150</v>
      </c>
      <c r="V103" s="240">
        <f t="shared" si="30"/>
        <v>150</v>
      </c>
      <c r="W103" s="241">
        <f t="shared" si="31" ca="1"/>
        <v>0.00064098044368666313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114</v>
      </c>
      <c r="BJ103" s="214"/>
      <c r="BK103" s="214"/>
      <c r="BL103" s="214"/>
      <c r="BM103" s="211" t="s">
        <v>85</v>
      </c>
      <c r="BN103" s="211"/>
      <c r="BO103" s="211"/>
      <c r="BP103" s="248">
        <f t="shared" si="32"/>
        <v>40</v>
      </c>
      <c r="BQ103" s="240">
        <f t="shared" si="28"/>
        <v>80</v>
      </c>
      <c r="BR103" s="241">
        <f t="shared" si="29" ca="1"/>
        <v>0.000341856236632887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.75">
      <c r="A104" s="200"/>
      <c r="L104" s="211">
        <v>6</v>
      </c>
      <c r="M104" s="219">
        <v>2</v>
      </c>
      <c r="N104" s="213" t="s">
        <v>114</v>
      </c>
      <c r="O104" s="214"/>
      <c r="P104" s="214"/>
      <c r="Q104" s="214"/>
      <c r="R104" s="211" t="s">
        <v>85</v>
      </c>
      <c r="S104" s="211"/>
      <c r="T104" s="211"/>
      <c r="U104" s="248">
        <v>40</v>
      </c>
      <c r="V104" s="240">
        <f t="shared" si="30"/>
        <v>80</v>
      </c>
      <c r="W104" s="241">
        <f t="shared" si="31" ca="1"/>
        <v>0.000341856236632887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5</v>
      </c>
      <c r="BI104" s="213" t="s">
        <v>40</v>
      </c>
      <c r="BJ104" s="214"/>
      <c r="BK104" s="214"/>
      <c r="BL104" s="214"/>
      <c r="BM104" s="211"/>
      <c r="BN104" s="211"/>
      <c r="BO104" s="211"/>
      <c r="BP104" s="248">
        <f t="shared" si="32"/>
        <v>250</v>
      </c>
      <c r="BQ104" s="240">
        <f t="shared" si="28"/>
        <v>1250</v>
      </c>
      <c r="BR104" s="251">
        <f t="shared" si="29" ca="1"/>
        <v>0.0053415036973888594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.75">
      <c r="A105" s="200"/>
      <c r="L105" s="211">
        <v>7</v>
      </c>
      <c r="M105" s="212">
        <f>ROUNDUP(AM78,0)</f>
        <v>5</v>
      </c>
      <c r="N105" s="213" t="s">
        <v>40</v>
      </c>
      <c r="O105" s="214"/>
      <c r="P105" s="214"/>
      <c r="Q105" s="214"/>
      <c r="R105" s="211"/>
      <c r="S105" s="211"/>
      <c r="T105" s="211"/>
      <c r="U105" s="248">
        <f>Sheet2!B26</f>
        <v>250</v>
      </c>
      <c r="V105" s="240">
        <f ref="V105:V111" t="shared" si="33">M105*U105</f>
        <v>1250</v>
      </c>
      <c r="W105" s="251">
        <f t="shared" si="31" ca="1"/>
        <v>0.0053415036973888594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34">ROUNDUP(CH80,0)</f>
        <v>6</v>
      </c>
      <c r="BI105" s="213" t="s">
        <v>45</v>
      </c>
      <c r="BJ105" s="214"/>
      <c r="BK105" s="214"/>
      <c r="BL105" s="214"/>
      <c r="BM105" s="211"/>
      <c r="BN105" s="211"/>
      <c r="BO105" s="211"/>
      <c r="BP105" s="248">
        <f t="shared" si="32"/>
        <v>105</v>
      </c>
      <c r="BQ105" s="240">
        <f t="shared" si="28"/>
        <v>630</v>
      </c>
      <c r="BR105" s="251">
        <f t="shared" si="29" ca="1"/>
        <v>0.0026921178634839852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.75">
      <c r="A106" s="200"/>
      <c r="L106" s="211">
        <v>8</v>
      </c>
      <c r="M106" s="212">
        <f>ROUNDUP(AM79,0)</f>
        <v>6</v>
      </c>
      <c r="N106" s="213" t="s">
        <v>45</v>
      </c>
      <c r="O106" s="214"/>
      <c r="P106" s="214"/>
      <c r="Q106" s="214"/>
      <c r="R106" s="211"/>
      <c r="S106" s="211"/>
      <c r="T106" s="211"/>
      <c r="U106" s="248">
        <f>Sheet2!B25</f>
        <v>105</v>
      </c>
      <c r="V106" s="240">
        <f t="shared" si="33"/>
        <v>630</v>
      </c>
      <c r="W106" s="251">
        <f t="shared" si="31" ca="1"/>
        <v>0.0026921178634839852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34"/>
        <v>8</v>
      </c>
      <c r="BI106" s="213" t="s">
        <v>53</v>
      </c>
      <c r="BJ106" s="214"/>
      <c r="BK106" s="214"/>
      <c r="BL106" s="214"/>
      <c r="BM106" s="211"/>
      <c r="BN106" s="211"/>
      <c r="BO106" s="211"/>
      <c r="BP106" s="248">
        <f t="shared" si="32"/>
        <v>510</v>
      </c>
      <c r="BQ106" s="240">
        <f t="shared" si="28"/>
        <v>4080</v>
      </c>
      <c r="BR106" s="251">
        <f t="shared" si="29" ca="1"/>
        <v>0.017434668068277238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.75">
      <c r="A107" s="200"/>
      <c r="L107" s="211">
        <v>9</v>
      </c>
      <c r="M107" s="212">
        <f>ROUNDUP(AM80,0)</f>
        <v>10</v>
      </c>
      <c r="N107" s="213" t="s">
        <v>53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33"/>
        <v>5100</v>
      </c>
      <c r="W107" s="251">
        <f t="shared" si="31" ca="1"/>
        <v>0.021793335085346546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/>
      <c r="BI107" s="213"/>
      <c r="BJ107" s="214"/>
      <c r="BK107" s="214"/>
      <c r="BL107" s="214"/>
      <c r="BM107" s="211"/>
      <c r="BN107" s="211"/>
      <c r="BO107" s="211"/>
      <c r="BP107" s="248">
        <f t="shared" si="32"/>
        <v>20</v>
      </c>
      <c r="BQ107" s="240">
        <f t="shared" si="28"/>
        <v>0</v>
      </c>
      <c r="BR107" s="251">
        <f t="shared" si="29" ca="1"/>
        <v>0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.75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33"/>
        <v>0</v>
      </c>
      <c r="W108" s="251">
        <f t="shared" si="31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212">
        <f>IF((تسعير!CO83="B"),(Table15880101112[[#Totals],[الوزن]]+Table16627394105[[#Totals],[الوزن]]),0)</f>
        <v>0</v>
      </c>
      <c r="BI108" s="213" t="s">
        <v>132</v>
      </c>
      <c r="BJ108" s="214"/>
      <c r="BK108" s="214"/>
      <c r="BL108" s="214"/>
      <c r="BM108" s="211"/>
      <c r="BN108" s="211"/>
      <c r="BO108" s="211"/>
      <c r="BP108" s="248">
        <f t="shared" si="32"/>
        <v>450</v>
      </c>
      <c r="BQ108" s="240">
        <f t="shared" si="28"/>
        <v>0</v>
      </c>
      <c r="BR108" s="251">
        <f t="shared" si="29" ca="1"/>
        <v>0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.75">
      <c r="A109" s="200"/>
      <c r="L109" s="211">
        <v>11</v>
      </c>
      <c r="M109" s="212">
        <f>IF((تسعير!AT83="B"),(Table15880101[[#Totals],[الوزن]]+Table16627394[[#Totals],[الوزن]]),0)</f>
        <v>0</v>
      </c>
      <c r="N109" s="213" t="s">
        <v>132</v>
      </c>
      <c r="O109" s="214"/>
      <c r="P109" s="214"/>
      <c r="Q109" s="214"/>
      <c r="R109" s="211"/>
      <c r="S109" s="211"/>
      <c r="T109" s="211"/>
      <c r="U109" s="248">
        <v>20</v>
      </c>
      <c r="V109" s="240">
        <f t="shared" si="33"/>
        <v>0</v>
      </c>
      <c r="W109" s="251">
        <f t="shared" si="31" ca="1"/>
        <v>0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212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0</v>
      </c>
      <c r="BI109" s="213" t="s">
        <v>62</v>
      </c>
      <c r="BJ109" s="214"/>
      <c r="BK109" s="214"/>
      <c r="BL109" s="214"/>
      <c r="BM109" s="211" t="s">
        <v>115</v>
      </c>
      <c r="BN109" s="211"/>
      <c r="BO109" s="211"/>
      <c r="BP109" s="248">
        <f t="shared" si="32"/>
        <v>550</v>
      </c>
      <c r="BQ109" s="240">
        <f t="shared" si="28"/>
        <v>0</v>
      </c>
      <c r="BR109" s="251">
        <f t="shared" si="29" ca="1"/>
        <v>0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.75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0</v>
      </c>
      <c r="N110" s="213" t="s">
        <v>62</v>
      </c>
      <c r="O110" s="214"/>
      <c r="P110" s="214"/>
      <c r="Q110" s="214"/>
      <c r="R110" s="211" t="s">
        <v>115</v>
      </c>
      <c r="S110" s="211"/>
      <c r="T110" s="211"/>
      <c r="U110" s="248">
        <f>Sheet2!B18</f>
        <v>450</v>
      </c>
      <c r="V110" s="240">
        <f t="shared" si="33"/>
        <v>0</v>
      </c>
      <c r="W110" s="251">
        <f t="shared" si="31" ca="1"/>
        <v>0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212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0</v>
      </c>
      <c r="BI110" s="218" t="s">
        <v>70</v>
      </c>
      <c r="BJ110" s="214"/>
      <c r="BK110" s="214"/>
      <c r="BL110" s="214"/>
      <c r="BM110" s="218" t="s">
        <v>116</v>
      </c>
      <c r="BN110" s="211"/>
      <c r="BO110" s="211"/>
      <c r="BP110" s="248">
        <f t="shared" si="32"/>
        <v>160</v>
      </c>
      <c r="BQ110" s="240">
        <f t="shared" si="28"/>
        <v>0</v>
      </c>
      <c r="BR110" s="251">
        <f t="shared" si="29" ca="1"/>
        <v>0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.75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0</v>
      </c>
      <c r="N111" s="218" t="s">
        <v>70</v>
      </c>
      <c r="O111" s="214"/>
      <c r="P111" s="214"/>
      <c r="Q111" s="214"/>
      <c r="R111" s="218" t="s">
        <v>116</v>
      </c>
      <c r="S111" s="211"/>
      <c r="T111" s="211"/>
      <c r="U111" s="248">
        <f>Sheet2!B20</f>
        <v>550</v>
      </c>
      <c r="V111" s="240">
        <f t="shared" si="33"/>
        <v>0</v>
      </c>
      <c r="W111" s="251">
        <f t="shared" si="31" ca="1"/>
        <v>0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212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0</v>
      </c>
      <c r="BI111" s="218" t="s">
        <v>78</v>
      </c>
      <c r="BJ111" s="214"/>
      <c r="BK111" s="214"/>
      <c r="BL111" s="214"/>
      <c r="BM111" s="218" t="s">
        <v>117</v>
      </c>
      <c r="BN111" s="211"/>
      <c r="BO111" s="211"/>
      <c r="BP111" s="248">
        <f t="shared" si="32"/>
        <v>160</v>
      </c>
      <c r="BQ111" s="240">
        <f>BH111*BP112</f>
        <v>0</v>
      </c>
      <c r="BR111" s="251">
        <f t="shared" si="29" ca="1"/>
        <v>0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.75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0</v>
      </c>
      <c r="N112" s="218" t="s">
        <v>78</v>
      </c>
      <c r="O112" s="214"/>
      <c r="P112" s="214"/>
      <c r="Q112" s="214"/>
      <c r="R112" s="218" t="s">
        <v>117</v>
      </c>
      <c r="S112" s="211"/>
      <c r="T112" s="211"/>
      <c r="U112" s="248">
        <f>Sheet2!B22</f>
        <v>160</v>
      </c>
      <c r="V112" s="240">
        <f>M112*U113</f>
        <v>0</v>
      </c>
      <c r="W112" s="251">
        <f t="shared" si="31" ca="1"/>
        <v>0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212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0</v>
      </c>
      <c r="BI112" s="218" t="s">
        <v>80</v>
      </c>
      <c r="BJ112" s="214"/>
      <c r="BK112" s="214"/>
      <c r="BL112" s="214"/>
      <c r="BM112" s="218" t="s">
        <v>117</v>
      </c>
      <c r="BN112" s="211"/>
      <c r="BO112" s="211"/>
      <c r="BP112" s="248">
        <f t="shared" si="32"/>
        <v>0</v>
      </c>
      <c r="BQ112" s="240">
        <f>BH112*BP113</f>
        <v>0</v>
      </c>
      <c r="BR112" s="251">
        <f t="shared" si="29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.75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0</v>
      </c>
      <c r="N113" s="218" t="s">
        <v>80</v>
      </c>
      <c r="O113" s="214"/>
      <c r="P113" s="214"/>
      <c r="Q113" s="214"/>
      <c r="R113" s="218" t="s">
        <v>117</v>
      </c>
      <c r="S113" s="211"/>
      <c r="T113" s="211"/>
      <c r="U113" s="248">
        <f>Sheet2!B23</f>
        <v>160</v>
      </c>
      <c r="V113" s="240">
        <f>M113*U114</f>
        <v>0</v>
      </c>
      <c r="W113" s="251">
        <f t="shared" si="31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18" t="s">
        <v>58</v>
      </c>
      <c r="BH113" s="519"/>
      <c r="BI113" s="520" t="s">
        <v>58</v>
      </c>
      <c r="BJ113" s="521"/>
      <c r="BK113" s="521"/>
      <c r="BL113" s="521"/>
      <c r="BM113" s="518" t="s">
        <v>118</v>
      </c>
      <c r="BN113" s="518"/>
      <c r="BO113" s="518"/>
      <c r="BP113" s="523"/>
      <c r="BQ113" s="524">
        <f>SUBTOTAL(109,Table13597192103[اجمالي])</f>
        <v>7337.6666666666661</v>
      </c>
      <c r="BR113" s="525">
        <f>Table13597192103[[#Totals],[اجمالي]]/$R$68</f>
        <v>0.031355338904165586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.75">
      <c r="A114" s="200"/>
      <c r="L114" s="518" t="s">
        <v>58</v>
      </c>
      <c r="M114" s="519"/>
      <c r="N114" s="520" t="s">
        <v>58</v>
      </c>
      <c r="O114" s="521"/>
      <c r="P114" s="521"/>
      <c r="Q114" s="521"/>
      <c r="R114" s="518" t="s">
        <v>118</v>
      </c>
      <c r="S114" s="518"/>
      <c r="T114" s="518"/>
      <c r="U114" s="523"/>
      <c r="V114" s="524">
        <f>SUBTOTAL(109,Table13597192[اجمالي])</f>
        <v>8691.3333333333321</v>
      </c>
      <c r="W114" s="525">
        <f>Table13597192[[#Totals],[اجمالي]]/$R$68</f>
        <v>0.037139831308191228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.75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629" t="s">
        <v>131</v>
      </c>
      <c r="BK115" s="629"/>
      <c r="BL115" s="629"/>
      <c r="BM115" s="629"/>
      <c r="BN115" s="629"/>
      <c r="BO115" s="629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.75">
      <c r="A116" s="200"/>
      <c r="L116" s="216"/>
      <c r="M116" s="216"/>
      <c r="N116" s="217"/>
      <c r="O116" s="629" t="s">
        <v>131</v>
      </c>
      <c r="P116" s="629"/>
      <c r="Q116" s="629"/>
      <c r="R116" s="629"/>
      <c r="S116" s="629"/>
      <c r="T116" s="629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27</v>
      </c>
      <c r="BH116" s="211" t="s">
        <v>28</v>
      </c>
      <c r="BI116" s="218" t="s">
        <v>29</v>
      </c>
      <c r="BJ116" s="211" t="s">
        <v>30</v>
      </c>
      <c r="BK116" s="211" t="s">
        <v>9</v>
      </c>
      <c r="BL116" s="211" t="s">
        <v>63</v>
      </c>
      <c r="BM116" s="211" t="s">
        <v>32</v>
      </c>
      <c r="BN116" s="211" t="s">
        <v>33</v>
      </c>
      <c r="BO116" s="211" t="s">
        <v>64</v>
      </c>
      <c r="BP116" s="211" t="s">
        <v>35</v>
      </c>
      <c r="BQ116" s="245" t="s">
        <v>36</v>
      </c>
      <c r="BR116" s="211" t="s">
        <v>37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.75">
      <c r="A117" s="200"/>
      <c r="L117" s="211" t="s">
        <v>27</v>
      </c>
      <c r="M117" s="211" t="s">
        <v>28</v>
      </c>
      <c r="N117" s="218" t="s">
        <v>29</v>
      </c>
      <c r="O117" s="211" t="s">
        <v>30</v>
      </c>
      <c r="P117" s="211" t="s">
        <v>9</v>
      </c>
      <c r="Q117" s="211" t="s">
        <v>63</v>
      </c>
      <c r="R117" s="211" t="s">
        <v>32</v>
      </c>
      <c r="S117" s="211" t="s">
        <v>33</v>
      </c>
      <c r="T117" s="211" t="s">
        <v>64</v>
      </c>
      <c r="U117" s="211" t="s">
        <v>35</v>
      </c>
      <c r="V117" s="245" t="s">
        <v>36</v>
      </c>
      <c r="W117" s="211" t="s">
        <v>37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556</v>
      </c>
      <c r="BJ117" s="214"/>
      <c r="BK117" s="211"/>
      <c r="BL117" s="216"/>
      <c r="BM117" s="214"/>
      <c r="BN117" s="211"/>
      <c r="BO117" s="247"/>
      <c r="BP117" s="248">
        <f>Table80102113[[#Totals],[price]]</f>
        <v>99881.5</v>
      </c>
      <c r="BQ117" s="252">
        <f>BH117*Table1613687798109[[#This Row],[سعر الشبك ]]</f>
        <v>99881.5</v>
      </c>
      <c r="BR117" s="241">
        <f>(BQ117)/$R$68</f>
        <v>0.42681392124059631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.75">
      <c r="A118" s="200"/>
      <c r="L118" s="211">
        <v>5</v>
      </c>
      <c r="M118" s="219">
        <v>1</v>
      </c>
      <c r="N118" s="213" t="s">
        <v>556</v>
      </c>
      <c r="O118" s="214"/>
      <c r="P118" s="211"/>
      <c r="Q118" s="216"/>
      <c r="R118" s="214"/>
      <c r="S118" s="211"/>
      <c r="T118" s="247"/>
      <c r="U118" s="248">
        <f>F97</f>
        <v>128454</v>
      </c>
      <c r="V118" s="252">
        <f>M118*Table1613687798[[#This Row],[سعر الشبك ]]</f>
        <v>128454</v>
      </c>
      <c r="W118" s="241">
        <f>(V118)/$R$68</f>
        <v>0.54891001275551088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130</v>
      </c>
      <c r="BJ118" s="214"/>
      <c r="BK118" s="211"/>
      <c r="BL118" s="216"/>
      <c r="BM118" s="214"/>
      <c r="BN118" s="211"/>
      <c r="BO118" s="247"/>
      <c r="BP118" s="248">
        <f>BQ117</f>
        <v>99881.5</v>
      </c>
      <c r="BQ118" s="240">
        <f>BH118*Table1613687798109[[#This Row],[سعر الشبك ]]</f>
        <v>9988.1500000000015</v>
      </c>
      <c r="BR118" s="241">
        <f>(BQ118)/$R$68</f>
        <v>0.042681392124059636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.75">
      <c r="A119" s="200"/>
      <c r="L119" s="211">
        <v>4</v>
      </c>
      <c r="M119" s="212">
        <f>IF((Q135="الاسكندرية"),0.25,0.1)</f>
        <v>0.1</v>
      </c>
      <c r="N119" s="213" t="s">
        <v>130</v>
      </c>
      <c r="O119" s="214"/>
      <c r="P119" s="211"/>
      <c r="Q119" s="216"/>
      <c r="R119" s="214"/>
      <c r="S119" s="211"/>
      <c r="T119" s="247"/>
      <c r="U119" s="248">
        <f>F97</f>
        <v>128454</v>
      </c>
      <c r="V119" s="240">
        <f>M119*Table1613687798[[#This Row],[سعر الشبك ]]</f>
        <v>12845.400000000002</v>
      </c>
      <c r="W119" s="241">
        <f>(V119)/$R$68</f>
        <v>0.054891001275551091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58</v>
      </c>
      <c r="BH119" s="212"/>
      <c r="BI119" s="213" t="s">
        <v>58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109869.65</v>
      </c>
      <c r="BR119" s="244">
        <f>Table1613687798109[[#Totals],[اجمالي]]/$R$68</f>
        <v>0.46949531336465589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.75">
      <c r="A120" s="200"/>
      <c r="L120" s="211" t="s">
        <v>58</v>
      </c>
      <c r="M120" s="212"/>
      <c r="N120" s="213" t="s">
        <v>58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>
        <f>SUBTOTAL(109,Table1613687798[اجمالي])</f>
        <v>141299.4</v>
      </c>
      <c r="W120" s="244">
        <f>Table1613687798[[#Totals],[اجمالي]]/$R$68</f>
        <v>0.6038010140310619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629" t="s">
        <v>133</v>
      </c>
      <c r="BK120" s="629"/>
      <c r="BL120" s="629"/>
      <c r="BM120" s="629"/>
      <c r="BN120" s="629"/>
      <c r="BO120" s="629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.75">
      <c r="A121" s="200"/>
      <c r="L121" s="216"/>
      <c r="M121" s="216"/>
      <c r="N121" s="217"/>
      <c r="O121" s="629" t="s">
        <v>133</v>
      </c>
      <c r="P121" s="629"/>
      <c r="Q121" s="629"/>
      <c r="R121" s="629"/>
      <c r="S121" s="629"/>
      <c r="T121" s="629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27</v>
      </c>
      <c r="BH121" s="211" t="s">
        <v>28</v>
      </c>
      <c r="BI121" s="218" t="s">
        <v>29</v>
      </c>
      <c r="BJ121" s="211" t="s">
        <v>134</v>
      </c>
      <c r="BK121" s="211" t="s">
        <v>12</v>
      </c>
      <c r="BL121" s="211" t="s">
        <v>135</v>
      </c>
      <c r="BM121" s="211" t="s">
        <v>136</v>
      </c>
      <c r="BN121" s="211" t="s">
        <v>63</v>
      </c>
      <c r="BO121" s="211" t="s">
        <v>137</v>
      </c>
      <c r="BP121" s="211" t="s">
        <v>138</v>
      </c>
      <c r="BQ121" s="245" t="s">
        <v>36</v>
      </c>
      <c r="BR121" s="211" t="s">
        <v>37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.75">
      <c r="A122" s="200"/>
      <c r="L122" s="211" t="s">
        <v>27</v>
      </c>
      <c r="M122" s="211" t="s">
        <v>28</v>
      </c>
      <c r="N122" s="218" t="s">
        <v>29</v>
      </c>
      <c r="O122" s="211" t="s">
        <v>134</v>
      </c>
      <c r="P122" s="211" t="s">
        <v>12</v>
      </c>
      <c r="Q122" s="211" t="s">
        <v>135</v>
      </c>
      <c r="R122" s="211" t="s">
        <v>136</v>
      </c>
      <c r="S122" s="211" t="s">
        <v>63</v>
      </c>
      <c r="T122" s="211" t="s">
        <v>137</v>
      </c>
      <c r="U122" s="211" t="s">
        <v>138</v>
      </c>
      <c r="V122" s="245" t="s">
        <v>36</v>
      </c>
      <c r="W122" s="211" t="s">
        <v>37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139</v>
      </c>
      <c r="BJ122" s="211">
        <f>IF((Table1612677697108[[#This Row],[موقع العمل]]="المصنع"),185,IF((Table1612677697108[[#This Row],[موقع العمل]]="الاسكندرية"),185,235))</f>
        <v>185</v>
      </c>
      <c r="BK122" s="211">
        <f>SUMIF(Table17697899110[Column1],Table1612677697108[[#This Row],[موقع العمل]],$AB$2:$AB$20)</f>
        <v>0</v>
      </c>
      <c r="BL122" s="211" t="s">
        <v>140</v>
      </c>
      <c r="BM122" s="214" t="s">
        <v>39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2" s="240">
        <f ref="BQ122:BQ134" t="shared" si="35" ca="1">BH122*BP122</f>
        <v>370</v>
      </c>
      <c r="BR122" s="241">
        <f ref="BR122:BR134" t="shared" si="36" ca="1">(BQ122)/$R$68</f>
        <v>0.0015810850944271023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.75">
      <c r="A123" s="200"/>
      <c r="L123" s="211">
        <v>1</v>
      </c>
      <c r="M123" s="219">
        <v>2</v>
      </c>
      <c r="N123" s="220" t="s">
        <v>139</v>
      </c>
      <c r="O123" s="211">
        <f>IF((Table1612677697[[#This Row],[موقع العمل]]="المصنع"),200,IF((Table1612677697[[#This Row],[موقع العمل]]="الاسكندرية"),200,250))</f>
        <v>200</v>
      </c>
      <c r="P123" s="211">
        <f>SUMIF(Table17697899[Column1],Table1612677697[[#This Row],[موقع العمل]],$AB$2:$AB$20)</f>
        <v>0</v>
      </c>
      <c r="Q123" s="211" t="s">
        <v>140</v>
      </c>
      <c r="R123" s="214" t="s">
        <v>39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3" s="240">
        <f ref="V123:V135" t="shared" si="37" ca="1">M123*U123</f>
        <v>400</v>
      </c>
      <c r="W123" s="241">
        <f ref="W123:W135" t="shared" si="38" ca="1">(V123)/$R$68</f>
        <v>0.001709281183164435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141</v>
      </c>
      <c r="BJ123" s="211">
        <f>IF((Table1612677697108[[#This Row],[موقع العمل]]="المصنع"),185,IF((Table1612677697108[[#This Row],[موقع العمل]]="الاسكندرية"),185,235))</f>
        <v>185</v>
      </c>
      <c r="BK123" s="211">
        <f>SUMIF(Table17697899110[Column1],Table1612677697108[[#This Row],[موقع العمل]],$AB$2:$AB$20)</f>
        <v>0</v>
      </c>
      <c r="BL123" s="211" t="s">
        <v>140</v>
      </c>
      <c r="BM123" s="214" t="s">
        <v>39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3" s="240">
        <f t="shared" si="35" ca="1"/>
        <v>370</v>
      </c>
      <c r="BR123" s="241">
        <f t="shared" si="36" ca="1"/>
        <v>0.0015810850944271023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.75">
      <c r="A124" s="200"/>
      <c r="L124" s="211">
        <v>2</v>
      </c>
      <c r="M124" s="219">
        <v>2</v>
      </c>
      <c r="N124" s="220" t="s">
        <v>141</v>
      </c>
      <c r="O124" s="211">
        <f>IF((Table1612677697[[#This Row],[موقع العمل]]="المصنع"),200,IF((Table1612677697[[#This Row],[موقع العمل]]="الاسكندرية"),200,250))</f>
        <v>200</v>
      </c>
      <c r="P124" s="211">
        <f>SUMIF(Table17697899[Column1],Table1612677697[[#This Row],[موقع العمل]],$AB$2:$AB$20)</f>
        <v>0</v>
      </c>
      <c r="Q124" s="211" t="s">
        <v>140</v>
      </c>
      <c r="R124" s="214" t="s">
        <v>39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4" s="240">
        <f t="shared" si="37" ca="1"/>
        <v>400</v>
      </c>
      <c r="W124" s="241">
        <f t="shared" si="38" ca="1"/>
        <v>0.001709281183164435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142</v>
      </c>
      <c r="BJ124" s="211">
        <f>IF((Table1612677697108[[#This Row],[موقع العمل]]="المصنع"),185,IF((Table1612677697108[[#This Row],[موقع العمل]]="الاسكندرية"),185,235))</f>
        <v>185</v>
      </c>
      <c r="BK124" s="211">
        <f>SUMIF(Table17697899110[Column1],Table1612677697108[[#This Row],[موقع العمل]],$AB$2:$AB$20)</f>
        <v>0</v>
      </c>
      <c r="BL124" s="211" t="s">
        <v>140</v>
      </c>
      <c r="BM124" s="214" t="s">
        <v>39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5"/>
        <v>0</v>
      </c>
      <c r="BR124" s="241">
        <f t="shared" si="36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.75">
      <c r="A125" s="200"/>
      <c r="L125" s="211">
        <v>3</v>
      </c>
      <c r="M125" s="219">
        <v>3</v>
      </c>
      <c r="N125" s="220" t="s">
        <v>142</v>
      </c>
      <c r="O125" s="211">
        <f>IF((Table1612677697[[#This Row],[موقع العمل]]="المصنع"),200,IF((Table1612677697[[#This Row],[موقع العمل]]="الاسكندرية"),200,250))</f>
        <v>200</v>
      </c>
      <c r="P125" s="211">
        <f>SUMIF(Table17697899[Column1],Table1612677697[[#This Row],[موقع العمل]],$AB$2:$AB$20)</f>
        <v>0</v>
      </c>
      <c r="Q125" s="211" t="s">
        <v>140</v>
      </c>
      <c r="R125" s="214" t="s">
        <v>39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7"/>
        <v>0</v>
      </c>
      <c r="W125" s="241">
        <f t="shared" si="38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143</v>
      </c>
      <c r="BJ125" s="211">
        <f>IF((Table1612677697108[[#This Row],[موقع العمل]]="المصنع"),185,IF((Table1612677697108[[#This Row],[موقع العمل]]="الاسكندرية"),185,235))</f>
        <v>185</v>
      </c>
      <c r="BK125" s="211">
        <f>SUMIF(Table17697899110[Column1],Table1612677697108[[#This Row],[موقع العمل]],$AB$2:$AB$20)</f>
        <v>0</v>
      </c>
      <c r="BL125" s="211" t="s">
        <v>140</v>
      </c>
      <c r="BM125" s="214" t="s">
        <v>39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370</v>
      </c>
      <c r="BQ125" s="240">
        <f t="shared" si="35" ca="1"/>
        <v>1110</v>
      </c>
      <c r="BR125" s="241">
        <f t="shared" si="36" ca="1"/>
        <v>0.0047432552832813073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.75">
      <c r="A126" s="200"/>
      <c r="L126" s="211">
        <v>4</v>
      </c>
      <c r="M126" s="212">
        <v>3</v>
      </c>
      <c r="N126" s="220" t="s">
        <v>143</v>
      </c>
      <c r="O126" s="211">
        <f>IF((Table1612677697[[#This Row],[موقع العمل]]="المصنع"),200,IF((Table1612677697[[#This Row],[موقع العمل]]="الاسكندرية"),200,250))</f>
        <v>200</v>
      </c>
      <c r="P126" s="211">
        <f>SUMIF(Table17697899[Column1],Table1612677697[[#This Row],[موقع العمل]],$AB$2:$AB$20)</f>
        <v>0</v>
      </c>
      <c r="Q126" s="211" t="s">
        <v>140</v>
      </c>
      <c r="R126" s="214" t="s">
        <v>39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400</v>
      </c>
      <c r="V126" s="240">
        <f t="shared" si="37" ca="1"/>
        <v>1200</v>
      </c>
      <c r="W126" s="241">
        <f t="shared" si="38" ca="1"/>
        <v>0.005127843549493305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144</v>
      </c>
      <c r="BJ126" s="211">
        <f>IF((Table1612677697108[[#This Row],[موقع العمل]]="المصنع"),185,IF((Table1612677697108[[#This Row],[موقع العمل]]="الاسكندرية"),185,235))</f>
        <v>235</v>
      </c>
      <c r="BK126" s="211">
        <f>SUMIF(Table17697899110[Column1],Table1612677697108[[#This Row],[موقع العمل]],$AB$2:$AB$20)</f>
        <v>75</v>
      </c>
      <c r="BL126" s="211" t="str">
        <f>تسعير!$BE$44</f>
        <v>التجمع</v>
      </c>
      <c r="BM126" s="214" t="s">
        <v>39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6" s="240">
        <f t="shared" si="35" ca="1"/>
        <v>2480</v>
      </c>
      <c r="BR126" s="241">
        <f t="shared" si="36" ca="1"/>
        <v>0.010597543335619497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.75">
      <c r="A127" s="200"/>
      <c r="L127" s="211">
        <v>5</v>
      </c>
      <c r="M127" s="212">
        <v>4</v>
      </c>
      <c r="N127" s="220" t="s">
        <v>144</v>
      </c>
      <c r="O127" s="211">
        <f>IF((Table1612677697[[#This Row],[موقع العمل]]="المصنع"),200,IF((Table1612677697[[#This Row],[موقع العمل]]="الاسكندرية"),200,250))</f>
        <v>250</v>
      </c>
      <c r="P127" s="211">
        <f>SUMIF(Table17697899[Column1],Table1612677697[[#This Row],[موقع العمل]],$AB$2:$AB$20)</f>
        <v>75</v>
      </c>
      <c r="Q127" s="211" t="str">
        <f>تسعير!$BE$24</f>
        <v>الشيخ زايد</v>
      </c>
      <c r="R127" s="214" t="s">
        <v>39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7" s="240">
        <f t="shared" si="37" ca="1"/>
        <v>2600</v>
      </c>
      <c r="W127" s="241">
        <f t="shared" si="38" ca="1"/>
        <v>0.011110327690568828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145</v>
      </c>
      <c r="BJ127" s="211">
        <f>IF((Table1612677697108[[#This Row],[موقع العمل]]="المصنع"),185,IF((Table1612677697108[[#This Row],[موقع العمل]]="الاسكندرية"),185,235))</f>
        <v>235</v>
      </c>
      <c r="BK127" s="211">
        <f>SUMIF(Table17697899110[Column1],Table1612677697108[[#This Row],[موقع العمل]],$AB$2:$AB$20)</f>
        <v>75</v>
      </c>
      <c r="BL127" s="211" t="str">
        <f>تسعير!$BE$44</f>
        <v>التجمع</v>
      </c>
      <c r="BM127" s="214" t="s">
        <v>39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7" s="240">
        <f t="shared" si="35" ca="1"/>
        <v>1860</v>
      </c>
      <c r="BR127" s="241">
        <f t="shared" si="36" ca="1"/>
        <v>0.0079481575017146221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.75">
      <c r="A128" s="200"/>
      <c r="L128" s="211">
        <v>6</v>
      </c>
      <c r="M128" s="212">
        <v>3</v>
      </c>
      <c r="N128" s="220" t="s">
        <v>145</v>
      </c>
      <c r="O128" s="211">
        <f>IF((Table1612677697[[#This Row],[موقع العمل]]="المصنع"),200,IF((Table1612677697[[#This Row],[موقع العمل]]="الاسكندرية"),200,250))</f>
        <v>250</v>
      </c>
      <c r="P128" s="211">
        <f>SUMIF(Table17697899[Column1],Table1612677697[[#This Row],[موقع العمل]],$AB$2:$AB$20)</f>
        <v>75</v>
      </c>
      <c r="Q128" s="211" t="str">
        <f>تسعير!$BE$24</f>
        <v>الشيخ زايد</v>
      </c>
      <c r="R128" s="214" t="s">
        <v>39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8" s="240">
        <f t="shared" si="37" ca="1"/>
        <v>1950</v>
      </c>
      <c r="W128" s="241">
        <f t="shared" si="38" ca="1"/>
        <v>0.00833274576792662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146</v>
      </c>
      <c r="BJ128" s="211">
        <f>IF((Table1612677697108[[#This Row],[موقع العمل]]="المصنع"),185,IF((Table1612677697108[[#This Row],[موقع العمل]]="الاسكندرية"),185,235))</f>
        <v>235</v>
      </c>
      <c r="BK128" s="211">
        <f>SUMIF(Table17697899110[Column1],Table1612677697108[[#This Row],[موقع العمل]],$AB$2:$AB$20)</f>
        <v>75</v>
      </c>
      <c r="BL128" s="211" t="str">
        <f>تسعير!$BE$44</f>
        <v>التجمع</v>
      </c>
      <c r="BM128" s="214" t="s">
        <v>39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5"/>
        <v>0</v>
      </c>
      <c r="BR128" s="241">
        <f t="shared" si="36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.75">
      <c r="A129" s="200"/>
      <c r="L129" s="211">
        <v>7</v>
      </c>
      <c r="M129" s="212">
        <v>0</v>
      </c>
      <c r="N129" s="220" t="s">
        <v>146</v>
      </c>
      <c r="O129" s="211">
        <f>IF((Table1612677697[[#This Row],[موقع العمل]]="المصنع"),200,IF((Table1612677697[[#This Row],[موقع العمل]]="الاسكندرية"),200,250))</f>
        <v>250</v>
      </c>
      <c r="P129" s="211">
        <f>SUMIF(Table17697899[Column1],Table1612677697[[#This Row],[موقع العمل]],$AB$2:$AB$20)</f>
        <v>75</v>
      </c>
      <c r="Q129" s="211" t="str">
        <f>تسعير!$BE$24</f>
        <v>الشيخ زايد</v>
      </c>
      <c r="R129" s="214" t="s">
        <v>39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7"/>
        <v>0</v>
      </c>
      <c r="W129" s="241">
        <f t="shared" si="38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18"/>
      <c r="AW129" s="319"/>
      <c r="AX129" s="319"/>
      <c r="AY129" s="319"/>
      <c r="AZ129" s="319"/>
      <c r="BA129" s="319"/>
      <c r="BG129" s="211">
        <v>8</v>
      </c>
      <c r="BH129" s="212">
        <v>4</v>
      </c>
      <c r="BI129" s="220" t="s">
        <v>147</v>
      </c>
      <c r="BJ129" s="211">
        <f>IF((Table1612677697108[[#This Row],[موقع العمل]]="المصنع"),185,IF((Table1612677697108[[#This Row],[موقع العمل]]="الاسكندرية"),185,235))</f>
        <v>235</v>
      </c>
      <c r="BK129" s="211">
        <f>SUMIF(Table17697899110[Column1],Table1612677697108[[#This Row],[موقع العمل]],$AB$2:$AB$20)</f>
        <v>75</v>
      </c>
      <c r="BL129" s="211" t="str">
        <f>تسعير!$BE$44</f>
        <v>التجمع</v>
      </c>
      <c r="BM129" s="214" t="s">
        <v>39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9" s="240">
        <f t="shared" si="35" ca="1"/>
        <v>2480</v>
      </c>
      <c r="BR129" s="241">
        <f t="shared" si="36" ca="1"/>
        <v>0.010597543335619497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.75">
      <c r="A130" s="200"/>
      <c r="L130" s="211">
        <v>8</v>
      </c>
      <c r="M130" s="212">
        <v>4</v>
      </c>
      <c r="N130" s="220" t="s">
        <v>147</v>
      </c>
      <c r="O130" s="211">
        <f>IF((Table1612677697[[#This Row],[موقع العمل]]="المصنع"),200,IF((Table1612677697[[#This Row],[موقع العمل]]="الاسكندرية"),200,250))</f>
        <v>250</v>
      </c>
      <c r="P130" s="211">
        <f>SUMIF(Table17697899[Column1],Table1612677697[[#This Row],[موقع العمل]],$AB$2:$AB$20)</f>
        <v>75</v>
      </c>
      <c r="Q130" s="211" t="str">
        <f>تسعير!$BE$24</f>
        <v>الشيخ زايد</v>
      </c>
      <c r="R130" s="214" t="s">
        <v>39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30" s="240">
        <f t="shared" si="37" ca="1"/>
        <v>2600</v>
      </c>
      <c r="W130" s="241">
        <f t="shared" si="38" ca="1"/>
        <v>0.011110327690568828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148</v>
      </c>
      <c r="BJ130" s="211"/>
      <c r="BK130" s="211"/>
      <c r="BL130" s="211" t="str">
        <f>تسعير!$BE$44</f>
        <v>التجمع</v>
      </c>
      <c r="BM130" s="214"/>
      <c r="BN130" s="247">
        <f>SUMIF(Table17697899110[Column1],Table1612677697108[[#This Row],[موقع العمل]],$Z$2:$Z$20)</f>
        <v>120</v>
      </c>
      <c r="BO130" s="247"/>
      <c r="BP130" s="243">
        <f>Table1612677697108[[#This Row],[Column12]]</f>
        <v>120</v>
      </c>
      <c r="BQ130" s="240">
        <f t="shared" si="35" ca="1"/>
        <v>2640</v>
      </c>
      <c r="BR130" s="241">
        <f t="shared" si="36" ca="1"/>
        <v>0.011281255808885272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.75">
      <c r="A131" s="200"/>
      <c r="L131" s="211">
        <v>9</v>
      </c>
      <c r="M131" s="212">
        <f>(M127+M128+M129+M130)*2</f>
        <v>22</v>
      </c>
      <c r="N131" s="220" t="s">
        <v>148</v>
      </c>
      <c r="O131" s="211"/>
      <c r="P131" s="211"/>
      <c r="Q131" s="211" t="str">
        <f>تسعير!$BE$24</f>
        <v>الشيخ زايد</v>
      </c>
      <c r="R131" s="214"/>
      <c r="S131" s="247">
        <f>SUMIF(Table17697899[Column1],Table1612677697[[#This Row],[موقع العمل]],$Z$2:$Z$20)</f>
        <v>120</v>
      </c>
      <c r="T131" s="247"/>
      <c r="U131" s="243">
        <f>Table1612677697[[#This Row],[Column12]]</f>
        <v>120</v>
      </c>
      <c r="V131" s="240">
        <f t="shared" si="37" ca="1"/>
        <v>2640</v>
      </c>
      <c r="W131" s="241">
        <f t="shared" si="38" ca="1"/>
        <v>0.011281255808885272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149</v>
      </c>
      <c r="BJ131" s="211"/>
      <c r="BK131" s="211"/>
      <c r="BL131" s="211" t="str">
        <f>تسعير!$BE$44</f>
        <v>التجمع</v>
      </c>
      <c r="BM131" s="214"/>
      <c r="BN131" s="247">
        <f>SUMIF(Table17697899110[Column1],Table1612677697108[[#This Row],[موقع العمل]],$AA$2:$AA$20)</f>
        <v>250</v>
      </c>
      <c r="BO131" s="247"/>
      <c r="BP131" s="243">
        <f>Table1612677697108[[#This Row],[Column12]]</f>
        <v>250</v>
      </c>
      <c r="BQ131" s="240">
        <f t="shared" si="35" ca="1"/>
        <v>2250</v>
      </c>
      <c r="BR131" s="241">
        <f t="shared" si="36" ca="1"/>
        <v>0.0096147066552999469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.75">
      <c r="A132" s="200"/>
      <c r="L132" s="211">
        <v>10</v>
      </c>
      <c r="M132" s="212">
        <f>((T127+T128+T129+T130)*2)-3</f>
        <v>9</v>
      </c>
      <c r="N132" s="220" t="s">
        <v>149</v>
      </c>
      <c r="O132" s="211"/>
      <c r="P132" s="211"/>
      <c r="Q132" s="211" t="str">
        <f>تسعير!$BE$24</f>
        <v>الشيخ زايد</v>
      </c>
      <c r="R132" s="214"/>
      <c r="S132" s="247">
        <f>SUMIF(Table17697899[Column1],Table1612677697[[#This Row],[موقع العمل]],$AA$2:$AA$20)</f>
        <v>250</v>
      </c>
      <c r="T132" s="247"/>
      <c r="U132" s="243">
        <f>Table1612677697[[#This Row],[Column12]]</f>
        <v>250</v>
      </c>
      <c r="V132" s="240">
        <f t="shared" si="37" ca="1"/>
        <v>2250</v>
      </c>
      <c r="W132" s="241">
        <f t="shared" si="38" ca="1"/>
        <v>0.0096147066552999469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150</v>
      </c>
      <c r="BJ132" s="211"/>
      <c r="BK132" s="211"/>
      <c r="BL132" s="211" t="str">
        <f>تسعير!$BE$44</f>
        <v>التجمع</v>
      </c>
      <c r="BM132" s="214"/>
      <c r="BN132" s="247">
        <f>SUMIF(Table17697899110[Column1],Table1612677697108[[#This Row],[موقع العمل]],$AC$2:$AC$20)</f>
        <v>1600</v>
      </c>
      <c r="BO132" s="247"/>
      <c r="BP132" s="243">
        <f>Table1612677697108[[#This Row],[Column12]]</f>
        <v>1600</v>
      </c>
      <c r="BQ132" s="240">
        <f t="shared" si="35" ca="1"/>
        <v>0</v>
      </c>
      <c r="BR132" s="241">
        <f t="shared" si="36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.75">
      <c r="A133" s="200"/>
      <c r="L133" s="211">
        <v>11</v>
      </c>
      <c r="M133" s="212">
        <v>0</v>
      </c>
      <c r="N133" s="220" t="s">
        <v>150</v>
      </c>
      <c r="O133" s="211"/>
      <c r="P133" s="211"/>
      <c r="Q133" s="211" t="str">
        <f>تسعير!$BE$24</f>
        <v>الشيخ زايد</v>
      </c>
      <c r="R133" s="214"/>
      <c r="S133" s="247">
        <f>SUMIF(Table17697899[Column1],Table1612677697[[#This Row],[موقع العمل]],$AC$2:$AC$20)</f>
        <v>1500</v>
      </c>
      <c r="T133" s="247"/>
      <c r="U133" s="243">
        <f>Table1612677697[[#This Row],[Column12]]</f>
        <v>1500</v>
      </c>
      <c r="V133" s="240">
        <f t="shared" si="37" ca="1"/>
        <v>0</v>
      </c>
      <c r="W133" s="241">
        <f t="shared" si="38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151</v>
      </c>
      <c r="BJ133" s="211"/>
      <c r="BK133" s="211"/>
      <c r="BL133" s="211" t="str">
        <f>تسعير!$BE$44</f>
        <v>التجمع</v>
      </c>
      <c r="BM133" s="214"/>
      <c r="BN133" s="247">
        <f>SUMIF(Table17697899110[Column1],Table1612677697108[[#This Row],[موقع العمل]],$AD$2:$AD$20)</f>
        <v>2300</v>
      </c>
      <c r="BO133" s="247"/>
      <c r="BP133" s="243">
        <f>Table1612677697108[[#This Row],[Column12]]</f>
        <v>2300</v>
      </c>
      <c r="BQ133" s="240">
        <f t="shared" si="35" ca="1"/>
        <v>4600</v>
      </c>
      <c r="BR133" s="241">
        <f t="shared" si="36" ca="1"/>
        <v>0.019656733606391003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.75">
      <c r="A134" s="200"/>
      <c r="L134" s="211">
        <v>12</v>
      </c>
      <c r="M134" s="212">
        <f>IF((تسعير!$AU$14="بالتات"),1,2)</f>
        <v>2</v>
      </c>
      <c r="N134" s="220" t="s">
        <v>151</v>
      </c>
      <c r="O134" s="211"/>
      <c r="P134" s="211"/>
      <c r="Q134" s="211" t="str">
        <f>تسعير!$BE$24</f>
        <v>الشيخ زايد</v>
      </c>
      <c r="R134" s="214"/>
      <c r="S134" s="247">
        <f>SUMIF(Table17697899[Column1],Table1612677697[[#This Row],[موقع العمل]],$AD$2:$AD$20)</f>
        <v>2300</v>
      </c>
      <c r="T134" s="247"/>
      <c r="U134" s="243">
        <f>Table1612677697[[#This Row],[Column12]]</f>
        <v>2300</v>
      </c>
      <c r="V134" s="240">
        <f t="shared" si="37" ca="1"/>
        <v>4600</v>
      </c>
      <c r="W134" s="241">
        <f t="shared" si="38" ca="1"/>
        <v>0.019656733606391003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15</v>
      </c>
      <c r="BJ134" s="211"/>
      <c r="BK134" s="211"/>
      <c r="BL134" s="211" t="str">
        <f>تسعير!$BE$44</f>
        <v>التجمع</v>
      </c>
      <c r="BM134" s="214"/>
      <c r="BN134" s="247">
        <f>SUMIF(Table17697899110[Column1],Table1612677697108[[#This Row],[موقع العمل]],$AE$2:$AE$8)</f>
        <v>120</v>
      </c>
      <c r="BO134" s="247"/>
      <c r="BP134" s="243">
        <f>Table1612677697108[[#This Row],[Column12]]</f>
        <v>120</v>
      </c>
      <c r="BQ134" s="240">
        <f t="shared" si="35" ca="1"/>
        <v>840</v>
      </c>
      <c r="BR134" s="241">
        <f t="shared" si="36" ca="1"/>
        <v>0.0035894904846453133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.75">
      <c r="A135" s="200"/>
      <c r="L135" s="211">
        <v>13</v>
      </c>
      <c r="M135" s="212">
        <f>IF((تسعير!$AU$14="بالتات"),0,M132-2)</f>
        <v>7</v>
      </c>
      <c r="N135" s="220" t="s">
        <v>15</v>
      </c>
      <c r="O135" s="211"/>
      <c r="P135" s="211"/>
      <c r="Q135" s="211" t="str">
        <f>تسعير!$BE$24</f>
        <v>الشيخ زايد</v>
      </c>
      <c r="R135" s="214"/>
      <c r="S135" s="247">
        <f>SUMIF(Table17697899[Column1],Table1612677697[[#This Row],[موقع العمل]],$AE$2:$AE$8)</f>
        <v>120</v>
      </c>
      <c r="T135" s="247"/>
      <c r="U135" s="243">
        <f>Table1612677697[[#This Row],[Column12]]</f>
        <v>120</v>
      </c>
      <c r="V135" s="240">
        <f t="shared" si="37" ca="1"/>
        <v>840</v>
      </c>
      <c r="W135" s="241">
        <f t="shared" si="38" ca="1"/>
        <v>0.0035894904846453133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274" t="s">
        <v>58</v>
      </c>
      <c r="BH135" s="275"/>
      <c r="BI135" s="276" t="s">
        <v>58</v>
      </c>
      <c r="BJ135" s="274"/>
      <c r="BK135" s="274"/>
      <c r="BL135" s="285"/>
      <c r="BM135" s="285"/>
      <c r="BN135" s="286">
        <f>SUBTOTAL(109,Table1612677697108[Column12])</f>
        <v>4390</v>
      </c>
      <c r="BO135" s="274"/>
      <c r="BP135" s="287"/>
      <c r="BQ135" s="288">
        <f>SUBTOTAL(109,Table1612677697108[اجمالي])</f>
        <v>19000</v>
      </c>
      <c r="BR135" s="289">
        <f>Table1612677697108[[#Totals],[اجمالي]]/$R$68</f>
        <v>0.081190856200310663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.75">
      <c r="A136" s="200"/>
      <c r="L136" s="518" t="s">
        <v>58</v>
      </c>
      <c r="M136" s="519"/>
      <c r="N136" s="520" t="s">
        <v>58</v>
      </c>
      <c r="O136" s="518"/>
      <c r="P136" s="518"/>
      <c r="Q136" s="521"/>
      <c r="R136" s="521"/>
      <c r="S136" s="522">
        <f>SUBTOTAL(109,Table1612677697[Column12])</f>
        <v>4290</v>
      </c>
      <c r="T136" s="518"/>
      <c r="U136" s="523"/>
      <c r="V136" s="524">
        <f>SUBTOTAL(109,Table1612677697[اجمالي])</f>
        <v>19480</v>
      </c>
      <c r="W136" s="525">
        <f>Table1612677697[[#Totals],[اجمالي]]/$R$68</f>
        <v>0.083241993620107979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622"/>
      <c r="BK136" s="622"/>
      <c r="BL136" s="622"/>
      <c r="BM136" s="622"/>
      <c r="BN136" s="622"/>
      <c r="BO136" s="622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.75">
      <c r="A137" s="200"/>
      <c r="L137" s="216"/>
      <c r="M137" s="216"/>
      <c r="N137" s="217"/>
      <c r="O137" s="622"/>
      <c r="P137" s="622"/>
      <c r="Q137" s="622"/>
      <c r="R137" s="622"/>
      <c r="S137" s="622"/>
      <c r="T137" s="622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9</v>
      </c>
      <c r="BJ137" s="211" t="s">
        <v>152</v>
      </c>
      <c r="BK137" s="211" t="s">
        <v>153</v>
      </c>
      <c r="BL137" s="211" t="s">
        <v>154</v>
      </c>
      <c r="BM137" s="211" t="s">
        <v>30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.75">
      <c r="A138" s="200"/>
      <c r="L138" s="211"/>
      <c r="M138" s="211"/>
      <c r="N138" s="218" t="s">
        <v>9</v>
      </c>
      <c r="O138" s="211" t="s">
        <v>152</v>
      </c>
      <c r="P138" s="211" t="s">
        <v>153</v>
      </c>
      <c r="Q138" s="211" t="s">
        <v>154</v>
      </c>
      <c r="R138" s="211" t="s">
        <v>30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155</v>
      </c>
      <c r="BJ138" s="214"/>
      <c r="BK138" s="211"/>
      <c r="BL138" s="290"/>
      <c r="BM138" s="291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157932.31666666665</v>
      </c>
      <c r="BN138" s="211"/>
      <c r="BO138" s="211"/>
      <c r="BP138" s="243"/>
      <c r="BQ138" s="292"/>
      <c r="BR138" s="293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.75">
      <c r="A139" s="200"/>
      <c r="L139" s="211"/>
      <c r="M139" s="219"/>
      <c r="N139" s="213" t="s">
        <v>155</v>
      </c>
      <c r="O139" s="214"/>
      <c r="P139" s="211"/>
      <c r="Q139" s="290"/>
      <c r="R139" s="291">
        <f>Table1612677697[[#Totals],[اجمالي]]+Table1613687798[[#Totals],[اجمالي]]+Table13597192[[#Totals],[اجمالي]]+Table16627394[[#Totals],[اجمالي]]+Table15617293[[#Totals],[اجمالي]]+Table15880101[[#Totals],[اجمالي]]</f>
        <v>200515.73333333334</v>
      </c>
      <c r="S139" s="211"/>
      <c r="T139" s="211"/>
      <c r="U139" s="243"/>
      <c r="V139" s="292"/>
      <c r="W139" s="293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156</v>
      </c>
      <c r="BJ139" s="214"/>
      <c r="BK139" s="211"/>
      <c r="BL139" s="320">
        <f>IF((BL134="المقطم"),0.3,IF((BL134="التجمع"),0.3,IF((BL134="الشيخ زايد"),0.3,IF((BL134="الاسكندرية"),0.5,0.35))))</f>
        <v>0.3</v>
      </c>
      <c r="BM139" s="291">
        <f>BM138*(1+Table187079100111[[#This Row],[Column3]])</f>
        <v>205312.01166666666</v>
      </c>
      <c r="BN139" s="211"/>
      <c r="BO139" s="211"/>
      <c r="BP139" s="243"/>
      <c r="BQ139" s="292"/>
      <c r="BR139" s="293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.75">
      <c r="A140" s="200"/>
      <c r="L140" s="211"/>
      <c r="M140" s="212"/>
      <c r="N140" s="213" t="s">
        <v>156</v>
      </c>
      <c r="O140" s="214"/>
      <c r="P140" s="211"/>
      <c r="Q140" s="320">
        <f>IF((Q135="المقطم"),0.3,IF((Q135="التجمع"),0.3,IF((Q135="الشيخ زايد"),0.3,IF((Q135="الاسكندرية"),0.5,0.35))))</f>
        <v>0.3</v>
      </c>
      <c r="R140" s="291">
        <f>R139*(1+Table187079100[[#This Row],[Column3]])</f>
        <v>260670.45333333334</v>
      </c>
      <c r="S140" s="211"/>
      <c r="T140" s="211"/>
      <c r="U140" s="243"/>
      <c r="V140" s="292"/>
      <c r="W140" s="293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21"/>
      <c r="AK140" s="321"/>
      <c r="AL140" s="321"/>
      <c r="AM140" s="321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.75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19"/>
      <c r="BD141" s="319"/>
      <c r="BE141" s="319"/>
      <c r="BG141" s="319"/>
      <c r="BH141" s="319"/>
      <c r="BI141" s="319"/>
      <c r="BJ141" s="319"/>
      <c r="BK141" s="319"/>
      <c r="BL141" s="319"/>
      <c r="BM141" s="319"/>
      <c r="BN141" s="319"/>
      <c r="BO141" s="319"/>
      <c r="BP141" s="319"/>
      <c r="BQ141" s="319"/>
      <c r="BR141" s="319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21"/>
      <c r="CF141" s="321"/>
      <c r="CG141" s="321"/>
      <c r="CH141" s="321"/>
      <c r="CI141" s="216"/>
      <c r="CJ141" s="216"/>
      <c r="CK141" s="216"/>
      <c r="CL141" s="216"/>
      <c r="CM141" s="216"/>
      <c r="CN141" s="216"/>
      <c r="CO141" s="256"/>
    </row>
    <row r="142" ht="18.75">
      <c r="A142" s="200"/>
      <c r="L142" s="319"/>
      <c r="M142" s="319"/>
      <c r="N142" s="319"/>
      <c r="O142" s="319"/>
      <c r="P142" s="319"/>
      <c r="Q142" s="319"/>
      <c r="R142" s="319"/>
      <c r="S142" s="319"/>
      <c r="T142" s="319"/>
      <c r="U142" s="319"/>
      <c r="V142" s="319"/>
      <c r="W142" s="319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21"/>
      <c r="AO142" s="321"/>
      <c r="AP142" s="321"/>
      <c r="AQ142" s="321"/>
      <c r="AR142" s="321"/>
      <c r="AS142" s="321"/>
      <c r="AT142" s="322"/>
      <c r="AU142" s="207"/>
      <c r="BB142" s="319"/>
      <c r="BF142" s="319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.75">
      <c r="A143" s="200"/>
      <c r="G143" s="319"/>
      <c r="H143" s="319"/>
      <c r="I143" s="319"/>
      <c r="J143" s="319"/>
      <c r="K143" s="319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21"/>
      <c r="Y143" s="321"/>
      <c r="Z143" s="321"/>
      <c r="AA143" s="321"/>
      <c r="AB143" s="321"/>
      <c r="AC143" s="321"/>
      <c r="AD143" s="321"/>
      <c r="AE143" s="321"/>
      <c r="AF143" s="321"/>
      <c r="AG143" s="321"/>
      <c r="AH143" s="321"/>
      <c r="AI143" s="321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.75">
      <c r="A144" s="318"/>
      <c r="B144" s="319"/>
      <c r="C144" s="319"/>
      <c r="D144" s="319"/>
      <c r="E144" s="319"/>
      <c r="F144" s="319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21"/>
      <c r="BT144" s="321"/>
      <c r="BU144" s="321"/>
      <c r="BV144" s="321"/>
      <c r="BW144" s="321"/>
      <c r="BX144" s="321"/>
      <c r="BY144" s="321"/>
      <c r="BZ144" s="321"/>
      <c r="CA144" s="321"/>
      <c r="CB144" s="321"/>
      <c r="CC144" s="321"/>
      <c r="CD144" s="321"/>
      <c r="CI144" s="321"/>
      <c r="CJ144" s="321"/>
      <c r="CK144" s="321"/>
      <c r="CL144" s="321"/>
      <c r="CM144" s="321"/>
      <c r="CN144" s="321"/>
      <c r="CO144" s="322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  <mergeCell ref="O137:T137"/>
    <mergeCell ref="BJ136:BO136"/>
    <mergeCell ref="O116:T116"/>
    <mergeCell ref="BJ115:BO115"/>
    <mergeCell ref="O121:T121"/>
    <mergeCell ref="BJ120:BO120"/>
    <mergeCell ref="BJ49:BO49"/>
    <mergeCell ref="O91:T91"/>
    <mergeCell ref="BJ90:BO90"/>
    <mergeCell ref="O66:T66"/>
    <mergeCell ref="BJ65:BO65"/>
    <mergeCell ref="BG71:BI72"/>
    <mergeCell ref="O12:T12"/>
    <mergeCell ref="BJ12:BO12"/>
    <mergeCell ref="O20:T20"/>
    <mergeCell ref="BJ20:BO20"/>
    <mergeCell ref="O26:T26"/>
    <mergeCell ref="BJ26:BO26"/>
    <mergeCell ref="L3:M3"/>
    <mergeCell ref="R3:T3"/>
    <mergeCell ref="BG3:BH3"/>
    <mergeCell ref="BM3:BO3"/>
    <mergeCell ref="O4:T4"/>
    <mergeCell ref="BJ4:BO4"/>
  </mergeCells>
  <dataValidations disablePrompts="1" count="1">
    <dataValidation type="list" allowBlank="1" showInputMessage="1" showErrorMessage="1" sqref="R52:R64 R123:R135 BM51:BM63 BM122:BM134" xr:uid="{9CCA9DBB-471E-4103-AD2C-179F038B9EB4}">
      <formula1>$U$4:$U$5</formula1>
    </dataValidation>
  </dataValidations>
  <pageMargins left="0.7" right="0.7" top="0.75" bottom="0.75" header="0.3" footer="0.3"/>
  <headerFooter/>
  <tableParts count="44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</tablePar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4"/>
  <dimension ref="A1:S30"/>
  <sheetViews>
    <sheetView zoomScale="110" zoomScaleNormal="110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48" t="s">
        <v>422</v>
      </c>
      <c r="K1" s="648"/>
      <c r="L1" s="648"/>
      <c r="M1" s="648"/>
      <c r="N1" s="648"/>
      <c r="O1" s="648"/>
      <c r="P1" s="648"/>
      <c r="Q1" s="648"/>
      <c r="R1" s="648"/>
      <c r="S1" s="648"/>
    </row>
    <row r="2" ht="18" customHeight="1">
      <c r="A2" s="11" t="s">
        <v>360</v>
      </c>
      <c r="B2" s="637">
        <f>Royal!C3</f>
        <v>0</v>
      </c>
      <c r="C2" s="638"/>
      <c r="D2" s="638"/>
      <c r="E2" s="638"/>
      <c r="F2" s="639"/>
      <c r="G2" s="1">
        <v>1</v>
      </c>
      <c r="J2" s="648"/>
      <c r="K2" s="648"/>
      <c r="L2" s="648"/>
      <c r="M2" s="648"/>
      <c r="N2" s="648"/>
      <c r="O2" s="648"/>
      <c r="P2" s="648"/>
      <c r="Q2" s="648"/>
      <c r="R2" s="648"/>
      <c r="S2" s="648"/>
    </row>
    <row r="3" ht="18" customHeight="1">
      <c r="A3" s="11" t="s">
        <v>423</v>
      </c>
      <c r="F3" s="640" t="s">
        <v>424</v>
      </c>
      <c r="G3" s="640"/>
    </row>
    <row r="4" ht="18" customHeight="1">
      <c r="A4" s="11" t="s">
        <v>292</v>
      </c>
      <c r="F4" s="641" t="s">
        <v>425</v>
      </c>
      <c r="G4" s="642"/>
      <c r="H4" s="642"/>
      <c r="I4" s="643"/>
      <c r="J4" s="10"/>
    </row>
    <row r="5" ht="18" customHeight="1">
      <c r="A5" s="11" t="s">
        <v>293</v>
      </c>
      <c r="F5" s="644" t="s">
        <v>426</v>
      </c>
      <c r="G5" s="645"/>
      <c r="H5" s="645"/>
      <c r="I5" s="646"/>
      <c r="J5" s="10"/>
    </row>
    <row r="6" ht="18" customHeight="1">
      <c r="A6" s="11" t="s">
        <v>364</v>
      </c>
      <c r="Q6" s="647"/>
      <c r="R6" s="647"/>
      <c r="S6" s="647"/>
    </row>
    <row r="7" ht="18" customHeight="1">
      <c r="B7" s="180" t="s">
        <v>125</v>
      </c>
      <c r="C7" s="181">
        <f>تسعير!AA10</f>
        <v>500</v>
      </c>
      <c r="D7" s="182" t="s">
        <v>427</v>
      </c>
      <c r="E7" s="183">
        <f>تسعير!X8</f>
        <v>800</v>
      </c>
    </row>
    <row r="8" ht="18" customHeight="1">
      <c r="F8" s="1">
        <v>5</v>
      </c>
    </row>
    <row r="9" ht="18" customHeight="1">
      <c r="A9" s="11" t="s">
        <v>294</v>
      </c>
    </row>
    <row r="10" ht="18" customHeight="1">
      <c r="A10" s="11" t="s">
        <v>295</v>
      </c>
    </row>
    <row r="11" ht="18" customHeight="1">
      <c r="A11" s="11" t="s">
        <v>311</v>
      </c>
      <c r="B11" s="649" t="s">
        <v>428</v>
      </c>
      <c r="C11" s="650"/>
      <c r="D11" s="645" t="s">
        <v>429</v>
      </c>
      <c r="E11" s="646"/>
    </row>
    <row r="12" ht="18" customHeight="1">
      <c r="A12" s="11" t="s">
        <v>296</v>
      </c>
    </row>
    <row r="13" ht="18" customHeight="1">
      <c r="A13" s="11" t="s">
        <v>430</v>
      </c>
    </row>
    <row r="14" ht="18" customHeight="1"/>
    <row r="15" ht="24.6" customHeight="1">
      <c r="A15" s="11" t="s">
        <v>299</v>
      </c>
      <c r="Q15" s="647"/>
      <c r="R15" s="647"/>
      <c r="S15" s="647"/>
    </row>
    <row r="16" ht="18" customHeight="1">
      <c r="C16" s="640" t="s">
        <v>431</v>
      </c>
      <c r="D16" s="640"/>
      <c r="E16" s="640"/>
      <c r="F16" s="1" t="s">
        <v>432</v>
      </c>
    </row>
    <row r="17" ht="18" customHeight="1">
      <c r="A17" s="640" t="s">
        <v>297</v>
      </c>
      <c r="B17" s="640"/>
      <c r="C17" s="640"/>
    </row>
    <row r="18" ht="18" customHeight="1">
      <c r="A18" s="651" t="s">
        <v>433</v>
      </c>
      <c r="B18" s="652"/>
      <c r="C18" s="14">
        <f>'Format Φωτισμου'!B9</f>
        <v>5</v>
      </c>
    </row>
    <row r="19" ht="18" customHeight="1">
      <c r="A19" s="651" t="s">
        <v>434</v>
      </c>
      <c r="B19" s="652"/>
      <c r="C19" s="14">
        <f>'Format Φωτισμου'!B12</f>
        <v>15</v>
      </c>
    </row>
    <row r="20" ht="18" customHeight="1">
      <c r="A20" s="651" t="s">
        <v>435</v>
      </c>
      <c r="B20" s="652"/>
      <c r="C20" s="14">
        <f>C19/C18</f>
        <v>3</v>
      </c>
    </row>
    <row r="21" ht="18" customHeight="1">
      <c r="A21" s="653" t="s">
        <v>436</v>
      </c>
      <c r="B21" s="654"/>
      <c r="C21" s="655">
        <v>20</v>
      </c>
      <c r="D21" s="656"/>
      <c r="E21" s="649" t="s">
        <v>437</v>
      </c>
      <c r="F21" s="650"/>
      <c r="G21" s="650"/>
      <c r="H21" s="14">
        <f>C21/C18</f>
        <v>4</v>
      </c>
      <c r="J21" s="658"/>
      <c r="K21" s="658"/>
      <c r="L21" s="658"/>
      <c r="M21" s="658"/>
      <c r="N21" s="658"/>
      <c r="O21" s="658"/>
      <c r="P21" s="658"/>
      <c r="Q21" s="658"/>
      <c r="R21" s="658"/>
      <c r="S21" s="658"/>
    </row>
    <row r="22" ht="18" customHeight="1">
      <c r="A22" s="651" t="s">
        <v>438</v>
      </c>
      <c r="B22" s="652"/>
      <c r="C22" s="179">
        <v>50</v>
      </c>
      <c r="D22" s="184" t="s">
        <v>439</v>
      </c>
      <c r="J22" s="658"/>
      <c r="K22" s="658"/>
      <c r="L22" s="658"/>
      <c r="M22" s="658"/>
      <c r="N22" s="658"/>
      <c r="O22" s="658"/>
      <c r="P22" s="658"/>
      <c r="Q22" s="658"/>
      <c r="R22" s="658"/>
      <c r="S22" s="658"/>
    </row>
    <row r="23" ht="18" customHeight="1">
      <c r="J23" s="658"/>
      <c r="K23" s="658"/>
      <c r="L23" s="658"/>
      <c r="M23" s="658"/>
      <c r="N23" s="658"/>
      <c r="O23" s="658"/>
      <c r="P23" s="658"/>
      <c r="Q23" s="658"/>
      <c r="R23" s="658"/>
      <c r="S23" s="658"/>
    </row>
    <row r="24" ht="18" customHeight="1"/>
    <row r="25" ht="18" customHeight="1">
      <c r="A25" s="11" t="s">
        <v>440</v>
      </c>
      <c r="J25" s="657"/>
      <c r="K25" s="657"/>
      <c r="L25" s="657"/>
      <c r="M25" s="657"/>
      <c r="N25" s="657"/>
      <c r="O25" s="657"/>
      <c r="P25" s="657"/>
      <c r="Q25" s="657"/>
      <c r="R25" s="15"/>
      <c r="S25" s="10"/>
    </row>
    <row r="26" ht="18" customHeight="1">
      <c r="G26" s="1" t="s">
        <v>441</v>
      </c>
      <c r="H26" s="1" t="s">
        <v>442</v>
      </c>
    </row>
    <row r="27" ht="18" customHeight="1">
      <c r="A27" s="11" t="s">
        <v>308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3</v>
      </c>
      <c r="H27" s="185">
        <f>IF(Format!J8=3,تسجيل1!G27,IF(Format!J8=1,تسجيل1!G27-2,IF(Format!J8=2,تسجيل1!G27-1,IF(Format!J8=4,تسجيل1!G27+1,IF(Format!J8=5,تسجيل1!G27+2)))))</f>
        <v>3</v>
      </c>
      <c r="J27" s="647"/>
      <c r="K27" s="647"/>
      <c r="L27" s="647"/>
      <c r="M27" s="647"/>
      <c r="N27" s="647"/>
      <c r="O27" s="647"/>
      <c r="P27" s="647"/>
      <c r="Q27" s="647"/>
      <c r="R27" s="647"/>
      <c r="S27" s="647"/>
    </row>
    <row r="28" ht="18" customHeight="1">
      <c r="A28" s="11" t="s">
        <v>309</v>
      </c>
      <c r="G28" s="185">
        <f>IF(Format!A7=1,Format!E31,IF(Format!A7=2,Format!E31,IF(Format!A7=3,Format!E31,IF(Format!A7=4,Format!E31,IF(Format!A7=5,Format!E31,Format!U31)))))</f>
        <v>12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12</v>
      </c>
    </row>
    <row r="29" ht="18" customHeight="1">
      <c r="G29" s="185">
        <f>IF(H27=2,2,H27+1)</f>
        <v>4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4</v>
      </c>
      <c r="M29" s="15"/>
      <c r="O29" s="15"/>
    </row>
    <row r="30" ht="18" customHeight="1">
      <c r="A30" s="11" t="s">
        <v>311</v>
      </c>
      <c r="G30" s="185">
        <f>G27</f>
        <v>3</v>
      </c>
      <c r="H30" s="185">
        <f>IF(Format!M8=3,G30,IF(Format!M8=1,G30-2,IF(Format!M8=2,G30-1,IF(Format!M8=4,G30+1,IF(Format!M8=5,G30+2)))))</f>
        <v>3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7</vt:i4>
      </vt:variant>
    </vt:vector>
  </HeadingPairs>
  <TitlesOfParts>
    <vt:vector size="27" baseType="lpstr">
      <vt:lpstr>Sheet2</vt:lpstr>
      <vt:lpstr>تسعير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Ahmed Khamis El Fakharany</cp:lastModifiedBy>
  <dcterms:created xsi:type="dcterms:W3CDTF">2015-06-05T18:17:00Z</dcterms:created>
  <dcterms:modified xsi:type="dcterms:W3CDTF">2024-05-12T09:05:30Z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