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externalLink+xml" PartName="/xl/externalLinks/externalLink3.xml"/>
  <Override ContentType="application/vnd.openxmlformats-officedocument.spreadsheetml.externalLink+xml" PartName="/xl/externalLinks/externalLink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table+xml" PartName="/xl/tables/table3.xml"/>
  <Override ContentType="application/vnd.openxmlformats-officedocument.spreadsheetml.table+xml" PartName="/xl/tables/table4.xml"/>
  <Override ContentType="application/vnd.openxmlformats-officedocument.drawing+xml" PartName="/xl/drawings/drawing1.xml"/>
  <Override ContentType="application/vnd.openxmlformats-officedocument.spreadsheetml.table+xml" PartName="/xl/tables/table5.xml"/>
  <Override ContentType="application/vnd.openxmlformats-officedocument.spreadsheetml.table+xml" PartName="/xl/tables/table6.xml"/>
  <Override ContentType="application/vnd.openxmlformats-officedocument.spreadsheetml.table+xml" PartName="/xl/tables/table7.xml"/>
  <Override ContentType="application/vnd.openxmlformats-officedocument.spreadsheetml.table+xml" PartName="/xl/tables/table8.xml"/>
  <Override ContentType="application/vnd.openxmlformats-officedocument.spreadsheetml.table+xml" PartName="/xl/tables/table9.xml"/>
  <Override ContentType="application/vnd.openxmlformats-officedocument.spreadsheetml.table+xml" PartName="/xl/tables/table10.xml"/>
  <Override ContentType="application/vnd.openxmlformats-officedocument.spreadsheetml.table+xml" PartName="/xl/tables/table11.xml"/>
  <Override ContentType="application/vnd.openxmlformats-officedocument.spreadsheetml.table+xml" PartName="/xl/tables/table12.xml"/>
  <Override ContentType="application/vnd.openxmlformats-officedocument.spreadsheetml.table+xml" PartName="/xl/tables/table13.xml"/>
  <Override ContentType="application/vnd.openxmlformats-officedocument.spreadsheetml.table+xml" PartName="/xl/tables/table14.xml"/>
  <Override ContentType="application/vnd.openxmlformats-officedocument.spreadsheetml.table+xml" PartName="/xl/tables/table15.xml"/>
  <Override ContentType="application/vnd.openxmlformats-officedocument.spreadsheetml.table+xml" PartName="/xl/tables/table16.xml"/>
  <Override ContentType="application/vnd.openxmlformats-officedocument.spreadsheetml.table+xml" PartName="/xl/tables/table17.xml"/>
  <Override ContentType="application/vnd.openxmlformats-officedocument.spreadsheetml.table+xml" PartName="/xl/tables/table18.xml"/>
  <Override ContentType="application/vnd.openxmlformats-officedocument.spreadsheetml.table+xml" PartName="/xl/tables/table19.xml"/>
  <Override ContentType="application/vnd.openxmlformats-officedocument.spreadsheetml.table+xml" PartName="/xl/tables/table20.xml"/>
  <Override ContentType="application/vnd.openxmlformats-officedocument.spreadsheetml.comments+xml" PartName="/xl/comments1.xml"/>
  <Override ContentType="application/vnd.openxmlformats-officedocument.spreadsheetml.table+xml" PartName="/xl/tables/table21.xml"/>
  <Override ContentType="application/vnd.openxmlformats-officedocument.spreadsheetml.table+xml" PartName="/xl/tables/table22.xml"/>
  <Override ContentType="application/vnd.openxmlformats-officedocument.spreadsheetml.table+xml" PartName="/xl/tables/table23.xml"/>
  <Override ContentType="application/vnd.openxmlformats-officedocument.spreadsheetml.table+xml" PartName="/xl/tables/table24.xml"/>
  <Override ContentType="application/vnd.openxmlformats-officedocument.spreadsheetml.table+xml" PartName="/xl/tables/table25.xml"/>
  <Override ContentType="application/vnd.openxmlformats-officedocument.spreadsheetml.table+xml" PartName="/xl/tables/table26.xml"/>
  <Override ContentType="application/vnd.openxmlformats-officedocument.spreadsheetml.table+xml" PartName="/xl/tables/table27.xml"/>
  <Override ContentType="application/vnd.openxmlformats-officedocument.spreadsheetml.table+xml" PartName="/xl/tables/table28.xml"/>
  <Override ContentType="application/vnd.openxmlformats-officedocument.spreadsheetml.table+xml" PartName="/xl/tables/table29.xml"/>
  <Override ContentType="application/vnd.openxmlformats-officedocument.spreadsheetml.table+xml" PartName="/xl/tables/table30.xml"/>
  <Override ContentType="application/vnd.openxmlformats-officedocument.spreadsheetml.table+xml" PartName="/xl/tables/table31.xml"/>
  <Override ContentType="application/vnd.openxmlformats-officedocument.spreadsheetml.table+xml" PartName="/xl/tables/table32.xml"/>
  <Override ContentType="application/vnd.openxmlformats-officedocument.spreadsheetml.comments+xml" PartName="/xl/comments2.xml"/>
  <Override ContentType="application/vnd.openxmlformats-officedocument.spreadsheetml.table+xml" PartName="/xl/tables/table33.xml"/>
  <Override ContentType="application/vnd.openxmlformats-officedocument.spreadsheetml.table+xml" PartName="/xl/tables/table34.xml"/>
  <Override ContentType="application/vnd.openxmlformats-officedocument.spreadsheetml.table+xml" PartName="/xl/tables/table35.xml"/>
  <Override ContentType="application/vnd.openxmlformats-officedocument.spreadsheetml.table+xml" PartName="/xl/tables/table36.xml"/>
  <Override ContentType="application/vnd.openxmlformats-officedocument.spreadsheetml.table+xml" PartName="/xl/tables/table37.xml"/>
  <Override ContentType="application/vnd.openxmlformats-officedocument.spreadsheetml.table+xml" PartName="/xl/tables/table38.xml"/>
  <Override ContentType="application/vnd.openxmlformats-officedocument.spreadsheetml.table+xml" PartName="/xl/tables/table39.xml"/>
  <Override ContentType="application/vnd.openxmlformats-officedocument.spreadsheetml.table+xml" PartName="/xl/tables/table40.xml"/>
  <Override ContentType="application/vnd.openxmlformats-officedocument.spreadsheetml.table+xml" PartName="/xl/tables/table41.xml"/>
  <Override ContentType="application/vnd.openxmlformats-officedocument.spreadsheetml.table+xml" PartName="/xl/tables/table42.xml"/>
  <Override ContentType="application/vnd.openxmlformats-officedocument.spreadsheetml.table+xml" PartName="/xl/tables/table43.xml"/>
  <Override ContentType="application/vnd.openxmlformats-officedocument.spreadsheetml.table+xml" PartName="/xl/tables/table44.xml"/>
  <Override ContentType="application/vnd.openxmlformats-officedocument.spreadsheetml.table+xml" PartName="/xl/tables/table45.xml"/>
  <Override ContentType="application/vnd.openxmlformats-officedocument.spreadsheetml.table+xml" PartName="/xl/tables/table46.xml"/>
  <Override ContentType="application/vnd.openxmlformats-officedocument.spreadsheetml.table+xml" PartName="/xl/tables/table47.xml"/>
  <Override ContentType="application/vnd.openxmlformats-officedocument.spreadsheetml.table+xml" PartName="/xl/tables/table48.xml"/>
  <Override ContentType="application/vnd.openxmlformats-officedocument.spreadsheetml.table+xml" PartName="/xl/tables/table49.xml"/>
  <Override ContentType="application/vnd.openxmlformats-officedocument.spreadsheetml.table+xml" PartName="/xl/tables/table50.xml"/>
  <Override ContentType="application/vnd.openxmlformats-officedocument.spreadsheetml.table+xml" PartName="/xl/tables/table51.xml"/>
  <Override ContentType="application/vnd.openxmlformats-officedocument.spreadsheetml.table+xml" PartName="/xl/tables/table52.xml"/>
  <Override ContentType="application/vnd.openxmlformats-officedocument.spreadsheetml.table+xml" PartName="/xl/tables/table53.xml"/>
  <Override ContentType="application/vnd.openxmlformats-officedocument.spreadsheetml.table+xml" PartName="/xl/tables/table54.xml"/>
  <Override ContentType="application/vnd.openxmlformats-officedocument.spreadsheetml.table+xml" PartName="/xl/tables/table55.xml"/>
  <Override ContentType="application/vnd.openxmlformats-officedocument.spreadsheetml.table+xml" PartName="/xl/tables/table56.xml"/>
  <Override ContentType="application/vnd.openxmlformats-officedocument.spreadsheetml.table+xml" PartName="/xl/tables/table57.xml"/>
  <Override ContentType="application/vnd.openxmlformats-officedocument.spreadsheetml.table+xml" PartName="/xl/tables/table58.xml"/>
  <Override ContentType="application/vnd.openxmlformats-officedocument.spreadsheetml.table+xml" PartName="/xl/tables/table59.xml"/>
  <Override ContentType="application/vnd.openxmlformats-officedocument.spreadsheetml.table+xml" PartName="/xl/tables/table60.xml"/>
  <Override ContentType="application/vnd.openxmlformats-officedocument.spreadsheetml.table+xml" PartName="/xl/tables/table61.xml"/>
  <Override ContentType="application/vnd.openxmlformats-officedocument.spreadsheetml.table+xml" PartName="/xl/tables/table62.xml"/>
  <Override ContentType="application/vnd.openxmlformats-officedocument.spreadsheetml.table+xml" PartName="/xl/tables/table63.xml"/>
  <Override ContentType="application/vnd.openxmlformats-officedocument.spreadsheetml.table+xml" PartName="/xl/tables/table64.xml"/>
  <Override ContentType="application/vnd.openxmlformats-officedocument.spreadsheetml.table+xml" PartName="/xl/tables/table65.xml"/>
  <Override ContentType="application/vnd.openxmlformats-officedocument.spreadsheetml.table+xml" PartName="/xl/tables/table66.xml"/>
  <Override ContentType="application/vnd.openxmlformats-officedocument.spreadsheetml.table+xml" PartName="/xl/tables/table67.xml"/>
  <Override ContentType="application/vnd.openxmlformats-officedocument.spreadsheetml.table+xml" PartName="/xl/tables/table68.xml"/>
  <Override ContentType="application/vnd.openxmlformats-officedocument.spreadsheetml.table+xml" PartName="/xl/tables/table69.xml"/>
  <Override ContentType="application/vnd.openxmlformats-officedocument.spreadsheetml.table+xml" PartName="/xl/tables/table70.xml"/>
  <Override ContentType="application/vnd.openxmlformats-officedocument.spreadsheetml.table+xml" PartName="/xl/tables/table71.xml"/>
  <Override ContentType="application/vnd.openxmlformats-officedocument.spreadsheetml.table+xml" PartName="/xl/tables/table72.xml"/>
  <Override ContentType="application/vnd.openxmlformats-officedocument.spreadsheetml.table+xml" PartName="/xl/tables/table73.xml"/>
  <Override ContentType="application/vnd.openxmlformats-officedocument.spreadsheetml.table+xml" PartName="/xl/tables/table74.xml"/>
  <Override ContentType="application/vnd.openxmlformats-officedocument.spreadsheetml.table+xml" PartName="/xl/tables/table75.xml"/>
  <Override ContentType="application/vnd.openxmlformats-officedocument.spreadsheetml.table+xml" PartName="/xl/tables/table76.xml"/>
  <Override ContentType="application/vnd.openxmlformats-officedocument.spreadsheetml.table+xml" PartName="/xl/tables/table77.xml"/>
  <Override ContentType="application/vnd.openxmlformats-officedocument.spreadsheetml.table+xml" PartName="/xl/tables/table78.xml"/>
  <Override ContentType="application/vnd.openxmlformats-officedocument.spreadsheetml.table+xml" PartName="/xl/tables/table79.xml"/>
  <Override ContentType="application/vnd.openxmlformats-officedocument.spreadsheetml.table+xml" PartName="/xl/tables/table80.xml"/>
  <Override ContentType="application/vnd.openxmlformats-officedocument.spreadsheetml.table+xml" PartName="/xl/tables/table81.xml"/>
  <Override ContentType="application/vnd.openxmlformats-officedocument.spreadsheetml.table+xml" PartName="/xl/tables/table82.xml"/>
  <Override ContentType="application/vnd.openxmlformats-officedocument.spreadsheetml.table+xml" PartName="/xl/tables/table83.xml"/>
  <Override ContentType="application/vnd.openxmlformats-officedocument.spreadsheetml.table+xml" PartName="/xl/tables/table84.xml"/>
  <Override ContentType="application/vnd.openxmlformats-officedocument.spreadsheetml.table+xml" PartName="/xl/tables/table85.xml"/>
  <Override ContentType="application/vnd.openxmlformats-officedocument.spreadsheetml.table+xml" PartName="/xl/tables/table86.xml"/>
  <Override ContentType="application/vnd.openxmlformats-officedocument.spreadsheetml.table+xml" PartName="/xl/tables/table87.xml"/>
  <Override ContentType="application/vnd.openxmlformats-officedocument.spreadsheetml.table+xml" PartName="/xl/tables/table88.xml"/>
  <Override ContentType="application/vnd.openxmlformats-officedocument.spreadsheetml.table+xml" PartName="/xl/tables/table89.xml"/>
  <Override ContentType="application/vnd.openxmlformats-officedocument.spreadsheetml.table+xml" PartName="/xl/tables/table90.xml"/>
  <Override ContentType="application/vnd.openxmlformats-officedocument.spreadsheetml.table+xml" PartName="/xl/tables/table91.xml"/>
  <Override ContentType="application/vnd.openxmlformats-officedocument.spreadsheetml.table+xml" PartName="/xl/tables/table92.xml"/>
  <Override ContentType="application/vnd.openxmlformats-officedocument.spreadsheetml.table+xml" PartName="/xl/tables/table93.xml"/>
  <Override ContentType="application/vnd.openxmlformats-officedocument.spreadsheetml.table+xml" PartName="/xl/tables/table94.xml"/>
  <Override ContentType="application/vnd.openxmlformats-officedocument.spreadsheetml.table+xml" PartName="/xl/tables/table95.xml"/>
  <Override ContentType="application/vnd.openxmlformats-officedocument.spreadsheetml.table+xml" PartName="/xl/tables/table96.xml"/>
  <Override ContentType="application/vnd.openxmlformats-officedocument.spreadsheetml.table+xml" PartName="/xl/tables/table97.xml"/>
  <Override ContentType="application/vnd.openxmlformats-officedocument.spreadsheetml.table+xml" PartName="/xl/tables/table98.xml"/>
  <Override ContentType="application/vnd.openxmlformats-officedocument.spreadsheetml.table+xml" PartName="/xl/tables/table99.xml"/>
  <Override ContentType="application/vnd.openxmlformats-officedocument.spreadsheetml.table+xml" PartName="/xl/tables/table100.xml"/>
  <Override ContentType="application/vnd.openxmlformats-officedocument.spreadsheetml.table+xml" PartName="/xl/tables/table101.xml"/>
  <Override ContentType="application/vnd.openxmlformats-officedocument.spreadsheetml.table+xml" PartName="/xl/tables/table102.xml"/>
  <Override ContentType="application/vnd.openxmlformats-officedocument.spreadsheetml.table+xml" PartName="/xl/tables/table103.xml"/>
  <Override ContentType="application/vnd.openxmlformats-officedocument.spreadsheetml.table+xml" PartName="/xl/tables/table104.xml"/>
  <Override ContentType="application/vnd.openxmlformats-officedocument.spreadsheetml.table+xml" PartName="/xl/tables/table105.xml"/>
  <Override ContentType="application/vnd.openxmlformats-officedocument.spreadsheetml.table+xml" PartName="/xl/tables/table106.xml"/>
  <Override ContentType="application/vnd.openxmlformats-officedocument.spreadsheetml.table+xml" PartName="/xl/tables/table107.xml"/>
  <Override ContentType="application/vnd.openxmlformats-officedocument.spreadsheetml.table+xml" PartName="/xl/tables/table108.xml"/>
  <Override ContentType="application/vnd.openxmlformats-officedocument.spreadsheetml.table+xml" PartName="/xl/tables/table109.xml"/>
  <Override ContentType="application/vnd.openxmlformats-officedocument.spreadsheetml.table+xml" PartName="/xl/tables/table110.xml"/>
  <Override ContentType="application/vnd.openxmlformats-officedocument.spreadsheetml.table+xml" PartName="/xl/tables/table111.xml"/>
  <Override ContentType="application/vnd.openxmlformats-officedocument.spreadsheetml.table+xml" PartName="/xl/tables/table112.xml"/>
  <Override ContentType="application/vnd.openxmlformats-officedocument.spreadsheetml.table+xml" PartName="/xl/tables/table113.xml"/>
  <Override ContentType="application/vnd.openxmlformats-officedocument.spreadsheetml.table+xml" PartName="/xl/tables/table114.xml"/>
  <Override ContentType="application/vnd.openxmlformats-officedocument.spreadsheetml.table+xml" PartName="/xl/tables/table115.xml"/>
  <Override ContentType="application/vnd.openxmlformats-officedocument.spreadsheetml.table+xml" PartName="/xl/tables/table116.xml"/>
  <Override ContentType="application/vnd.openxmlformats-officedocument.spreadsheetml.table+xml" PartName="/xl/tables/table117.xml"/>
  <Override ContentType="application/vnd.openxmlformats-officedocument.drawing+xml" PartName="/xl/drawings/drawing2.xml"/>
  <Override ContentType="application/vnd.ms-excel.controlproperties+xml" PartName="/xl/ctrlProps/ctrlProp1.xml"/>
  <Override ContentType="application/vnd.ms-excel.controlproperties+xml" PartName="/xl/ctrlProps/ctrlProp2.xml"/>
  <Override ContentType="application/vnd.ms-excel.controlproperties+xml" PartName="/xl/ctrlProps/ctrlProp3.xml"/>
  <Override ContentType="application/vnd.ms-excel.controlproperties+xml" PartName="/xl/ctrlProps/ctrlProp4.xml"/>
  <Override ContentType="application/vnd.ms-excel.controlproperties+xml" PartName="/xl/ctrlProps/ctrlProp5.xml"/>
  <Override ContentType="application/vnd.ms-excel.controlproperties+xml" PartName="/xl/ctrlProps/ctrlProp6.xml"/>
  <Override ContentType="application/vnd.ms-excel.controlproperties+xml" PartName="/xl/ctrlProps/ctrlProp7.xml"/>
  <Override ContentType="application/vnd.ms-excel.controlproperties+xml" PartName="/xl/ctrlProps/ctrlProp8.xml"/>
  <Override ContentType="application/vnd.ms-excel.controlproperties+xml" PartName="/xl/ctrlProps/ctrlProp9.xml"/>
  <Override ContentType="application/vnd.ms-excel.controlproperties+xml" PartName="/xl/ctrlProps/ctrlProp10.xml"/>
  <Override ContentType="application/vnd.ms-excel.controlproperties+xml" PartName="/xl/ctrlProps/ctrlProp11.xml"/>
  <Override ContentType="application/vnd.ms-excel.controlproperties+xml" PartName="/xl/ctrlProps/ctrlProp12.xml"/>
  <Override ContentType="application/vnd.ms-excel.controlproperties+xml" PartName="/xl/ctrlProps/ctrlProp13.xml"/>
  <Override ContentType="application/vnd.ms-excel.controlproperties+xml" PartName="/xl/ctrlProps/ctrlProp14.xml"/>
  <Override ContentType="application/vnd.ms-excel.controlproperties+xml" PartName="/xl/ctrlProps/ctrlProp15.xml"/>
  <Override ContentType="application/vnd.ms-excel.controlproperties+xml" PartName="/xl/ctrlProps/ctrlProp16.xml"/>
  <Override ContentType="application/vnd.openxmlformats-officedocument.drawing+xml" PartName="/xl/drawings/drawing3.xml"/>
  <Override ContentType="application/vnd.openxmlformats-officedocument.drawing+xml" PartName="/xl/drawings/drawing4.xml"/>
  <Override ContentType="application/vnd.ms-excel.controlproperties+xml" PartName="/xl/ctrlProps/ctrlProp17.xml"/>
  <Override ContentType="application/vnd.ms-excel.controlproperties+xml" PartName="/xl/ctrlProps/ctrlProp18.xml"/>
  <Override ContentType="application/vnd.ms-excel.controlproperties+xml" PartName="/xl/ctrlProps/ctrlProp19.xml"/>
  <Override ContentType="application/vnd.ms-excel.controlproperties+xml" PartName="/xl/ctrlProps/ctrlProp20.xml"/>
  <Override ContentType="application/vnd.ms-excel.controlproperties+xml" PartName="/xl/ctrlProps/ctrlProp21.xml"/>
  <Override ContentType="application/vnd.ms-excel.controlproperties+xml" PartName="/xl/ctrlProps/ctrlProp22.xml"/>
  <Override ContentType="application/vnd.ms-excel.controlproperties+xml" PartName="/xl/ctrlProps/ctrlProp23.xml"/>
  <Override ContentType="application/vnd.ms-excel.controlproperties+xml" PartName="/xl/ctrlProps/ctrlProp24.xml"/>
  <Override ContentType="application/vnd.ms-excel.controlproperties+xml" PartName="/xl/ctrlProps/ctrlProp25.xml"/>
  <Override ContentType="application/vnd.ms-excel.controlproperties+xml" PartName="/xl/ctrlProps/ctrlProp26.xml"/>
  <Override ContentType="application/vnd.ms-excel.controlproperties+xml" PartName="/xl/ctrlProps/ctrlProp27.xml"/>
  <Override ContentType="application/vnd.ms-excel.controlproperties+xml" PartName="/xl/ctrlProps/ctrlProp28.xml"/>
  <Override ContentType="application/vnd.ms-excel.controlproperties+xml" PartName="/xl/ctrlProps/ctrlProp29.xml"/>
  <Override ContentType="application/vnd.ms-excel.controlproperties+xml" PartName="/xl/ctrlProps/ctrlProp30.xml"/>
  <Override ContentType="application/vnd.ms-excel.controlproperties+xml" PartName="/xl/ctrlProps/ctrlProp31.xml"/>
  <Override ContentType="application/vnd.ms-excel.controlproperties+xml" PartName="/xl/ctrlProps/ctrlProp32.xml"/>
  <Override ContentType="application/vnd.ms-excel.controlproperties+xml" PartName="/xl/ctrlProps/ctrlProp33.xml"/>
  <Override ContentType="application/vnd.ms-excel.controlproperties+xml" PartName="/xl/ctrlProps/ctrlProp34.xml"/>
  <Override ContentType="application/vnd.ms-excel.controlproperties+xml" PartName="/xl/ctrlProps/ctrlProp35.xml"/>
  <Override ContentType="application/vnd.ms-excel.controlproperties+xml" PartName="/xl/ctrlProps/ctrlProp36.xml"/>
  <Override ContentType="application/vnd.ms-excel.controlproperties+xml" PartName="/xl/ctrlProps/ctrlProp37.xml"/>
  <Override ContentType="application/vnd.ms-excel.controlproperties+xml" PartName="/xl/ctrlProps/ctrlProp38.xml"/>
  <Override ContentType="application/vnd.ms-excel.controlproperties+xml" PartName="/xl/ctrlProps/ctrlProp39.xml"/>
  <Override ContentType="application/vnd.ms-excel.controlproperties+xml" PartName="/xl/ctrlProps/ctrlProp40.xml"/>
  <Override ContentType="application/vnd.ms-excel.controlproperties+xml" PartName="/xl/ctrlProps/ctrlProp41.xml"/>
  <Override ContentType="application/vnd.ms-excel.controlproperties+xml" PartName="/xl/ctrlProps/ctrlProp42.xml"/>
  <Override ContentType="application/vnd.ms-excel.controlproperties+xml" PartName="/xl/ctrlProps/ctrlProp43.xml"/>
  <Override ContentType="application/vnd.ms-excel.controlproperties+xml" PartName="/xl/ctrlProps/ctrlProp44.xml"/>
  <Override ContentType="application/vnd.ms-excel.controlproperties+xml" PartName="/xl/ctrlProps/ctrlProp45.xml"/>
  <Override ContentType="application/vnd.ms-excel.controlproperties+xml" PartName="/xl/ctrlProps/ctrlProp46.xml"/>
  <Override ContentType="application/vnd.ms-excel.controlproperties+xml" PartName="/xl/ctrlProps/ctrlProp47.xml"/>
  <Override ContentType="application/vnd.ms-excel.controlproperties+xml" PartName="/xl/ctrlProps/ctrlProp48.xml"/>
  <Override ContentType="application/vnd.openxmlformats-officedocument.spreadsheetml.table+xml" PartName="/xl/tables/table118.xml"/>
  <Override ContentType="application/vnd.openxmlformats-officedocument.spreadsheetml.table+xml" PartName="/xl/tables/table119.xml"/>
  <Override ContentType="application/vnd.openxmlformats-officedocument.spreadsheetml.table+xml" PartName="/xl/tables/table120.xml"/>
  <Override ContentType="application/vnd.openxmlformats-officedocument.spreadsheetml.table+xml" PartName="/xl/tables/table121.xml"/>
  <Override ContentType="application/vnd.openxmlformats-officedocument.spreadsheetml.table+xml" PartName="/xl/tables/table122.xml"/>
  <Override ContentType="application/vnd.openxmlformats-officedocument.spreadsheetml.table+xml" PartName="/xl/tables/table123.xml"/>
  <Override ContentType="application/vnd.openxmlformats-officedocument.spreadsheetml.table+xml" PartName="/xl/tables/table124.xml"/>
  <Override ContentType="application/vnd.openxmlformats-officedocument.spreadsheetml.table+xml" PartName="/xl/tables/table125.xml"/>
  <Override ContentType="application/vnd.openxmlformats-officedocument.spreadsheetml.table+xml" PartName="/xl/tables/table126.xml"/>
  <Override ContentType="application/vnd.openxmlformats-officedocument.spreadsheetml.table+xml" PartName="/xl/tables/table127.xml"/>
  <Override ContentType="application/vnd.openxmlformats-officedocument.spreadsheetml.table+xml" PartName="/xl/tables/table128.xml"/>
  <Override ContentType="application/vnd.openxmlformats-officedocument.spreadsheetml.table+xml" PartName="/xl/tables/table129.xml"/>
  <Override ContentType="application/vnd.openxmlformats-officedocument.spreadsheetml.table+xml" PartName="/xl/tables/table130.xml"/>
  <Override ContentType="application/vnd.openxmlformats-officedocument.drawing+xml" PartName="/xl/drawings/drawing5.xml"/>
  <Override ContentType="application/vnd.ms-excel.controlproperties+xml" PartName="/xl/ctrlProps/ctrlProp49.xml"/>
  <Override ContentType="application/vnd.ms-excel.controlproperties+xml" PartName="/xl/ctrlProps/ctrlProp50.xml"/>
  <Override ContentType="application/vnd.ms-excel.controlproperties+xml" PartName="/xl/ctrlProps/ctrlProp51.xml"/>
  <Override ContentType="application/vnd.ms-excel.controlproperties+xml" PartName="/xl/ctrlProps/ctrlProp52.xml"/>
  <Override ContentType="application/vnd.ms-excel.controlproperties+xml" PartName="/xl/ctrlProps/ctrlProp53.xml"/>
  <Override ContentType="application/vnd.ms-excel.controlproperties+xml" PartName="/xl/ctrlProps/ctrlProp54.xml"/>
  <Override ContentType="application/vnd.ms-excel.controlproperties+xml" PartName="/xl/ctrlProps/ctrlProp55.xml"/>
  <Override ContentType="application/vnd.ms-excel.controlproperties+xml" PartName="/xl/ctrlProps/ctrlProp56.xml"/>
  <Override ContentType="application/vnd.ms-excel.controlproperties+xml" PartName="/xl/ctrlProps/ctrlProp57.xml"/>
  <Override ContentType="application/vnd.ms-excel.controlproperties+xml" PartName="/xl/ctrlProps/ctrlProp58.xml"/>
  <Override ContentType="application/vnd.ms-excel.controlproperties+xml" PartName="/xl/ctrlProps/ctrlProp59.xml"/>
  <Override ContentType="application/vnd.ms-excel.controlproperties+xml" PartName="/xl/ctrlProps/ctrlProp60.xml"/>
  <Override ContentType="application/vnd.ms-excel.controlproperties+xml" PartName="/xl/ctrlProps/ctrlProp61.xml"/>
  <Override ContentType="application/vnd.ms-excel.controlproperties+xml" PartName="/xl/ctrlProps/ctrlProp62.xml"/>
  <Override ContentType="application/vnd.ms-excel.controlproperties+xml" PartName="/xl/ctrlProps/ctrlProp63.xml"/>
  <Override ContentType="application/vnd.ms-excel.controlproperties+xml" PartName="/xl/ctrlProps/ctrlProp64.xml"/>
  <Override ContentType="application/vnd.openxmlformats-officedocument.drawing+xml" PartName="/xl/drawings/drawing6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custom-properties+xml" PartName="/docProps/custom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ownloads\"/>
    </mc:Choice>
  </mc:AlternateContent>
  <xr:revisionPtr revIDLastSave="0" documentId="13_ncr:1_{BEF9B371-CFDC-48FE-AECC-4787BF154066}" xr6:coauthVersionLast="47" xr6:coauthVersionMax="47" xr10:uidLastSave="{00000000-0000-0000-0000-000000000000}"/>
  <bookViews>
    <workbookView xWindow="-108" yWindow="-108" windowWidth="23256" windowHeight="14856" tabRatio="641" activeTab="1" xr2:uid="{00000000-000D-0000-FFFF-FFFF00000000}"/>
  </bookViews>
  <sheets>
    <sheet name="Sheet2" sheetId="1" r:id="rId1"/>
    <sheet name="تسعير" sheetId="3" r:id="rId2"/>
    <sheet name="شماسي كانتليفر" sheetId="27" r:id="rId3"/>
    <sheet name="Royal" sheetId="2" r:id="rId4"/>
    <sheet name="Royal2" sheetId="23" r:id="rId5"/>
    <sheet name="wavy1" sheetId="22" r:id="rId6"/>
    <sheet name="wavy2" sheetId="25" r:id="rId7"/>
    <sheet name="شماسي و كانتليفر" sheetId="24" r:id="rId8"/>
    <sheet name="بيرسا و لوفرز" sheetId="26" r:id="rId9"/>
    <sheet name="تسجيل1" sheetId="4" state="hidden" r:id="rId10"/>
    <sheet name="Cutting Ro-1" sheetId="5" r:id="rId11"/>
    <sheet name="PERG. CS." sheetId="28" r:id="rId12"/>
    <sheet name="تسجيل2" sheetId="10" state="hidden" r:id="rId13"/>
    <sheet name="Cutting Ro-2" sheetId="11" state="hidden" r:id="rId14"/>
    <sheet name="Format (2)" sheetId="12" state="hidden" r:id="rId15"/>
    <sheet name="Format Οδηγων (2)" sheetId="13" state="hidden" r:id="rId16"/>
    <sheet name="Format Φωτισμου (2)" sheetId="14" state="hidden" r:id="rId17"/>
    <sheet name="Format διαστασης οδηγου (2)" sheetId="15" state="hidden" r:id="rId18"/>
    <sheet name="Format" sheetId="6" state="hidden" r:id="rId19"/>
    <sheet name="Format Οδηγων" sheetId="7" state="hidden" r:id="rId20"/>
    <sheet name="Format Φωτισμου" sheetId="8" state="hidden" r:id="rId21"/>
    <sheet name="Format διαστασης οδηγου" sheetId="9" state="hidden" r:id="rId22"/>
  </sheets>
  <externalReferences>
    <externalReference r:id="rId23"/>
    <externalReference r:id="rId24"/>
    <externalReference r:id="rId25"/>
    <externalReference r:id="rId26"/>
  </externalReferences>
  <definedNames>
    <definedName name="ش1">تسعير!$CH$14</definedName>
    <definedName name="ف45">تسعير!$BE$44</definedName>
    <definedName name="_xlnm.Print_Area" localSheetId="0">#REF!</definedName>
    <definedName name="_xlnm.Print_Area" localSheetId="1">تسعير!$A$1:$X$115</definedName>
    <definedName name="_xlnm.Print_Area" localSheetId="3">Royal!$A$1:$Z$85</definedName>
    <definedName name="_xlnm.Print_Area" localSheetId="4">Royal2!$A$1:$L$87</definedName>
    <definedName name="_xlnm.Print_Area" localSheetId="10">'Cutting Ro-1'!$A$1:$N$44</definedName>
    <definedName name="_xlnm.Print_Area" localSheetId="13">'Cutting Ro-2'!$A$1:$N$44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4" authorId="0" shapeId="0" xr:uid="{00000000-0006-0000-02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55" authorId="0" shapeId="0" xr:uid="{00000000-0006-0000-0300-000001000000}">
      <text>
        <r>
          <rPr>
            <b/>
            <sz val="9"/>
            <rFont val="Tahoma"/>
            <family val="2"/>
          </rPr>
          <t>Author:</t>
        </r>
        <r>
          <rPr>
            <sz val="9"/>
            <rFont val="Tahoma"/>
            <family val="2"/>
          </rPr>
          <t xml:space="preserve">
سعر التركي =3100
سعر الالماني=2205+500 
ناولون
سعر الميجا لوكس 3100</t>
        </r>
      </text>
    </comment>
  </commentList>
</comments>
</file>

<file path=xl/sharedStrings.xml><?xml version="1.0" encoding="utf-8"?>
<sst xmlns="http://schemas.openxmlformats.org/spreadsheetml/2006/main" count="789" uniqueCount="789">
  <si>
    <t xml:space="preserve"> Royal &amp; Poly Carbonat &amp; Sliding &amp; Sails</t>
  </si>
  <si>
    <t>عرض</t>
  </si>
  <si>
    <t>امتداد</t>
  </si>
  <si>
    <t>مساحة م2</t>
  </si>
  <si>
    <t xml:space="preserve">سعر المتر غير شامل </t>
  </si>
  <si>
    <t xml:space="preserve">سعر  الحديد</t>
  </si>
  <si>
    <t xml:space="preserve">سعر  الكمر</t>
  </si>
  <si>
    <t>سعر الالومنيوم بدون الدهان</t>
  </si>
  <si>
    <t>دهان الالومنيوم الخشبي</t>
  </si>
  <si>
    <t>Column1</t>
  </si>
  <si>
    <t>خارجي</t>
  </si>
  <si>
    <t>داخلي</t>
  </si>
  <si>
    <t>بدل الوجبة</t>
  </si>
  <si>
    <t>دبابة</t>
  </si>
  <si>
    <t>جامبو</t>
  </si>
  <si>
    <t>الاقامة</t>
  </si>
  <si>
    <t>الاسكندرية</t>
  </si>
  <si>
    <t>المشروع:</t>
  </si>
  <si>
    <t>التاريخ:</t>
  </si>
  <si>
    <t>الساحل الشمالي</t>
  </si>
  <si>
    <t>علب حديد و مواسير</t>
  </si>
  <si>
    <t>الشيخ زايد</t>
  </si>
  <si>
    <t>ليلي</t>
  </si>
  <si>
    <t>المادة</t>
  </si>
  <si>
    <t>المعدل</t>
  </si>
  <si>
    <t>الوحدة</t>
  </si>
  <si>
    <t>Column4</t>
  </si>
  <si>
    <t>م</t>
  </si>
  <si>
    <t>عدد</t>
  </si>
  <si>
    <t>بيان</t>
  </si>
  <si>
    <t>Column2</t>
  </si>
  <si>
    <t>المسطح</t>
  </si>
  <si>
    <t>الوحده</t>
  </si>
  <si>
    <t>الوزن</t>
  </si>
  <si>
    <t>مسطح</t>
  </si>
  <si>
    <t xml:space="preserve">سعر الشبك </t>
  </si>
  <si>
    <t>اجمالي</t>
  </si>
  <si>
    <t>%</t>
  </si>
  <si>
    <t>التجمع</t>
  </si>
  <si>
    <t>صباحي</t>
  </si>
  <si>
    <t>دوكو</t>
  </si>
  <si>
    <r xmlns="http://schemas.openxmlformats.org/spreadsheetml/2006/main">
      <rPr>
        <b/>
        <sz val="11"/>
        <color theme="1"/>
        <rFont val="Calibri"/>
        <family val="2"/>
        <scheme val="minor"/>
      </rPr>
      <t xml:space="preserve"> 1ك/م</t>
    </r>
    <r xmlns="http://schemas.openxmlformats.org/spreadsheetml/2006/main">
      <rPr>
        <b/>
        <sz val="8"/>
        <color theme="1"/>
        <rFont val="Calibri"/>
        <family val="2"/>
        <scheme val="minor"/>
      </rPr>
      <t>2 حديد</t>
    </r>
  </si>
  <si>
    <t>علبة حديد 3*3*1.5mm</t>
  </si>
  <si>
    <t>شبك 6 م</t>
  </si>
  <si>
    <t>المقطم</t>
  </si>
  <si>
    <t>تنر</t>
  </si>
  <si>
    <t>1لتر/اك دوكو</t>
  </si>
  <si>
    <t>علبة حديد 10*10*2.5mm</t>
  </si>
  <si>
    <t>مطروح</t>
  </si>
  <si>
    <t>معجون</t>
  </si>
  <si>
    <t xml:space="preserve"> 1ك/م2 حديد</t>
  </si>
  <si>
    <t>علبة حديد 15*5*3mm</t>
  </si>
  <si>
    <t>البحيرة</t>
  </si>
  <si>
    <t>كيما بوكسي</t>
  </si>
  <si>
    <t>Total</t>
  </si>
  <si>
    <t>الغربية</t>
  </si>
  <si>
    <t>صنفرة</t>
  </si>
  <si>
    <t>1لوح / م2</t>
  </si>
  <si>
    <t xml:space="preserve">كمر حديد </t>
  </si>
  <si>
    <t>المنوفية</t>
  </si>
  <si>
    <t>JOTAMASTIC 87</t>
  </si>
  <si>
    <t>Column12</t>
  </si>
  <si>
    <t>الدقهلية</t>
  </si>
  <si>
    <t>HARDTOP XP</t>
  </si>
  <si>
    <t>كمر حديد(C) 14سم 12 متر</t>
  </si>
  <si>
    <t>شبك 12 م</t>
  </si>
  <si>
    <t>الشرقية</t>
  </si>
  <si>
    <t>THINNER 17</t>
  </si>
  <si>
    <t>كمر حديد(C) 14سم 6 متر</t>
  </si>
  <si>
    <t>كفر الشيخ</t>
  </si>
  <si>
    <t>THINNER 10</t>
  </si>
  <si>
    <t>دمياط</t>
  </si>
  <si>
    <t>مستلزمات حدادة و تركيبات</t>
  </si>
  <si>
    <t>بورسعيد</t>
  </si>
  <si>
    <t>سعر الكيلو</t>
  </si>
  <si>
    <t>السويس</t>
  </si>
  <si>
    <t>سلك لحام</t>
  </si>
  <si>
    <t>باكو 5كجم</t>
  </si>
  <si>
    <t>الاسماعيلية</t>
  </si>
  <si>
    <t>كفر كبير و صغير</t>
  </si>
  <si>
    <t>بالكيلو</t>
  </si>
  <si>
    <t>البحر الاحمر</t>
  </si>
  <si>
    <t>طارات قطعية</t>
  </si>
  <si>
    <t>شمال سيناء</t>
  </si>
  <si>
    <t>طارات جلخ</t>
  </si>
  <si>
    <t>جنوب سيناء</t>
  </si>
  <si>
    <t>مسامير هلتي 16 خرسانة</t>
  </si>
  <si>
    <t>الواحد</t>
  </si>
  <si>
    <t>خرطوم صرف</t>
  </si>
  <si>
    <t>بالمتر</t>
  </si>
  <si>
    <t>تراك مياه صاج بالمتر</t>
  </si>
  <si>
    <t>مزراب و طبات</t>
  </si>
  <si>
    <t>بالسم</t>
  </si>
  <si>
    <t>قاعدة خرسانة عادية</t>
  </si>
  <si>
    <t>سيكا cmb</t>
  </si>
  <si>
    <t>بالتات و حجبة</t>
  </si>
  <si>
    <t>Column3</t>
  </si>
  <si>
    <t>بالتة 10 مم 40 × 40</t>
  </si>
  <si>
    <t>حجبة مثلثة 10مم 10*10</t>
  </si>
  <si>
    <t>دهانات و مستلزمات</t>
  </si>
  <si>
    <t>صنفرة خشنه</t>
  </si>
  <si>
    <t>فرخ</t>
  </si>
  <si>
    <t>صنفرة ناعمه</t>
  </si>
  <si>
    <t>لزق دكو</t>
  </si>
  <si>
    <t>بكرة</t>
  </si>
  <si>
    <t>صنفرة حديد</t>
  </si>
  <si>
    <t>جرايد</t>
  </si>
  <si>
    <t xml:space="preserve">معجون حديد </t>
  </si>
  <si>
    <t>علبة 3 كيلو</t>
  </si>
  <si>
    <t>جركن 2 لتر</t>
  </si>
  <si>
    <t>دهانات- دوكو</t>
  </si>
  <si>
    <t>كيما بوكسي CMB</t>
  </si>
  <si>
    <t>جلفنة</t>
  </si>
  <si>
    <t>JOTAMASTIC 87 GREY</t>
  </si>
  <si>
    <t>18.7 L</t>
  </si>
  <si>
    <t>HARDTOP XP (WHITE/BLACK/GREY)</t>
  </si>
  <si>
    <t>20 L</t>
  </si>
  <si>
    <t>5 L</t>
  </si>
  <si>
    <t>total</t>
  </si>
  <si>
    <t>قطاعات الومنيوم و بولي كربونيت</t>
  </si>
  <si>
    <t>سدايب الومنيوم (U)</t>
  </si>
  <si>
    <t>poly Carbonat 10 mm</t>
  </si>
  <si>
    <t>باللوح</t>
  </si>
  <si>
    <t xml:space="preserve">زجاج و برجولات </t>
  </si>
  <si>
    <t>بيان برجولا رويال</t>
  </si>
  <si>
    <t>العرض</t>
  </si>
  <si>
    <t>الامتداد</t>
  </si>
  <si>
    <t>سعر المتر</t>
  </si>
  <si>
    <t>سعر البرجولا كاملة</t>
  </si>
  <si>
    <t>برجولا رويال 1</t>
  </si>
  <si>
    <t>برجولا فلات رويال</t>
  </si>
  <si>
    <t>الصيانة و الضمان</t>
  </si>
  <si>
    <t>عمالة و نقل و اقامة</t>
  </si>
  <si>
    <t>اليومية / الاجرة</t>
  </si>
  <si>
    <t>موقع العمل</t>
  </si>
  <si>
    <t>شيفت العمل</t>
  </si>
  <si>
    <t>عدد الايام</t>
  </si>
  <si>
    <t>اجمالي التكلفة للعامل</t>
  </si>
  <si>
    <t>عماله الحداده بالمصنع</t>
  </si>
  <si>
    <t>المصنع</t>
  </si>
  <si>
    <t>عماله الدهانات بالمصنع</t>
  </si>
  <si>
    <t>عماله التفصيل بالمصنع</t>
  </si>
  <si>
    <t>عماله تركيبات بالمصنع</t>
  </si>
  <si>
    <t xml:space="preserve">عماله الحداده بالموقع </t>
  </si>
  <si>
    <t>عماله الدهانات بالموقع</t>
  </si>
  <si>
    <t>عماله التفصيل خارج اسكندرية</t>
  </si>
  <si>
    <t>عماله تركيبات بالموقع</t>
  </si>
  <si>
    <t>انتقالات بين المحافظات</t>
  </si>
  <si>
    <t>انتقالات بين السكن و الموقع</t>
  </si>
  <si>
    <t>نولون دبابة</t>
  </si>
  <si>
    <t>نولون جامبو</t>
  </si>
  <si>
    <t>Column22</t>
  </si>
  <si>
    <t>Column23</t>
  </si>
  <si>
    <t>اجمالي التكلفة</t>
  </si>
  <si>
    <t>سعر البيع غير شامل الضريبة</t>
  </si>
  <si>
    <t>اجمالي الميزان</t>
  </si>
  <si>
    <t>علبة حديد 5*10*2mm</t>
  </si>
  <si>
    <t>JOTAMASTIC 80 GREY</t>
  </si>
  <si>
    <t>HARDTOP XP COLOR</t>
  </si>
  <si>
    <t>BARRIER 80</t>
  </si>
  <si>
    <t>جلفنة\</t>
  </si>
  <si>
    <t>برجولا فلات</t>
  </si>
  <si>
    <t>اخري</t>
  </si>
  <si>
    <t>حساب تكلفة سعر البرجولة wavy بمساحة</t>
  </si>
  <si>
    <t xml:space="preserve">امتداد </t>
  </si>
  <si>
    <t>Column7</t>
  </si>
  <si>
    <t>الطول بالمتر</t>
  </si>
  <si>
    <t xml:space="preserve">وزن المتر </t>
  </si>
  <si>
    <t xml:space="preserve">اجمالي عدد </t>
  </si>
  <si>
    <t xml:space="preserve">البروفيل بالدهان   7 او 5</t>
  </si>
  <si>
    <t xml:space="preserve">المداد الصغير      5 او 4</t>
  </si>
  <si>
    <t>Column5</t>
  </si>
  <si>
    <t>الوير 3 مم ستانلس</t>
  </si>
  <si>
    <t>3*3</t>
  </si>
  <si>
    <t>العربيات</t>
  </si>
  <si>
    <t>5*5</t>
  </si>
  <si>
    <t>جلد pvc soltis</t>
  </si>
  <si>
    <t>7*7</t>
  </si>
  <si>
    <t xml:space="preserve">ماسوره مجلفنه 70 مم   3او6</t>
  </si>
  <si>
    <t>10*10</t>
  </si>
  <si>
    <t>زاويه تثبيت الماسوره و الطبات داخلها</t>
  </si>
  <si>
    <t>15*15</t>
  </si>
  <si>
    <t>زاويه تثبيت للبروفيل ستانلس</t>
  </si>
  <si>
    <t>5*10</t>
  </si>
  <si>
    <t>بكر الومنيوم بالزاويه ستانلس</t>
  </si>
  <si>
    <t>5*15</t>
  </si>
  <si>
    <t>gear box &amp; manivella</t>
  </si>
  <si>
    <t>10*15</t>
  </si>
  <si>
    <t>طبه جانبية</t>
  </si>
  <si>
    <t>موتور</t>
  </si>
  <si>
    <t>تيش 24مم+صاموله</t>
  </si>
  <si>
    <t>شبك 2 م</t>
  </si>
  <si>
    <t>مسمار icon</t>
  </si>
  <si>
    <t>العلبة</t>
  </si>
  <si>
    <t>يدوي</t>
  </si>
  <si>
    <t>بالتة 10 مم 30 × 30</t>
  </si>
  <si>
    <t>قاعدة خرسانة</t>
  </si>
  <si>
    <t>متر مكعب</t>
  </si>
  <si>
    <t>ويفي</t>
  </si>
  <si>
    <t>شكل</t>
  </si>
  <si>
    <t>المقاس</t>
  </si>
  <si>
    <t>ميزان</t>
  </si>
  <si>
    <t>عدد/الشمسية</t>
  </si>
  <si>
    <t>سعر الوحدة</t>
  </si>
  <si>
    <t>قيمة</t>
  </si>
  <si>
    <t>البيان</t>
  </si>
  <si>
    <t>الناتج</t>
  </si>
  <si>
    <t>دائرية</t>
  </si>
  <si>
    <t>اسباني</t>
  </si>
  <si>
    <t>الخرشوفة</t>
  </si>
  <si>
    <t>كود الشمسية</t>
  </si>
  <si>
    <t>الخرشوفة مشكلة</t>
  </si>
  <si>
    <t>hdpe</t>
  </si>
  <si>
    <t>حلقة الخرشوفة</t>
  </si>
  <si>
    <t>ميزان الالومنيوم المستخدم</t>
  </si>
  <si>
    <t>4*4</t>
  </si>
  <si>
    <t>تركي</t>
  </si>
  <si>
    <t>الهوك</t>
  </si>
  <si>
    <t>سعر الدهان</t>
  </si>
  <si>
    <t>سوستة</t>
  </si>
  <si>
    <t xml:space="preserve">مصري </t>
  </si>
  <si>
    <t>الطبة</t>
  </si>
  <si>
    <t>تكلفة الالومنيوم بالدهان</t>
  </si>
  <si>
    <t>مصري</t>
  </si>
  <si>
    <t>يد</t>
  </si>
  <si>
    <t>مربعة</t>
  </si>
  <si>
    <t>البكره</t>
  </si>
  <si>
    <t>سعر القماش</t>
  </si>
  <si>
    <t>لسان مشرشر</t>
  </si>
  <si>
    <t>خشبي</t>
  </si>
  <si>
    <t>قفيز البكره</t>
  </si>
  <si>
    <t>كمية القماش</t>
  </si>
  <si>
    <t>جلب</t>
  </si>
  <si>
    <t>سادة</t>
  </si>
  <si>
    <t>الحبل</t>
  </si>
  <si>
    <t>تكلفة القماش</t>
  </si>
  <si>
    <t>طبات</t>
  </si>
  <si>
    <t>الومنيوم</t>
  </si>
  <si>
    <t>قطاع استانلس الريشة</t>
  </si>
  <si>
    <t>المصنعيات و اكسسوار و قاعدة</t>
  </si>
  <si>
    <t>طبق</t>
  </si>
  <si>
    <t>مصنعية قماش</t>
  </si>
  <si>
    <t>المسامير ستانلس</t>
  </si>
  <si>
    <t>قيمة التطريز</t>
  </si>
  <si>
    <t>اسطوانة</t>
  </si>
  <si>
    <t>مصنعية تركيبات</t>
  </si>
  <si>
    <t>قاعدة</t>
  </si>
  <si>
    <t>بدون قاعدة</t>
  </si>
  <si>
    <t>سعر البيع</t>
  </si>
  <si>
    <t>تطريز</t>
  </si>
  <si>
    <t>كونكتور ريش</t>
  </si>
  <si>
    <t>امتار عادية</t>
  </si>
  <si>
    <t>امتار single</t>
  </si>
  <si>
    <t>امتار douple</t>
  </si>
  <si>
    <t>مربع 2</t>
  </si>
  <si>
    <t>قطاعي</t>
  </si>
  <si>
    <t>no</t>
  </si>
  <si>
    <t>مدور 2.5</t>
  </si>
  <si>
    <t>v</t>
  </si>
  <si>
    <t>جملة</t>
  </si>
  <si>
    <t>single</t>
  </si>
  <si>
    <t>مدور 2.7</t>
  </si>
  <si>
    <t>نصف جملة</t>
  </si>
  <si>
    <t>double</t>
  </si>
  <si>
    <t>مدور 3</t>
  </si>
  <si>
    <t>single مطرز</t>
  </si>
  <si>
    <t>مدور 3.5</t>
  </si>
  <si>
    <t>مربع 2.5</t>
  </si>
  <si>
    <t>مربع 3</t>
  </si>
  <si>
    <t>مربع 3.3</t>
  </si>
  <si>
    <t>سعر</t>
  </si>
  <si>
    <t>Column6</t>
  </si>
  <si>
    <t>مواسير قطر 16 سمك 4مم طول 4.5متر</t>
  </si>
  <si>
    <t>مواسير قطر 16 سمك 4مم طول 4متر</t>
  </si>
  <si>
    <t>علبة 5*10 2 مم</t>
  </si>
  <si>
    <t>الايام</t>
  </si>
  <si>
    <t>مواسير 48 مجلفنة 2.5 مم</t>
  </si>
  <si>
    <t>مواسير 48 مجلفنة 3 مم</t>
  </si>
  <si>
    <t>شميز</t>
  </si>
  <si>
    <t xml:space="preserve">كونكتور </t>
  </si>
  <si>
    <t>بالتة ربع دائرة</t>
  </si>
  <si>
    <t>قماش hdpe</t>
  </si>
  <si>
    <t>قاعدة خرسانية</t>
  </si>
  <si>
    <t>بالتات 50*50 15مم</t>
  </si>
  <si>
    <t>تكلفة الدوبل</t>
  </si>
  <si>
    <t>تيش 16</t>
  </si>
  <si>
    <t>تكلفة السنجل</t>
  </si>
  <si>
    <t>علب 3*3 1.5مم</t>
  </si>
  <si>
    <t>حجاب 15*15</t>
  </si>
  <si>
    <t>مسامير و خوص</t>
  </si>
  <si>
    <t>مواسير قطر 16 سمك 4مم طول 5متر</t>
  </si>
  <si>
    <t>مواسير 48 مجلفنة 3مم</t>
  </si>
  <si>
    <t>بيرسا</t>
  </si>
  <si>
    <t>الدهان</t>
  </si>
  <si>
    <t>حساب تكلفة سعر لوفرز متحركة بمساحة</t>
  </si>
  <si>
    <t>طول</t>
  </si>
  <si>
    <t>wt/m</t>
  </si>
  <si>
    <t>price</t>
  </si>
  <si>
    <t>القطاع</t>
  </si>
  <si>
    <t>العدد المطلوب</t>
  </si>
  <si>
    <t>ريشة</t>
  </si>
  <si>
    <t>متر</t>
  </si>
  <si>
    <t>بروفيل عرض</t>
  </si>
  <si>
    <t xml:space="preserve">بروفيل عرض </t>
  </si>
  <si>
    <t>بروفيل امتداد</t>
  </si>
  <si>
    <t>اجمالي المسطح</t>
  </si>
  <si>
    <t>تراك عرض</t>
  </si>
  <si>
    <t>علب حديد 15*15 2mm</t>
  </si>
  <si>
    <t>مسطرة حركة</t>
  </si>
  <si>
    <t>علب حديد 15*15 3mm</t>
  </si>
  <si>
    <t>تراك امتداد</t>
  </si>
  <si>
    <t>علب حديد 5*15 2mm</t>
  </si>
  <si>
    <t>جلبه ارتيلون كبيرة</t>
  </si>
  <si>
    <t>U</t>
  </si>
  <si>
    <t>زاوية 7سم</t>
  </si>
  <si>
    <t>جلبه صغيرة</t>
  </si>
  <si>
    <t>ماسورة الومينيوم</t>
  </si>
  <si>
    <t>علبة حديد 3*3*1.8mm</t>
  </si>
  <si>
    <t>زاوية 5*5</t>
  </si>
  <si>
    <t>بالته استانلس للريشه</t>
  </si>
  <si>
    <t>طقم تثبيت الريشة</t>
  </si>
  <si>
    <t>زاوية كورنر صغيره</t>
  </si>
  <si>
    <t xml:space="preserve">عدد </t>
  </si>
  <si>
    <t>زاوية كورنر كبيره</t>
  </si>
  <si>
    <t>مسطرة طقم التثبيت</t>
  </si>
  <si>
    <t>كاوتش 3خط</t>
  </si>
  <si>
    <t>كاوتش مانع المطر</t>
  </si>
  <si>
    <t>شريط ليد</t>
  </si>
  <si>
    <t>بكرة 5م</t>
  </si>
  <si>
    <t>غطاء ليد</t>
  </si>
  <si>
    <t>3م</t>
  </si>
  <si>
    <t>ترانس</t>
  </si>
  <si>
    <t>حساب تكلفة غير مثبتة علي مبني بمساحة</t>
  </si>
  <si>
    <t>زاوية 3سم</t>
  </si>
  <si>
    <t xml:space="preserve">PERGOLA  PERCO II</t>
  </si>
  <si>
    <t xml:space="preserve">اسم العميل </t>
  </si>
  <si>
    <t xml:space="preserve">برجولا </t>
  </si>
  <si>
    <t xml:space="preserve">غطاء  امامي للمجري </t>
  </si>
  <si>
    <t xml:space="preserve">لون الألومنيوم </t>
  </si>
  <si>
    <t xml:space="preserve">اسود غير لامع مات </t>
  </si>
  <si>
    <t xml:space="preserve">لون البي في سي </t>
  </si>
  <si>
    <t xml:space="preserve">ثلاث ابعاد رمادي </t>
  </si>
  <si>
    <t xml:space="preserve">مقاسات </t>
  </si>
  <si>
    <t xml:space="preserve">قواعد تثبيت </t>
  </si>
  <si>
    <t xml:space="preserve">عوارض تحميل </t>
  </si>
  <si>
    <t xml:space="preserve">اعمدة </t>
  </si>
  <si>
    <t xml:space="preserve">ارتفاع </t>
  </si>
  <si>
    <t>4Χ220- 1Χ250</t>
  </si>
  <si>
    <t xml:space="preserve">صرف </t>
  </si>
  <si>
    <t xml:space="preserve">اضواء </t>
  </si>
  <si>
    <t xml:space="preserve">ماتور </t>
  </si>
  <si>
    <t xml:space="preserve">كنترول تحكم </t>
  </si>
  <si>
    <t xml:space="preserve"> </t>
  </si>
  <si>
    <t xml:space="preserve">اضاءة </t>
  </si>
  <si>
    <t xml:space="preserve">مداد بالأضائة </t>
  </si>
  <si>
    <t xml:space="preserve">عدد اللمبات المقترحة </t>
  </si>
  <si>
    <t xml:space="preserve">اللمبات لكل مداد </t>
  </si>
  <si>
    <t>اللمبات المقررة</t>
  </si>
  <si>
    <t xml:space="preserve">عدد اللمبات لكل </t>
  </si>
  <si>
    <t xml:space="preserve">اللمبة الأولي من الحد الجانبي </t>
  </si>
  <si>
    <t>cm</t>
  </si>
  <si>
    <t xml:space="preserve">تغييرات </t>
  </si>
  <si>
    <t xml:space="preserve">عادي </t>
  </si>
  <si>
    <t xml:space="preserve">معدل </t>
  </si>
  <si>
    <t xml:space="preserve">مجري </t>
  </si>
  <si>
    <t xml:space="preserve">مداد </t>
  </si>
  <si>
    <t>Royal pergola 1</t>
  </si>
  <si>
    <t>سعر طن الالومنيوم بالدهان</t>
  </si>
  <si>
    <t>سعر اليورو</t>
  </si>
  <si>
    <t xml:space="preserve">التاريخ </t>
  </si>
  <si>
    <t>سعر طن الالومنيوم</t>
  </si>
  <si>
    <t xml:space="preserve">بيرجولا </t>
  </si>
  <si>
    <t>EVO</t>
  </si>
  <si>
    <t>X</t>
  </si>
  <si>
    <t xml:space="preserve">مساحة </t>
  </si>
  <si>
    <r xmlns="http://schemas.openxmlformats.org/spreadsheetml/2006/main">
      <rPr>
        <b/>
        <sz val="14"/>
        <rFont val="Arial Greek"/>
        <charset val="134"/>
      </rPr>
      <t>m</t>
    </r>
    <r xmlns="http://schemas.openxmlformats.org/spreadsheetml/2006/main">
      <rPr>
        <b/>
        <vertAlign val="superscript"/>
        <sz val="14"/>
        <rFont val="Arial Greek"/>
        <charset val="134"/>
      </rPr>
      <t>2</t>
    </r>
  </si>
  <si>
    <t>مساحة القماش</t>
  </si>
  <si>
    <t xml:space="preserve">مقاس البي في سي </t>
  </si>
  <si>
    <t>Χ</t>
  </si>
  <si>
    <t xml:space="preserve">قطاعات الألومنيوم </t>
  </si>
  <si>
    <t xml:space="preserve">طول بالسنتيمتر </t>
  </si>
  <si>
    <t>طول الشبك</t>
  </si>
  <si>
    <t>الشبكات بدون هادر</t>
  </si>
  <si>
    <t>عدد الشبكات بالهادر</t>
  </si>
  <si>
    <t>الطول بالهادر بالمتر</t>
  </si>
  <si>
    <t>وزن المتر</t>
  </si>
  <si>
    <t>السعر</t>
  </si>
  <si>
    <t xml:space="preserve">مجري بروفيل         70χ150</t>
  </si>
  <si>
    <t xml:space="preserve">مداد كبير                 A-Ω</t>
  </si>
  <si>
    <t xml:space="preserve">مداد كبير                 Β-Ε</t>
  </si>
  <si>
    <t xml:space="preserve">مدادات </t>
  </si>
  <si>
    <t xml:space="preserve">مداد صغير                A-Ω</t>
  </si>
  <si>
    <t>+</t>
  </si>
  <si>
    <t xml:space="preserve">مداد صغير                  Β-Ε</t>
  </si>
  <si>
    <t xml:space="preserve">محور                        Α</t>
  </si>
  <si>
    <t xml:space="preserve">المسافة بين منتصف قواعد التثبيت </t>
  </si>
  <si>
    <t xml:space="preserve">محور                       Ω</t>
  </si>
  <si>
    <t xml:space="preserve">محور                   Β-Ε</t>
  </si>
  <si>
    <t>المراية الخلفية</t>
  </si>
  <si>
    <t xml:space="preserve">ارتفاع بالسنتيمتر </t>
  </si>
  <si>
    <t xml:space="preserve">سير </t>
  </si>
  <si>
    <t xml:space="preserve">مستلزمات </t>
  </si>
  <si>
    <t>ΤΕΜ</t>
  </si>
  <si>
    <t xml:space="preserve">مواد اضافية </t>
  </si>
  <si>
    <t>الصنف 1</t>
  </si>
  <si>
    <t>يورو</t>
  </si>
  <si>
    <t>مصرى</t>
  </si>
  <si>
    <t>الصنف 2</t>
  </si>
  <si>
    <t>بالتة تثبيت البروفيل في الحائط</t>
  </si>
  <si>
    <t>لسان مشرشر مع المسمار والصمولة</t>
  </si>
  <si>
    <t xml:space="preserve">ريموت كنترول </t>
  </si>
  <si>
    <t>غطاء ماتور بلاستيك مع 2 صامولة 8 م</t>
  </si>
  <si>
    <t>بالتة جانبية خلفية مفتوحة (واحدة)</t>
  </si>
  <si>
    <t xml:space="preserve">غطاء جانبي مداد كبير  بلاستيك (واحدة)</t>
  </si>
  <si>
    <t>بالتة جانبية خلفية مغلقة (واحدة)</t>
  </si>
  <si>
    <t xml:space="preserve">غطاء جانبي مداد صغير   بلاستيك (زوج)</t>
  </si>
  <si>
    <t>بالتة تجميع البروفيل (زوج )</t>
  </si>
  <si>
    <t>طبة بلاستيك مدور للمداد الكبير</t>
  </si>
  <si>
    <t>طقم اكسسوار امامي بالغطاء الالومنيوم</t>
  </si>
  <si>
    <t>طبة بلاستيك مدور للمداد الصغير</t>
  </si>
  <si>
    <t>طقم اكسسوار خلفي</t>
  </si>
  <si>
    <t xml:space="preserve"> وردة بلاستيك شد البى فى سي </t>
  </si>
  <si>
    <t>عربية صغيرة بالصامولة + جلبة بلاستيك</t>
  </si>
  <si>
    <t xml:space="preserve">مسمار سن صاج لشد البلاستيك </t>
  </si>
  <si>
    <t>عربية كبيرة بالسان و 5مسامير +جلبة بلاستيك</t>
  </si>
  <si>
    <t xml:space="preserve">مسمار   مجلفن 12M × 80 </t>
  </si>
  <si>
    <t>بالتات امامية باللوجو (زوج)</t>
  </si>
  <si>
    <t>صامولة مجلفنة 12M</t>
  </si>
  <si>
    <t>جهاز كونترول للمواتير</t>
  </si>
  <si>
    <t xml:space="preserve">وصلة مداد كبير </t>
  </si>
  <si>
    <t>مفتاح تشغيل</t>
  </si>
  <si>
    <t xml:space="preserve">وصلة مداد صغير </t>
  </si>
  <si>
    <t xml:space="preserve">زاوية تثبيت المرايه الخلفية زوج </t>
  </si>
  <si>
    <t>ويل و كراون و بسكوتة ستانلس</t>
  </si>
  <si>
    <t>حرف U اتثبيت المجري من الامام</t>
  </si>
  <si>
    <t>لمبات ليد بالغطاء و الدويل و وش ستانلس</t>
  </si>
  <si>
    <t>مانع المياه للبروفيل</t>
  </si>
  <si>
    <t xml:space="preserve">ملاحظات </t>
  </si>
  <si>
    <t>PERSA</t>
  </si>
  <si>
    <t>المنتج</t>
  </si>
  <si>
    <t>لون الشاسية</t>
  </si>
  <si>
    <t>لون اللوفرز</t>
  </si>
  <si>
    <t>سعر البيع للوحدة</t>
  </si>
  <si>
    <t>سعر خام الالومنيوم</t>
  </si>
  <si>
    <t>FLUX</t>
  </si>
  <si>
    <t>FLOW</t>
  </si>
  <si>
    <t>CHESS</t>
  </si>
  <si>
    <t>WING</t>
  </si>
  <si>
    <t>الخامة</t>
  </si>
  <si>
    <t>العدد</t>
  </si>
  <si>
    <t>الطول</t>
  </si>
  <si>
    <t>الوزن المتري</t>
  </si>
  <si>
    <t>القيمة</t>
  </si>
  <si>
    <t>عدد الشبابيك العرضية =</t>
  </si>
  <si>
    <t>LINEA</t>
  </si>
  <si>
    <t>علب 15*15 سمك 3مم</t>
  </si>
  <si>
    <t>عدد الشبابيك الطولية =</t>
  </si>
  <si>
    <t>EYE LINEA</t>
  </si>
  <si>
    <t>كونكتور قاعدة شامل المسامير</t>
  </si>
  <si>
    <t>اجمالي الشبابيك =</t>
  </si>
  <si>
    <t>MESH</t>
  </si>
  <si>
    <t>كونكتور علوي شامل المسامير</t>
  </si>
  <si>
    <t>مقاس الشباك =</t>
  </si>
  <si>
    <t>سيستم البيرسا</t>
  </si>
  <si>
    <t>عدد اللوفرز في كل شباك</t>
  </si>
  <si>
    <t>عمالة و متغيرات</t>
  </si>
  <si>
    <t>RTN - 1</t>
  </si>
  <si>
    <t>بروفيل عرض ( مرايا البرجولة )</t>
  </si>
  <si>
    <t>RTN - 2 عوارض</t>
  </si>
  <si>
    <t>بروفيل امتداد ( مرايا البرجولة )</t>
  </si>
  <si>
    <t>RTN - 2 للطول</t>
  </si>
  <si>
    <t>RTN - 3</t>
  </si>
  <si>
    <t>علب 2*10 سمك 1مم</t>
  </si>
  <si>
    <t>كونكتور ثلاثي شامل المسامير</t>
  </si>
  <si>
    <t>زوايا تثبيت استانلس</t>
  </si>
  <si>
    <t>طبات 15*15</t>
  </si>
  <si>
    <t>ليد و كفر</t>
  </si>
  <si>
    <t>مستلزمات كهرباء</t>
  </si>
  <si>
    <t xml:space="preserve">800 ترانس
625 علبة و سلك</t>
  </si>
  <si>
    <t>مسامير و مستلزمات</t>
  </si>
  <si>
    <t>سيستم اللوفرز المتحركة</t>
  </si>
  <si>
    <t>كاوتش 3 خط</t>
  </si>
  <si>
    <t>علب 10*15 سمك 2.5 مم</t>
  </si>
  <si>
    <t>علب 2*10 سمك 1.2مم</t>
  </si>
  <si>
    <t>كونكتور T شامل المسامير</t>
  </si>
  <si>
    <t>CNC</t>
  </si>
  <si>
    <t>طبات 10*15</t>
  </si>
  <si>
    <t>علب 15 * 15 سمك 3مم</t>
  </si>
  <si>
    <t>سيستم الرويال فلات</t>
  </si>
  <si>
    <t>كونكتور ارضي بالمسامير</t>
  </si>
  <si>
    <t>عدد اللوفرز فوق</t>
  </si>
  <si>
    <t>كونكتور داخلي ثلاثي بالمسامير</t>
  </si>
  <si>
    <t>عدد اللوفرز تحت</t>
  </si>
  <si>
    <r xmlns="http://schemas.openxmlformats.org/spreadsheetml/2006/main">
      <t>m</t>
    </r>
    <r xmlns="http://schemas.openxmlformats.org/spreadsheetml/2006/main">
      <rPr>
        <b/>
        <vertAlign val="superscript"/>
        <sz val="14"/>
        <rFont val="Arial Greek"/>
      </rPr>
      <t>2</t>
    </r>
  </si>
  <si>
    <t>عميل</t>
  </si>
  <si>
    <t>قطاع RTN - 1</t>
  </si>
  <si>
    <t>اجمالي السعر</t>
  </si>
  <si>
    <t>قطاع RTN - 3</t>
  </si>
  <si>
    <t>اطول الشبكات المتاحة</t>
  </si>
  <si>
    <t>1</t>
  </si>
  <si>
    <t>2</t>
  </si>
  <si>
    <t>3</t>
  </si>
  <si>
    <t>4</t>
  </si>
  <si>
    <t>5</t>
  </si>
  <si>
    <t>6</t>
  </si>
  <si>
    <t>اختيار</t>
  </si>
  <si>
    <t>التقطيع</t>
  </si>
  <si>
    <t>بالهدر</t>
  </si>
  <si>
    <t xml:space="preserve"> عين 15 سم</t>
  </si>
  <si>
    <t>الاكسسوار</t>
  </si>
  <si>
    <t xml:space="preserve"> علب 2*10 سمك 1مم</t>
  </si>
  <si>
    <t xml:space="preserve">سعر البي في سي </t>
  </si>
  <si>
    <t>عدد عروض القماش</t>
  </si>
  <si>
    <t>عدد الشرايح</t>
  </si>
  <si>
    <t>علب 5*10 سمك 2مم</t>
  </si>
  <si>
    <t>HDPE</t>
  </si>
  <si>
    <t xml:space="preserve">بطانة </t>
  </si>
  <si>
    <t xml:space="preserve">تعديلات خاصة </t>
  </si>
  <si>
    <t xml:space="preserve">غطاء امامي للمجري ديكور </t>
  </si>
  <si>
    <t xml:space="preserve">كنترول تشغيل </t>
  </si>
  <si>
    <t>Star 120X60</t>
  </si>
  <si>
    <t xml:space="preserve">بيج  Ral 1013</t>
  </si>
  <si>
    <t xml:space="preserve">قواعد حائط </t>
  </si>
  <si>
    <t xml:space="preserve">لا </t>
  </si>
  <si>
    <t xml:space="preserve">نعم </t>
  </si>
  <si>
    <t xml:space="preserve">مفصلات </t>
  </si>
  <si>
    <t>13cm</t>
  </si>
  <si>
    <t xml:space="preserve">1 ماتور </t>
  </si>
  <si>
    <t>EVO 150X70</t>
  </si>
  <si>
    <t xml:space="preserve">ابيض  Ral 9016</t>
  </si>
  <si>
    <t>قواعد سقف</t>
  </si>
  <si>
    <t xml:space="preserve">عارض  120Χ80</t>
  </si>
  <si>
    <t xml:space="preserve">صونفي </t>
  </si>
  <si>
    <t xml:space="preserve"> 21 cm</t>
  </si>
  <si>
    <t xml:space="preserve">2 ماتور </t>
  </si>
  <si>
    <t>Star 160X60</t>
  </si>
  <si>
    <t xml:space="preserve">لون اخر </t>
  </si>
  <si>
    <t xml:space="preserve">ازرق  Ral 5024</t>
  </si>
  <si>
    <t xml:space="preserve">عارض  160Χ140</t>
  </si>
  <si>
    <t xml:space="preserve">إنيرجي </t>
  </si>
  <si>
    <t xml:space="preserve"> 15 cm</t>
  </si>
  <si>
    <t xml:space="preserve">زر تشغيل </t>
  </si>
  <si>
    <t>Star 160X85</t>
  </si>
  <si>
    <t xml:space="preserve">بني  Ral 1019</t>
  </si>
  <si>
    <t xml:space="preserve">عارض  160Χ120</t>
  </si>
  <si>
    <t xml:space="preserve"> 10 cm</t>
  </si>
  <si>
    <t>Star 180X100</t>
  </si>
  <si>
    <t xml:space="preserve">رمادي  Ral 9018</t>
  </si>
  <si>
    <t xml:space="preserve">عارض  120Χ100</t>
  </si>
  <si>
    <t xml:space="preserve"> 16 cm</t>
  </si>
  <si>
    <t xml:space="preserve">اخر </t>
  </si>
  <si>
    <t xml:space="preserve"> 12 cm</t>
  </si>
  <si>
    <t>Περγκολα</t>
  </si>
  <si>
    <t>Οδηγοι Περγκολας</t>
  </si>
  <si>
    <t>Πάνελς για Persa</t>
  </si>
  <si>
    <t>Αξονας</t>
  </si>
  <si>
    <t>Star</t>
  </si>
  <si>
    <t>Προβολη</t>
  </si>
  <si>
    <t>Προβολή</t>
  </si>
  <si>
    <t>Πάνελς</t>
  </si>
  <si>
    <t>Αντιβαρα Για περγκολες Star - Magna</t>
  </si>
  <si>
    <t>Αντίβαρα για Πέργκολα Top Star</t>
  </si>
  <si>
    <t>Αντίβαρα</t>
  </si>
  <si>
    <t>antivara</t>
  </si>
  <si>
    <t>Τεμάχια</t>
  </si>
  <si>
    <t>Από</t>
  </si>
  <si>
    <t>Έως</t>
  </si>
  <si>
    <t>p1</t>
  </si>
  <si>
    <t>p2</t>
  </si>
  <si>
    <t>p3</t>
  </si>
  <si>
    <t>p4</t>
  </si>
  <si>
    <t>N/A</t>
  </si>
  <si>
    <t xml:space="preserve">περγκολα Star οδηγοι 120Χ60 -160Χ60 </t>
  </si>
  <si>
    <t>120Χ80</t>
  </si>
  <si>
    <t>160Χ140</t>
  </si>
  <si>
    <t>160Χ120</t>
  </si>
  <si>
    <t>120X100</t>
  </si>
  <si>
    <t>Δικο του</t>
  </si>
  <si>
    <t>Προβολη Περγκολας</t>
  </si>
  <si>
    <t>Προσωπο ή Προεξοχη?</t>
  </si>
  <si>
    <t>Στηθαιο</t>
  </si>
  <si>
    <t xml:space="preserve">نزلة </t>
  </si>
  <si>
    <t xml:space="preserve">بي في سي </t>
  </si>
  <si>
    <t>Όπως σε περγκολα εξω-εξω</t>
  </si>
  <si>
    <t xml:space="preserve">نتائج </t>
  </si>
  <si>
    <t>Το πλαστικο θα γινει</t>
  </si>
  <si>
    <t>περγκολα Star οδηγος 180Χ100</t>
  </si>
  <si>
    <t>Πλαστικο</t>
  </si>
  <si>
    <t>περγκολα Star οδηγος 160Χ85 - 120X70</t>
  </si>
  <si>
    <t xml:space="preserve">مدادات مع الأضائة </t>
  </si>
  <si>
    <t xml:space="preserve">مدادات باللمبات نتائج </t>
  </si>
  <si>
    <t xml:space="preserve">محور </t>
  </si>
  <si>
    <t xml:space="preserve">مدادات بالاصائة </t>
  </si>
  <si>
    <t xml:space="preserve">مجموع الأضائة </t>
  </si>
  <si>
    <t xml:space="preserve">رقم صحيح </t>
  </si>
  <si>
    <t xml:space="preserve">اضائة وفقا للمددادات </t>
  </si>
  <si>
    <t xml:space="preserve">المجموع النهائي للاضائة </t>
  </si>
  <si>
    <t xml:space="preserve">غطاء امامي للمجري </t>
  </si>
  <si>
    <t xml:space="preserve">مجري  120Χ60</t>
  </si>
  <si>
    <t xml:space="preserve">مجري  150Χ70</t>
  </si>
  <si>
    <t xml:space="preserve">قص المجري </t>
  </si>
  <si>
    <t xml:space="preserve">مجري  160Χ60</t>
  </si>
  <si>
    <t xml:space="preserve">مجري  160Χ85</t>
  </si>
  <si>
    <t xml:space="preserve">مجري  180Χ100</t>
  </si>
  <si>
    <t xml:space="preserve">حساب النزلة </t>
  </si>
  <si>
    <t xml:space="preserve">Royal pergola 2 </t>
  </si>
  <si>
    <t>الارتفاع</t>
  </si>
  <si>
    <t>طريقة الدهان</t>
  </si>
  <si>
    <t>لون الالومنيوم</t>
  </si>
  <si>
    <t>مثبتة علي الحائط</t>
  </si>
  <si>
    <t>رويال برجولة</t>
  </si>
  <si>
    <t>A</t>
  </si>
  <si>
    <t>بالتات</t>
  </si>
  <si>
    <t>رويال فلات</t>
  </si>
  <si>
    <t>B</t>
  </si>
  <si>
    <t>قواعد عادية</t>
  </si>
  <si>
    <t>مثبتة غير علي الحائط</t>
  </si>
  <si>
    <t>المتغيرات الاساسية</t>
  </si>
  <si>
    <t>حديد</t>
  </si>
  <si>
    <t>كمر</t>
  </si>
  <si>
    <t>دهان خشبي</t>
  </si>
  <si>
    <t>سولتس</t>
  </si>
  <si>
    <t>سير البرجولة</t>
  </si>
  <si>
    <t>موتور كربيني 120</t>
  </si>
  <si>
    <t>دهان ذهبي للالومنيوم</t>
  </si>
  <si>
    <t>دهان ساده للالومنيوم</t>
  </si>
  <si>
    <t>قماش اسباني</t>
  </si>
  <si>
    <t xml:space="preserve">hdpeقماش </t>
  </si>
  <si>
    <t>قماش تركي للشماسي</t>
  </si>
  <si>
    <t>قاعدة شمسية تليسكوب</t>
  </si>
  <si>
    <t>قاعدة شمسية عادية</t>
  </si>
  <si>
    <t>قماش سعودي للكانتليفر</t>
  </si>
  <si>
    <t>سنفرة متنوعه</t>
  </si>
  <si>
    <t>قاعدة خرسانية للكانتليفر</t>
  </si>
  <si>
    <t>كونيكتور</t>
  </si>
  <si>
    <t>طبق كانتليفر</t>
  </si>
  <si>
    <t>بالتة ربع دائرة للكانتليفر</t>
  </si>
  <si>
    <t>تطريز شمسية</t>
  </si>
  <si>
    <t>موتور سومفي 120</t>
  </si>
  <si>
    <t>موتور كربيني 50</t>
  </si>
  <si>
    <t>موتور كربيني 50 بالريموت</t>
  </si>
  <si>
    <t xml:space="preserve">البي في سي </t>
  </si>
  <si>
    <t>قماش مصري للشماسي</t>
  </si>
  <si>
    <t>كونكتور زاوية شامل المسامير</t>
  </si>
  <si>
    <t>برجولة مثبتة علي مبني</t>
  </si>
  <si>
    <t>ويفي مثبتة علي مبني</t>
  </si>
  <si>
    <t>ويفي غير مثبتة علي مبني</t>
  </si>
  <si>
    <t>EGP</t>
  </si>
  <si>
    <t>مكان الاعمال</t>
  </si>
  <si>
    <t>المبيعات</t>
  </si>
  <si>
    <t>الشكل</t>
  </si>
  <si>
    <t>القطر / العرض</t>
  </si>
  <si>
    <t>القماش</t>
  </si>
  <si>
    <t>الفرنتونة</t>
  </si>
  <si>
    <t>مواصفات اضافية</t>
  </si>
  <si>
    <t>بولي استر</t>
  </si>
  <si>
    <t>المحرك</t>
  </si>
  <si>
    <t>الموديل</t>
  </si>
  <si>
    <t>ROYAL UMBRELLA</t>
  </si>
  <si>
    <t>اقل من 3 م</t>
  </si>
  <si>
    <t>التثبيت</t>
  </si>
  <si>
    <t>العرض cm</t>
  </si>
  <si>
    <t>NEW ITEM</t>
  </si>
  <si>
    <t>.</t>
  </si>
  <si>
    <t>الامتداد cm</t>
  </si>
  <si>
    <t>ELINA</t>
  </si>
  <si>
    <t>cantliver UMBRELLA</t>
  </si>
  <si>
    <t>برجولة غير مثبتة علي مبني</t>
  </si>
  <si>
    <t>بيرسا مثبتة علي مبني</t>
  </si>
  <si>
    <t>بيرسا غير مثبتة علي مبني</t>
  </si>
  <si>
    <t>الارتفاع الخلفي</t>
  </si>
  <si>
    <t>ROYAL TELESQUP UMBRELLA</t>
  </si>
  <si>
    <t>اكثر من 3 م</t>
  </si>
  <si>
    <t>4.00 * 4.00</t>
  </si>
  <si>
    <t>لوفرز متحركة مثبتة علي مبني</t>
  </si>
  <si>
    <t>لوفرز متحركة غير مثبتة علي مبني</t>
  </si>
  <si>
    <t>CANTLEVER</t>
  </si>
  <si>
    <t xml:space="preserve"> wavy PERGOLA</t>
  </si>
  <si>
    <t>ROYAL JUMBO UMBRELLA</t>
  </si>
  <si>
    <t>عدد الباكيات</t>
  </si>
  <si>
    <t>نوع القاعدة</t>
  </si>
  <si>
    <r xmlns="http://schemas.openxmlformats.org/spreadsheetml/2006/main">
      <rPr>
        <b/>
        <sz val="22"/>
        <color theme="0"/>
        <rFont val="Calibri"/>
        <family val="2"/>
        <scheme val="minor"/>
      </rPr>
      <t>المساحة م</t>
    </r>
    <r xmlns="http://schemas.openxmlformats.org/spreadsheetml/2006/main">
      <rPr>
        <b/>
        <sz val="18"/>
        <color theme="0"/>
        <rFont val="Calibri"/>
        <family val="2"/>
        <scheme val="minor"/>
      </rPr>
      <t>2</t>
    </r>
  </si>
  <si>
    <t>Cantlever</t>
  </si>
  <si>
    <t>قطر 2.7 م</t>
  </si>
  <si>
    <t>سنجل بدون طباعة</t>
  </si>
  <si>
    <t>متحركة</t>
  </si>
  <si>
    <t>ROYAL BEACH UMBRELLA</t>
  </si>
  <si>
    <t>Aluminum pergolas</t>
  </si>
  <si>
    <t xml:space="preserve">لون  السيستم / اللوفرز</t>
  </si>
  <si>
    <t>cANTLEVER</t>
  </si>
  <si>
    <t>NOTE</t>
  </si>
  <si>
    <t>الامتداد يجب ان يكون اكبر من او مساوي للعرض</t>
  </si>
  <si>
    <t>لون الشاسية يشمل الاعمدة و الاطار الخارجي</t>
  </si>
  <si>
    <t>الاسعار غير شاملة ضريبة القيمة المضافة</t>
  </si>
  <si>
    <t>MOTORIZED LLUVERS</t>
  </si>
  <si>
    <t>ORIANA</t>
  </si>
  <si>
    <t>بقماش</t>
  </si>
  <si>
    <t>بدهان</t>
  </si>
  <si>
    <t>بالقاعدة</t>
  </si>
  <si>
    <t>بالقماش</t>
  </si>
  <si>
    <t>الشركة المنتجة</t>
  </si>
  <si>
    <t>التكلفة</t>
  </si>
  <si>
    <t>TN02</t>
  </si>
  <si>
    <t>يونيتال</t>
  </si>
  <si>
    <t>عادي</t>
  </si>
  <si>
    <t>الصنف</t>
  </si>
  <si>
    <t>متطلبات انتاج الشمسيه 2.5</t>
  </si>
  <si>
    <t>متطلبات انتاج الشمسيه 3</t>
  </si>
  <si>
    <t>حهة التصنيع</t>
  </si>
  <si>
    <t>2.5</t>
  </si>
  <si>
    <t>ROOL-101</t>
  </si>
  <si>
    <t>دريمز</t>
  </si>
  <si>
    <t>محبب</t>
  </si>
  <si>
    <t>قطاع ريش شمسيه كانتليفر طول 3.7متر RTN05</t>
  </si>
  <si>
    <t>كايرو ميتال</t>
  </si>
  <si>
    <t>ماسورة قطر 48 سمك 3مم</t>
  </si>
  <si>
    <t>اليومصر</t>
  </si>
  <si>
    <t>قطاع ريش شمسيه كانتليفر طول 6.8متر RTN05</t>
  </si>
  <si>
    <t>RTN 6</t>
  </si>
  <si>
    <t>ماسوره 6سم طول 3.20متر</t>
  </si>
  <si>
    <t>بلاستيك و استانلس</t>
  </si>
  <si>
    <t>الخرشوفة العادية الهوكات البكر و قطع الاستانلس للريش و المسامير</t>
  </si>
  <si>
    <t>اليابانية و موردين التصنيع</t>
  </si>
  <si>
    <t>بكر للحبال للكانتليفر 1عجله</t>
  </si>
  <si>
    <t>المتحده</t>
  </si>
  <si>
    <t>القاعدة الحديدية</t>
  </si>
  <si>
    <t>تصنيع</t>
  </si>
  <si>
    <t>بكر للحبال للكانتليفر 2عجله</t>
  </si>
  <si>
    <t>دهانات اليكتروستاتيك</t>
  </si>
  <si>
    <t>اي</t>
  </si>
  <si>
    <t>تيله استانلس معدله للكانتليفر</t>
  </si>
  <si>
    <t>محلي</t>
  </si>
  <si>
    <t>قماش</t>
  </si>
  <si>
    <t xml:space="preserve">حرف  U للخرشوفه الحديد  للكانتليفر</t>
  </si>
  <si>
    <t>استانلس 3مم</t>
  </si>
  <si>
    <t xml:space="preserve"> شداد  طول 42سم عرض 4سم </t>
  </si>
  <si>
    <t>خرشوفه حديد مغلقه للكانتليفر</t>
  </si>
  <si>
    <t xml:space="preserve"> U صغير      </t>
  </si>
  <si>
    <t>خرشوفه حديد مفتوحه للكانتليفر</t>
  </si>
  <si>
    <t>استانلس 4مم</t>
  </si>
  <si>
    <t xml:space="preserve">شيال </t>
  </si>
  <si>
    <t>طابه لريش الشمسيه الكانتليفر</t>
  </si>
  <si>
    <t>اليابانيه</t>
  </si>
  <si>
    <t>Uكبير</t>
  </si>
  <si>
    <t>طقم ارتيلون 3قطع لخرشوفة الكانتليفر</t>
  </si>
  <si>
    <t>براكيت</t>
  </si>
  <si>
    <t>طبق علوي للكانتليفر (المتحده)</t>
  </si>
  <si>
    <t>بلاستيك</t>
  </si>
  <si>
    <t>مقبض + يد</t>
  </si>
  <si>
    <t>اليابانية</t>
  </si>
  <si>
    <t>عصفوره للحبال للكانتليفر</t>
  </si>
  <si>
    <t>بلاستيك و معدن</t>
  </si>
  <si>
    <t>عدد 2 عربية</t>
  </si>
  <si>
    <t>شداد حبال للكانتليفر</t>
  </si>
  <si>
    <t>مصد كاوتش</t>
  </si>
  <si>
    <t>برشام كبير</t>
  </si>
  <si>
    <t>حسام نصر</t>
  </si>
  <si>
    <t>استانلس</t>
  </si>
  <si>
    <t>مسامير</t>
  </si>
  <si>
    <t>حبال</t>
  </si>
  <si>
    <t>طبات مسامير</t>
  </si>
  <si>
    <t>متر طولي</t>
  </si>
  <si>
    <t>بشر</t>
  </si>
  <si>
    <t>عمال</t>
  </si>
  <si>
    <t>رويال تنت</t>
  </si>
  <si>
    <t>القاعدة كاملة</t>
  </si>
  <si>
    <t>سعر بيع شمسية البحر</t>
  </si>
  <si>
    <t>سعر بيع شمسية جامبو</t>
  </si>
  <si>
    <t>قطاع ROYAL 25 بطول 6.3م</t>
  </si>
  <si>
    <t>ثابتة بالرمال</t>
  </si>
  <si>
    <t>قطاع ماسورة MX 1 بطول 5.5 م</t>
  </si>
  <si>
    <t>قطاع RTN - 5 بطول 6.8م</t>
  </si>
  <si>
    <t>قطاع ماسورة MX 1 بطول 6.25 م</t>
  </si>
  <si>
    <t>قطاع RTN - 4 بطول 3.2م</t>
  </si>
  <si>
    <t>طقم اكسسوار</t>
  </si>
  <si>
    <t xml:space="preserve">خرشوفة حديد </t>
  </si>
  <si>
    <t xml:space="preserve">قاعدة </t>
  </si>
  <si>
    <t>حروف U للخرشوفة</t>
  </si>
  <si>
    <t>سنجل باللوجو</t>
  </si>
  <si>
    <t>حبال الشماسي</t>
  </si>
  <si>
    <t>طباعة اللوجو</t>
  </si>
  <si>
    <t>جلب للخرشوفة</t>
  </si>
  <si>
    <t>3.50 * 3.50</t>
  </si>
  <si>
    <t>عمالة</t>
  </si>
  <si>
    <t>بكرة كبيرة و صغيرة</t>
  </si>
  <si>
    <t>طقم ارتيلون 3 قطعة</t>
  </si>
  <si>
    <t>شداد و عصفورة و ارتيلون 20 سم</t>
  </si>
  <si>
    <t>قاعدة 70 * 70 جديدة</t>
  </si>
  <si>
    <t>قماش مصري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</si>
</sst>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0.0000"/>
    <numFmt numFmtId="167" formatCode="dd\ mmm\ yyyy"/>
    <numFmt numFmtId="168" formatCode="#,##0.0"/>
    <numFmt numFmtId="169" formatCode="[$-F800]dddd\,\ mmmm\ dd\,\ yyyy"/>
    <numFmt numFmtId="170" formatCode="0.0%"/>
    <numFmt numFmtId="171" formatCode="0.000"/>
  </numFmts>
  <fonts count="153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Greek"/>
      <charset val="134"/>
    </font>
    <font>
      <sz val="10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6"/>
      <name val="Arial Greek"/>
      <charset val="134"/>
    </font>
    <font>
      <b/>
      <sz val="12"/>
      <name val="Arial Greek"/>
      <charset val="134"/>
    </font>
    <font>
      <b/>
      <sz val="14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sz val="12"/>
      <name val="Arial Greek"/>
      <charset val="134"/>
    </font>
    <font>
      <b/>
      <sz val="14"/>
      <name val="Arial Greek"/>
      <charset val="134"/>
    </font>
    <font>
      <b/>
      <sz val="10"/>
      <name val="Arial Greek"/>
      <charset val="161"/>
    </font>
    <font>
      <b/>
      <sz val="10"/>
      <name val="Arial Greek"/>
      <charset val="134"/>
    </font>
    <font>
      <b/>
      <sz val="8"/>
      <name val="Arial Greek"/>
      <charset val="161"/>
    </font>
    <font>
      <b/>
      <sz val="8"/>
      <name val="Arial Greek"/>
      <charset val="134"/>
    </font>
    <font>
      <sz val="16"/>
      <name val="Arial Greek"/>
      <charset val="134"/>
    </font>
    <font>
      <b/>
      <sz val="8"/>
      <name val="Arial"/>
      <family val="2"/>
    </font>
    <font>
      <b/>
      <sz val="12"/>
      <name val="Arial"/>
      <family val="2"/>
    </font>
    <font>
      <b/>
      <sz val="14"/>
      <color theme="1"/>
      <name val="Calibri"/>
      <family val="2"/>
      <scheme val="minor"/>
    </font>
    <font>
      <sz val="14"/>
      <name val="Arial"/>
      <family val="2"/>
    </font>
    <font>
      <sz val="14"/>
      <name val="Arial Greek"/>
      <charset val="134"/>
    </font>
    <font>
      <b/>
      <sz val="14"/>
      <color theme="1"/>
      <name val="Arial Greek"/>
      <charset val="134"/>
    </font>
    <font>
      <b/>
      <sz val="20"/>
      <name val="Arial"/>
      <family val="2"/>
    </font>
    <font>
      <b/>
      <sz val="16"/>
      <name val="Arial"/>
      <family val="2"/>
    </font>
    <font>
      <b/>
      <sz val="14"/>
      <name val="Arial Greek"/>
      <charset val="161"/>
    </font>
    <font>
      <b/>
      <sz val="12"/>
      <name val="Arial Greek"/>
      <charset val="161"/>
    </font>
    <font>
      <b/>
      <sz val="12"/>
      <color theme="1"/>
      <name val="Arial greek"/>
      <charset val="161"/>
    </font>
    <font>
      <b/>
      <sz val="14"/>
      <color theme="1"/>
      <name val="Arial greek"/>
      <charset val="161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72"/>
      <color theme="10"/>
      <name val="Calibri"/>
      <family val="2"/>
      <scheme val="minor"/>
    </font>
    <font>
      <u/>
      <sz val="28"/>
      <color theme="10"/>
      <name val="Calibri"/>
      <family val="2"/>
      <scheme val="minor"/>
    </font>
    <font>
      <sz val="72"/>
      <color theme="3" tint="-0.499984740745262"/>
      <name val="Calibri"/>
      <family val="2"/>
      <scheme val="minor"/>
    </font>
    <font>
      <sz val="11"/>
      <color theme="3" tint="-0.499984740745262"/>
      <name val="Calibri"/>
      <family val="2"/>
      <scheme val="minor"/>
    </font>
    <font>
      <sz val="48"/>
      <color rgb="FFFFFF00"/>
      <name val="Algerian"/>
      <family val="5"/>
    </font>
    <font>
      <sz val="48"/>
      <color theme="3" tint="-0.499984740745262"/>
      <name val="Calibri"/>
      <family val="2"/>
      <scheme val="minor"/>
    </font>
    <font>
      <sz val="30"/>
      <color theme="0"/>
      <name val="Calibri"/>
      <family val="2"/>
      <scheme val="minor"/>
    </font>
    <font>
      <sz val="28"/>
      <color theme="0"/>
      <name val="Calibri"/>
      <family val="2"/>
      <scheme val="minor"/>
    </font>
    <font>
      <sz val="36"/>
      <color theme="0"/>
      <name val="Calibri"/>
      <family val="2"/>
      <scheme val="minor"/>
    </font>
    <font>
      <sz val="32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4"/>
      <color theme="0"/>
      <name val="Calibri"/>
      <family val="2"/>
      <scheme val="minor"/>
    </font>
    <font>
      <sz val="2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36"/>
      <color theme="0"/>
      <name val="Calibri"/>
      <family val="2"/>
      <scheme val="minor"/>
    </font>
    <font>
      <b/>
      <sz val="26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0"/>
      <name val="Algerian"/>
      <family val="5"/>
    </font>
    <font>
      <b/>
      <sz val="28"/>
      <color rgb="FFFF0000"/>
      <name val="Calibri"/>
      <family val="2"/>
      <scheme val="minor"/>
    </font>
    <font>
      <sz val="48"/>
      <color theme="0"/>
      <name val="Calibri"/>
      <family val="2"/>
      <scheme val="minor"/>
    </font>
    <font>
      <sz val="28"/>
      <color rgb="FFFF0000"/>
      <name val="Calibri"/>
      <family val="2"/>
      <scheme val="minor"/>
    </font>
    <font>
      <sz val="72"/>
      <color theme="1"/>
      <name val="Calibri"/>
      <family val="2"/>
      <scheme val="minor"/>
    </font>
    <font>
      <sz val="72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sz val="22"/>
      <color rgb="FF002060"/>
      <name val="Andalus"/>
      <family val="1"/>
    </font>
    <font>
      <b/>
      <i/>
      <sz val="22"/>
      <color rgb="FFFF0000"/>
      <name val="Calibri"/>
      <family val="2"/>
      <scheme val="minor"/>
    </font>
    <font>
      <sz val="36"/>
      <color theme="1"/>
      <name val="Andalus"/>
      <family val="1"/>
    </font>
    <font>
      <b/>
      <i/>
      <sz val="14"/>
      <color rgb="FFFF0000"/>
      <name val="Calibri"/>
      <family val="2"/>
      <scheme val="minor"/>
    </font>
    <font>
      <sz val="24"/>
      <color rgb="FFFF0000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72"/>
      <color rgb="FFFFFF00"/>
      <name val="Algerian"/>
      <family val="5"/>
    </font>
    <font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26"/>
      <color theme="0"/>
      <name val="Calibri"/>
      <family val="2"/>
      <scheme val="minor"/>
    </font>
    <font>
      <b/>
      <sz val="22"/>
      <color theme="0"/>
      <name val="Calibri"/>
      <family val="2"/>
      <scheme val="minor"/>
    </font>
    <font>
      <sz val="26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/>
      <name val="Calibri"/>
      <family val="2"/>
      <charset val="161"/>
      <scheme val="minor"/>
    </font>
    <font>
      <sz val="16"/>
      <color theme="1"/>
      <name val="Calibri"/>
      <family val="2"/>
      <charset val="161"/>
      <scheme val="minor"/>
    </font>
    <font>
      <b/>
      <sz val="14"/>
      <color theme="1"/>
      <name val="Calibri"/>
      <family val="2"/>
      <charset val="161"/>
      <scheme val="minor"/>
    </font>
    <font>
      <b/>
      <sz val="12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b/>
      <sz val="10"/>
      <color theme="1"/>
      <name val="Calibri"/>
      <family val="2"/>
      <charset val="161"/>
      <scheme val="minor"/>
    </font>
    <font>
      <b/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</font>
    <font>
      <b/>
      <sz val="22"/>
      <color theme="4" tint="-0.249977111117893"/>
      <name val="Calibri"/>
      <family val="2"/>
      <scheme val="minor"/>
    </font>
    <font>
      <sz val="20"/>
      <color rgb="FFFFFF00"/>
      <name val="Calibri"/>
      <family val="2"/>
      <scheme val="minor"/>
    </font>
    <font>
      <u/>
      <sz val="22"/>
      <color rgb="FFFF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28"/>
      <color theme="1"/>
      <name val="Andalus"/>
      <family val="1"/>
    </font>
    <font>
      <sz val="72"/>
      <color theme="0" tint="-0.049989318521683403"/>
      <name val="Calibri"/>
      <family val="2"/>
      <scheme val="minor"/>
    </font>
    <font>
      <b/>
      <sz val="24"/>
      <color theme="0" tint="-0.049989318521683403"/>
      <name val="Calibri"/>
      <family val="2"/>
      <scheme val="minor"/>
    </font>
    <font>
      <sz val="8"/>
      <color theme="1"/>
      <name val="Calibri"/>
      <family val="2"/>
      <charset val="161"/>
      <scheme val="minor"/>
    </font>
    <font>
      <b/>
      <sz val="72"/>
      <color theme="1"/>
      <name val="Calibri"/>
      <family val="2"/>
      <scheme val="minor"/>
    </font>
    <font>
      <b/>
      <sz val="72"/>
      <color theme="0" tint="-0.049989318521683403"/>
      <name val="Calibri"/>
      <family val="2"/>
      <scheme val="minor"/>
    </font>
    <font>
      <b/>
      <sz val="26"/>
      <color theme="1"/>
      <name val="Calibri"/>
      <family val="2"/>
      <charset val="161"/>
      <scheme val="minor"/>
    </font>
    <font>
      <b/>
      <sz val="16"/>
      <name val="Arial Greek"/>
    </font>
    <font>
      <sz val="22"/>
      <color theme="0" tint="-0.049989318521683403"/>
      <name val="Calibri"/>
      <family val="2"/>
      <charset val="161"/>
      <scheme val="minor"/>
    </font>
    <font>
      <sz val="12"/>
      <name val="Arial"/>
      <family val="2"/>
      <charset val="161"/>
    </font>
    <font>
      <b/>
      <sz val="14"/>
      <name val="Arial"/>
      <family val="2"/>
      <charset val="161"/>
    </font>
    <font>
      <sz val="14"/>
      <name val="Arial"/>
      <family val="2"/>
      <charset val="161"/>
    </font>
    <font>
      <b/>
      <sz val="14"/>
      <name val="Arial Greek"/>
    </font>
    <font>
      <b/>
      <sz val="12"/>
      <name val="Arial Greek"/>
    </font>
    <font>
      <sz val="12"/>
      <name val="Arial Greek"/>
    </font>
    <font>
      <sz val="14"/>
      <name val="Arial Greek"/>
    </font>
    <font>
      <sz val="12"/>
      <color theme="1"/>
      <name val="Calibri"/>
      <family val="2"/>
      <charset val="161"/>
      <scheme val="minor"/>
    </font>
    <font>
      <b/>
      <sz val="22"/>
      <name val="Arial Greek"/>
    </font>
    <font>
      <b/>
      <sz val="12"/>
      <name val="Arial"/>
      <family val="2"/>
      <charset val="161"/>
    </font>
    <font>
      <sz val="14"/>
      <name val="Arial Greek"/>
      <charset val="161"/>
    </font>
    <font>
      <b/>
      <sz val="20"/>
      <name val="Arial"/>
      <family val="2"/>
      <charset val="161"/>
    </font>
    <font>
      <b/>
      <sz val="16"/>
      <name val="Arial"/>
      <family val="2"/>
      <charset val="161"/>
    </font>
    <font>
      <b/>
      <sz val="26"/>
      <color theme="0" tint="-0.049989318521683403"/>
      <name val="Calibri"/>
      <family val="2"/>
      <scheme val="minor"/>
    </font>
    <font>
      <b/>
      <sz val="10"/>
      <name val="Arial"/>
      <family val="2"/>
      <charset val="161"/>
    </font>
    <font>
      <b/>
      <sz val="11"/>
      <color theme="1"/>
      <name val="Calibri"/>
      <family val="2"/>
      <charset val="161"/>
      <scheme val="minor"/>
    </font>
    <font>
      <b/>
      <sz val="10"/>
      <name val="Arial Greek"/>
    </font>
    <font>
      <sz val="16"/>
      <name val="Arial Greek"/>
    </font>
    <font>
      <b/>
      <sz val="8"/>
      <name val="Arial"/>
      <family val="2"/>
      <charset val="161"/>
    </font>
    <font>
      <sz val="10"/>
      <name val="Arial Greek"/>
    </font>
    <font>
      <sz val="10"/>
      <name val="Arial"/>
      <family val="2"/>
      <charset val="161"/>
    </font>
    <font>
      <b/>
      <sz val="28"/>
      <color theme="1"/>
      <name val="Calibri"/>
      <family val="2"/>
      <scheme val="minor"/>
    </font>
    <font>
      <b/>
      <sz val="36"/>
      <color theme="1"/>
      <name val="Calibri"/>
      <family val="2"/>
      <scheme val="minor"/>
    </font>
    <font>
      <b/>
      <i/>
      <u/>
      <sz val="16"/>
      <color theme="0" tint="-0.049989318521683403"/>
      <name val="Calibri"/>
      <family val="2"/>
      <scheme val="minor"/>
    </font>
    <font>
      <sz val="72"/>
      <color rgb="FFFFFF00"/>
      <name val="Calibri"/>
      <family val="2"/>
      <scheme val="minor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5" tint="0.399945066682943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4" tint="0.79995117038483843"/>
        <bgColor theme="4" tint="0.79995117038483843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2" tint="-0.89996032593768116"/>
        <bgColor indexed="64"/>
      </patternFill>
    </fill>
    <fill>
      <patternFill patternType="solid">
        <fgColor theme="7" tint="0.39994506668294322"/>
        <bgColor indexed="64"/>
      </patternFill>
    </fill>
    <fill>
      <patternFill patternType="solid">
        <fgColor rgb="FFB7FBBD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-0.499984740745262"/>
        <bgColor theme="4" tint="0.79995117038483843"/>
      </patternFill>
    </fill>
    <fill>
      <patternFill patternType="solid">
        <fgColor theme="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</fills>
  <borders count="8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theme="4"/>
      </left>
      <right style="medium">
        <color auto="1"/>
      </right>
      <top style="double">
        <color theme="4"/>
      </top>
      <bottom style="thin">
        <color theme="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auto="1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theme="0"/>
      </right>
      <top style="thin">
        <color theme="0"/>
      </top>
      <bottom/>
      <diagonal/>
    </border>
    <border>
      <left/>
      <right style="medium">
        <color auto="1"/>
      </right>
      <top style="thin">
        <color theme="0"/>
      </top>
      <bottom/>
      <diagonal/>
    </border>
    <border>
      <left style="thin">
        <color auto="1"/>
      </left>
      <right/>
      <top style="thin">
        <color theme="0"/>
      </top>
      <bottom/>
      <diagonal/>
    </border>
    <border>
      <left style="thin">
        <color theme="0"/>
      </left>
      <right style="medium">
        <color auto="1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 style="medium">
        <color auto="1"/>
      </left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 style="medium">
        <color auto="1"/>
      </right>
      <top style="thin">
        <color theme="5"/>
      </top>
      <bottom style="medium">
        <color auto="1"/>
      </bottom>
      <diagonal/>
    </border>
    <border>
      <left/>
      <right/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5"/>
      </left>
      <right style="thin">
        <color theme="5"/>
      </right>
      <top style="double">
        <color theme="5"/>
      </top>
      <bottom style="thin">
        <color theme="5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/>
      <right style="thin">
        <color auto="1"/>
      </right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medium">
        <color auto="1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auto="1"/>
      </top>
      <bottom/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5">
    <xf numFmtId="0" fontId="0" fillId="0" borderId="0" applyProtection="1"/>
    <xf numFmtId="43" applyNumberFormat="1" fontId="92" applyFont="1" fillId="0" borderId="0" applyProtection="1"/>
    <xf numFmtId="0" fontId="91" applyFont="1" fillId="0" borderId="0" applyProtection="1"/>
    <xf numFmtId="0" fontId="3" applyFont="1" fillId="0" borderId="0" applyProtection="1"/>
    <xf numFmtId="9" applyNumberFormat="1" fontId="92" applyFont="1" fillId="0" borderId="0" applyProtection="1"/>
  </cellStyleXfs>
  <cellXfs count="1139">
    <xf numFmtId="0" fontId="0" fillId="0" borderId="0" xfId="0" applyProtection="1"/>
    <xf numFmtId="0" fontId="3" applyFont="1" fillId="0" borderId="0" xfId="3" applyProtection="1" applyAlignment="1">
      <alignment horizontal="center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3" applyBorder="1" xfId="3" applyProtection="1" applyAlignment="1">
      <alignment horizontal="center"/>
    </xf>
    <xf numFmtId="0" fontId="3" applyFont="1" fillId="0" borderId="4" applyBorder="1" xfId="3" applyProtection="1" applyAlignment="1">
      <alignment horizontal="center"/>
    </xf>
    <xf numFmtId="0" fontId="3" applyFont="1" fillId="0" borderId="5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0" borderId="7" applyBorder="1" xfId="3" applyProtection="1" applyAlignment="1">
      <alignment horizontal="center"/>
    </xf>
    <xf numFmtId="0" fontId="3" applyFont="1" fillId="0" borderId="8" applyBorder="1" xfId="3" applyProtection="1" applyAlignment="1">
      <alignment horizontal="center"/>
    </xf>
    <xf numFmtId="0" fontId="3" applyFont="1" fillId="0" borderId="0" xfId="3" applyProtection="1"/>
    <xf numFmtId="0" fontId="3" applyFont="1" fillId="0" borderId="0" xfId="3" applyProtection="1" applyAlignment="1">
      <alignment horizontal="left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11" applyBorder="1" xfId="3" applyProtection="1" applyAlignment="1">
      <alignment horizontal="center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  <protection locked="0"/>
    </xf>
    <xf numFmtId="0" fontId="3" applyFont="1" fillId="0" borderId="2" applyBorder="1" xfId="3" applyProtection="1"/>
    <xf numFmtId="0" fontId="3" applyFont="1" fillId="0" borderId="7" applyBorder="1" xfId="3" applyProtection="1"/>
    <xf numFmtId="0" fontId="3" applyFont="1" fillId="0" borderId="5" applyBorder="1" xfId="3" applyProtection="1"/>
    <xf numFmtId="0" fontId="3" applyFont="1" fillId="0" borderId="12" applyBorder="1" xfId="3" applyProtection="1" applyAlignment="1">
      <alignment horizontal="center"/>
    </xf>
    <xf numFmtId="0" fontId="3" applyFont="1" fillId="0" borderId="13" applyBorder="1" xfId="3" applyProtection="1" applyAlignment="1">
      <alignment horizontal="center"/>
    </xf>
    <xf numFmtId="0" fontId="3" applyFont="1" fillId="0" borderId="14" applyBorder="1" xfId="3" applyProtection="1" applyAlignment="1">
      <alignment horizontal="center"/>
    </xf>
    <xf numFmtId="0" fontId="3" applyFont="1" fillId="2" applyFill="1" borderId="15" applyBorder="1" xfId="3" applyProtection="1" applyAlignment="1">
      <alignment horizontal="center"/>
    </xf>
    <xf numFmtId="0" fontId="3" applyFont="1" fillId="2" applyFill="1" borderId="16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2" applyFill="1" borderId="17" applyBorder="1" xfId="3" applyProtection="1" applyAlignment="1">
      <alignment horizontal="center"/>
    </xf>
    <xf numFmtId="0" fontId="3" applyFont="1" fillId="2" applyFill="1" borderId="9" applyBorder="1" xfId="3" applyProtection="1" applyAlignment="1">
      <alignment horizontal="center"/>
    </xf>
    <xf numFmtId="0" fontId="3" applyFont="1" fillId="3" applyFill="1" borderId="12" applyBorder="1" xfId="3" applyProtection="1" applyAlignment="1">
      <alignment horizontal="center"/>
    </xf>
    <xf numFmtId="0" fontId="3" applyFont="1" fillId="2" applyFill="1" borderId="18" applyBorder="1" xfId="3" applyProtection="1" applyAlignment="1">
      <alignment horizontal="center"/>
    </xf>
    <xf numFmtId="0" fontId="3" applyFont="1" fillId="2" applyFill="1" borderId="19" applyBorder="1" xfId="3" applyProtection="1" applyAlignment="1">
      <alignment horizontal="center"/>
    </xf>
    <xf numFmtId="0" fontId="3" applyFont="1" fillId="3" applyFill="1" borderId="14" applyBorder="1" xfId="3" applyProtection="1" applyAlignment="1">
      <alignment horizontal="center"/>
    </xf>
    <xf numFmtId="0" fontId="3" applyFont="1" fillId="3" applyFill="1" borderId="8" applyBorder="1" xfId="3" applyProtection="1" applyAlignment="1">
      <alignment horizontal="center"/>
    </xf>
    <xf numFmtId="0" fontId="3" applyFont="1" fillId="0" borderId="23" applyBorder="1" xfId="3" applyProtection="1">
      <protection locked="0"/>
    </xf>
    <xf numFmtId="0" fontId="3" applyFont="1" fillId="0" borderId="0" xfId="3" applyProtection="1">
      <protection locked="0"/>
    </xf>
    <xf numFmtId="0" fontId="3" applyFont="1" fillId="0" borderId="24" applyBorder="1" xfId="3" applyProtection="1">
      <protection locked="0"/>
    </xf>
    <xf numFmtId="0" fontId="3" applyFont="1" fillId="5" applyFill="1" borderId="0" xfId="3" applyProtection="1">
      <protection locked="0"/>
    </xf>
    <xf numFmtId="0" fontId="4" applyFont="1" fillId="0" borderId="0" xfId="3" applyProtection="1" applyAlignment="1">
      <alignment horizontal="center"/>
      <protection locked="0"/>
    </xf>
    <xf numFmtId="16" applyNumberFormat="1" fontId="3" applyFont="1" fillId="0" borderId="0" xfId="3" applyProtection="1">
      <protection locked="0"/>
    </xf>
    <xf numFmtId="0" fontId="4" applyFont="1" fillId="0" borderId="23" applyBorder="1" xfId="3" applyProtection="1">
      <protection locked="0"/>
    </xf>
    <xf numFmtId="0" fontId="4" applyFont="1" fillId="0" borderId="0" xfId="3" applyProtection="1">
      <protection locked="0"/>
    </xf>
    <xf numFmtId="1" applyNumberFormat="1" fontId="3" applyFont="1" fillId="0" borderId="0" xfId="3" applyProtection="1">
      <protection locked="0"/>
    </xf>
    <xf numFmtId="0" fontId="5" applyFont="1" fillId="0" borderId="24" applyBorder="1" xfId="3" applyProtection="1">
      <protection locked="0"/>
    </xf>
    <xf numFmtId="1" applyNumberFormat="1" fontId="4" applyFont="1" fillId="0" borderId="0" xfId="3" applyProtection="1">
      <protection locked="0"/>
    </xf>
    <xf numFmtId="0" fontId="3" applyFont="1" fillId="0" borderId="25" applyBorder="1" xfId="3" applyProtection="1">
      <protection locked="0"/>
    </xf>
    <xf numFmtId="1" applyNumberFormat="1" fontId="4" applyFont="1" fillId="0" borderId="26" applyBorder="1" xfId="3" applyProtection="1">
      <protection locked="0"/>
    </xf>
    <xf numFmtId="1" applyNumberFormat="1" fontId="3" applyFont="1" fillId="0" borderId="26" applyBorder="1" xfId="3" applyProtection="1">
      <protection locked="0"/>
    </xf>
    <xf numFmtId="0" fontId="3" applyFont="1" fillId="0" borderId="26" applyBorder="1" xfId="3" applyProtection="1">
      <protection locked="0"/>
    </xf>
    <xf numFmtId="0" fontId="3" applyFont="1" fillId="0" borderId="27" applyBorder="1" xfId="3" applyProtection="1">
      <protection locked="0"/>
    </xf>
    <xf numFmtId="0" fontId="3" applyFont="1" fillId="0" borderId="3" applyBorder="1" xfId="3" applyProtection="1"/>
    <xf numFmtId="0" fontId="3" applyFont="1" fillId="0" borderId="13" applyBorder="1" xfId="3" applyProtection="1"/>
    <xf numFmtId="0" fontId="3" applyFont="1" fillId="0" borderId="4" applyBorder="1" xfId="3" applyProtection="1"/>
    <xf numFmtId="0" fontId="3" applyFont="1" fillId="0" borderId="8" applyBorder="1" xfId="3" applyProtection="1"/>
    <xf numFmtId="0" fontId="3" applyFont="1" fillId="0" borderId="14" applyBorder="1" xfId="3" applyProtection="1"/>
    <xf numFmtId="16" applyNumberFormat="1" fontId="3" applyFont="1" fillId="0" borderId="0" xfId="3" applyProtection="1" applyAlignment="1">
      <alignment horizontal="center"/>
      <protection locked="0"/>
    </xf>
    <xf numFmtId="1" applyNumberFormat="1" fontId="3" applyFont="1" fillId="0" borderId="0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3" applyFont="1" fillId="5" applyFill="1" borderId="26" applyBorder="1" xfId="3" applyProtection="1">
      <protection locked="0"/>
    </xf>
    <xf numFmtId="0" fontId="6" applyFont="1" fillId="0" borderId="0" xfId="3" applyProtection="1"/>
    <xf numFmtId="0" fontId="3" applyFont="1" fillId="0" borderId="0" xfId="3" applyProtection="1" applyAlignment="1">
      <alignment vertical="center"/>
    </xf>
    <xf numFmtId="0" fontId="7" applyFont="1" fillId="0" borderId="28" applyBorder="1" xfId="3" applyProtection="1" applyAlignment="1">
      <alignment horizontal="center" vertical="center"/>
    </xf>
    <xf numFmtId="166" applyNumberFormat="1" fontId="7" applyFont="1" fillId="0" borderId="28" applyBorder="1" xfId="3" applyProtection="1" applyAlignment="1">
      <alignment horizontal="center" vertical="center"/>
    </xf>
    <xf numFmtId="0" fontId="7" applyFont="1" fillId="0" borderId="0" xfId="3" applyProtection="1" applyAlignment="1">
      <alignment horizontal="center" vertical="center"/>
    </xf>
    <xf numFmtId="2" applyNumberFormat="1" fontId="10" applyFont="1" fillId="0" borderId="0" xfId="3" applyProtection="1" applyAlignment="1">
      <alignment horizontal="center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0" fontId="15" applyFont="1" fillId="0" borderId="0" xfId="3" applyProtection="1" applyAlignment="1">
      <alignment horizontal="left" vertical="center" shrinkToFit="1"/>
    </xf>
    <xf numFmtId="0" fontId="11" applyFont="1" fillId="0" borderId="0" xfId="3" applyProtection="1" applyAlignment="1">
      <alignment horizontal="center" vertical="center" shrinkToFit="1"/>
    </xf>
    <xf numFmtId="0" fontId="17" applyFont="1" fillId="0" borderId="17" applyBorder="1" xfId="3" applyProtection="1" applyAlignment="1">
      <alignment horizontal="center"/>
    </xf>
    <xf numFmtId="0" fontId="18" applyFont="1" fillId="0" borderId="0" xfId="3" applyProtection="1" applyAlignment="1">
      <alignment horizontal="center"/>
    </xf>
    <xf numFmtId="0" fontId="17" applyFont="1" fillId="0" borderId="14" applyBorder="1" xfId="3" applyProtection="1" applyAlignment="1">
      <alignment vertical="center" shrinkToFit="1"/>
    </xf>
    <xf numFmtId="0" fontId="17" applyFont="1" fillId="0" borderId="14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vertical="center" shrinkToFit="1"/>
    </xf>
    <xf numFmtId="0" fontId="17" applyFont="1" fillId="0" borderId="28" applyBorder="1" xfId="3" applyProtection="1" applyAlignment="1">
      <alignment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0" xfId="3" applyProtection="1" applyAlignment="1">
      <alignment horizontal="center" vertical="center" shrinkToFit="1"/>
    </xf>
    <xf numFmtId="0" fontId="19" applyFont="1" fillId="0" borderId="0" xfId="3" applyProtection="1"/>
    <xf numFmtId="0" fontId="17" applyFont="1" fillId="0" borderId="0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" applyFont="1" fillId="0" borderId="10" applyBorder="1" xfId="3" applyProtection="1"/>
    <xf numFmtId="0" fontId="18" applyFont="1" fillId="0" borderId="10" applyBorder="1" xfId="3" applyProtection="1" applyAlignment="1">
      <alignment horizontal="center"/>
    </xf>
    <xf numFmtId="0" fontId="19" applyFont="1" fillId="0" borderId="10" applyBorder="1" xfId="3" applyProtection="1"/>
    <xf numFmtId="0" fontId="18" applyFont="1" fillId="0" borderId="0" xfId="3" applyProtection="1"/>
    <xf numFmtId="0" fontId="22" applyFont="1" fillId="0" borderId="4" applyBorder="1" xfId="3" applyProtection="1" applyAlignment="1">
      <alignment vertical="center" wrapText="1"/>
    </xf>
    <xf numFmtId="0" fontId="22" applyFont="1" fillId="0" borderId="5" applyBorder="1" xfId="3" applyProtection="1" applyAlignment="1">
      <alignment vertical="center" wrapText="1"/>
    </xf>
    <xf numFmtId="0" fontId="22" applyFont="1" fillId="0" borderId="8" applyBorder="1" xfId="3" applyProtection="1" applyAlignment="1">
      <alignment vertical="center" wrapText="1"/>
    </xf>
    <xf numFmtId="0" fontId="3" applyFont="1" fillId="0" borderId="9" applyBorder="1" xfId="3" applyProtection="1"/>
    <xf numFmtId="0" fontId="3" applyFont="1" fillId="0" borderId="1" applyBorder="1" xfId="3" applyProtection="1"/>
    <xf numFmtId="0" fontId="8" applyFont="1" fillId="0" borderId="0" xfId="3" applyProtection="1" applyAlignment="1">
      <alignment horizontal="center"/>
    </xf>
    <xf numFmtId="0" fontId="23" applyFont="1" fillId="0" borderId="28" applyBorder="1" xfId="3" applyProtection="1" applyAlignment="1">
      <alignment horizontal="center" vertical="center"/>
    </xf>
    <xf numFmtId="0" fontId="3" applyFont="1" fillId="0" borderId="0" xfId="3" applyProtection="1" applyAlignment="1">
      <alignment horizontal="center" vertical="center" wrapText="1"/>
    </xf>
    <xf numFmtId="0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horizontal="center" vertical="center" wrapText="1"/>
    </xf>
    <xf numFmtId="167" applyNumberFormat="1" fontId="7" applyFont="1" fillId="0" borderId="28" applyBorder="1" xfId="3" applyProtection="1" applyAlignment="1">
      <alignment horizontal="center" vertical="center" wrapText="1"/>
    </xf>
    <xf numFmtId="167" applyNumberFormat="1" fontId="3" applyFont="1" fillId="0" borderId="0" xfId="3" applyProtection="1" applyAlignment="1">
      <alignment vertical="center" wrapText="1"/>
    </xf>
    <xf numFmtId="0" fontId="24" applyFont="1" fillId="0" borderId="5" applyBorder="1" xfId="3" applyProtection="1" applyAlignment="1">
      <alignment horizontal="center"/>
    </xf>
    <xf numFmtId="3" applyNumberFormat="1" fontId="11" applyFont="1" fillId="0" borderId="5" applyBorder="1" xfId="3" applyProtection="1" applyAlignment="1">
      <alignment vertical="center"/>
    </xf>
    <xf numFmtId="0" fontId="11" applyFont="1" fillId="0" borderId="29" applyBorder="1" xfId="3" applyProtection="1" applyAlignment="1">
      <alignment vertical="center"/>
    </xf>
    <xf numFmtId="0" fontId="11" applyFont="1" fillId="0" borderId="28" applyBorder="1" xfId="3" applyProtection="1" applyAlignment="1">
      <alignment horizontal="center" vertical="center"/>
    </xf>
    <xf numFmtId="0" fontId="15" applyFont="1" fillId="0" borderId="10" applyBorder="1" xfId="3" applyProtection="1" applyAlignment="1">
      <alignment vertical="center"/>
    </xf>
    <xf numFmtId="4" applyNumberFormat="1" fontId="15" applyFont="1" fillId="4" applyFill="1" borderId="29" applyBorder="1" xfId="3" applyProtection="1" applyAlignment="1">
      <alignment vertical="center"/>
    </xf>
    <xf numFmtId="0" fontId="25" applyFont="1" fillId="2" applyFill="1" borderId="10" applyBorder="1" xfId="3" applyProtection="1" applyAlignment="1">
      <alignment horizontal="center"/>
    </xf>
    <xf numFmtId="0" fontId="15" applyFont="1" fillId="2" applyFill="1" borderId="11" applyBorder="1" xfId="3" applyProtection="1" applyAlignment="1">
      <alignment vertical="center"/>
    </xf>
    <xf numFmtId="4" applyNumberFormat="1" fontId="26" applyFont="1" fillId="7" applyFill="1" borderId="0" xfId="3" applyProtection="1" applyAlignment="1">
      <alignment vertical="center"/>
    </xf>
    <xf numFmtId="0" fontId="7" applyFont="1" fillId="2" applyFill="1" borderId="28" applyBorder="1" xfId="3" applyProtection="1" applyAlignment="1">
      <alignment horizontal="center" vertical="center"/>
    </xf>
    <xf numFmtId="0" fontId="4" applyFont="1" fillId="0" borderId="0" xfId="3" applyProtection="1" applyAlignment="1">
      <alignment vertical="center" shrinkToFit="1"/>
    </xf>
    <xf numFmtId="0" fontId="22" applyFont="1" fillId="0" borderId="0" xfId="3" applyProtection="1" applyAlignment="1">
      <alignment horizontal="center"/>
    </xf>
    <xf numFmtId="0" fontId="3" applyFont="1" fillId="0" borderId="0" xfId="3" applyProtection="1" applyAlignment="1">
      <alignment vertical="center" shrinkToFit="1"/>
    </xf>
    <xf numFmtId="0" fontId="11" applyFont="1" fillId="2" applyFill="1" borderId="28" applyBorder="1" xfId="3" applyProtection="1" applyAlignment="1">
      <alignment horizontal="center" vertical="center"/>
    </xf>
    <xf numFmtId="0" fontId="10" applyFont="1" fillId="0" borderId="0" xfId="3" applyProtection="1" applyAlignment="1">
      <alignment horizontal="center" vertical="center" shrinkToFit="1"/>
    </xf>
    <xf numFmtId="0" fontId="22" applyFont="1" fillId="0" borderId="14" applyBorder="1" xfId="3" applyProtection="1" applyAlignment="1">
      <alignment horizontal="center" vertical="center" shrinkToFit="1"/>
    </xf>
    <xf numFmtId="0" fontId="27" applyFont="1" fillId="0" borderId="14" applyBorder="1" xfId="3" applyProtection="1" applyAlignment="1">
      <alignment horizontal="center" vertical="center" shrinkToFit="1"/>
    </xf>
    <xf numFmtId="0" fontId="22" applyFont="1" fillId="0" borderId="0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165" applyNumberFormat="1" fontId="28" applyFont="1" fillId="0" borderId="0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0" fontId="12" applyFont="1" fillId="0" borderId="0" xfId="3" applyProtection="1" applyAlignment="1">
      <alignment horizontal="center" vertical="center" shrinkToFit="1"/>
    </xf>
    <xf numFmtId="165" applyNumberFormat="1" fontId="22" applyFont="1" fillId="0" borderId="0" xfId="3" applyProtection="1" applyAlignment="1">
      <alignment horizontal="center" vertical="center" shrinkToFit="1"/>
    </xf>
    <xf numFmtId="0" fontId="22" applyFont="1" fillId="0" borderId="0" xfId="3" applyProtection="1" applyAlignment="1">
      <alignment vertical="center" shrinkToFit="1"/>
    </xf>
    <xf numFmtId="0" fontId="11" applyFont="1" fillId="0" borderId="28" applyBorder="1" xfId="3" applyProtection="1" applyAlignment="1">
      <alignment horizontal="center" vertical="center" shrinkToFit="1"/>
    </xf>
    <xf numFmtId="0" fontId="18" applyFont="1" fillId="0" borderId="0" xfId="3" applyProtection="1" applyAlignment="1">
      <alignment vertical="center"/>
    </xf>
    <xf numFmtId="0" fontId="29" applyFont="1" fillId="6" applyFill="1" borderId="28" applyBorder="1" xfId="3" applyProtection="1" applyAlignment="1">
      <alignment horizontal="center" vertical="center"/>
    </xf>
    <xf numFmtId="0" fontId="29" applyFont="1" fillId="0" borderId="28" applyBorder="1" xfId="3" applyProtection="1" applyAlignment="1">
      <alignment horizontal="center" vertical="center"/>
    </xf>
    <xf numFmtId="0" fontId="17" applyFont="1" fillId="2" applyFill="1" borderId="28" applyBorder="1" xfId="3" applyProtection="1" applyAlignment="1">
      <alignment horizontal="center" vertical="center" shrinkToFit="1"/>
    </xf>
    <xf numFmtId="0" fontId="18" applyFont="1" fillId="0" borderId="10" applyBorder="1" xfId="3" applyProtection="1"/>
    <xf numFmtId="0" fontId="29" applyFont="1" fillId="0" borderId="10" applyBorder="1" xfId="3" applyProtection="1" applyAlignment="1">
      <alignment vertical="center" shrinkToFit="1"/>
    </xf>
    <xf numFmtId="0" fontId="29" applyFont="1" fillId="0" borderId="11" applyBorder="1" xfId="3" applyProtection="1" applyAlignment="1">
      <alignment vertical="center" shrinkToFit="1"/>
    </xf>
    <xf numFmtId="0" fontId="29" applyFont="1" fillId="0" borderId="0" xfId="3" applyProtection="1" applyAlignment="1">
      <alignment vertical="center" shrinkToFit="1"/>
    </xf>
    <xf numFmtId="0" fontId="29" applyFont="1" fillId="0" borderId="28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1" applyFont="1" fillId="0" borderId="0" xfId="3" applyProtection="1" applyAlignment="1">
      <alignment horizontal="center" vertical="center" shrinkToFit="1"/>
    </xf>
    <xf numFmtId="0" fontId="32" applyFont="1" fillId="0" borderId="28" applyBorder="1" xfId="3" applyProtection="1" applyAlignment="1">
      <alignment horizontal="center" vertical="center" shrinkToFit="1"/>
    </xf>
    <xf numFmtId="0" fontId="32" applyFont="1" fillId="0" borderId="0" xfId="3" applyProtection="1" applyAlignment="1">
      <alignment horizontal="center" shrinkToFit="1"/>
    </xf>
    <xf numFmtId="0" fontId="3" applyFont="1" fillId="0" borderId="11" applyBorder="1" xfId="3" applyProtection="1" applyAlignment="1">
      <alignment vertical="center"/>
    </xf>
    <xf numFmtId="0" fontId="3" applyFont="1" fillId="0" borderId="6" applyBorder="1" xfId="3" applyProtection="1" applyAlignment="1">
      <alignment vertical="center"/>
    </xf>
    <xf numFmtId="0" fontId="3" applyFont="1" fillId="0" borderId="7" applyBorder="1" xfId="3" applyProtection="1" applyAlignment="1">
      <alignment vertical="center"/>
    </xf>
    <xf numFmtId="0" fontId="3" applyFont="1" fillId="0" borderId="8" applyBorder="1" xfId="3" applyProtection="1" applyAlignment="1">
      <alignment vertical="center"/>
    </xf>
    <xf numFmtId="4" applyNumberFormat="1" fontId="7" applyFont="1" fillId="0" borderId="28" applyBorder="1" xfId="3" applyProtection="1" applyAlignment="1">
      <alignment horizontal="center" vertical="center"/>
    </xf>
    <xf numFmtId="0" fontId="15" applyFont="1" fillId="2" applyFill="1" borderId="28" applyBorder="1" xfId="3" applyProtection="1" applyAlignment="1">
      <alignment horizontal="center" vertical="center"/>
    </xf>
    <xf numFmtId="0" fontId="7" applyFont="1" fillId="4" applyFill="1" borderId="28" applyBorder="1" xfId="3" applyProtection="1" applyAlignment="1">
      <alignment horizontal="center" vertical="center"/>
    </xf>
    <xf numFmtId="166" applyNumberFormat="1" fontId="7" applyFont="1" fillId="2" applyFill="1" borderId="28" applyBorder="1" xfId="3" applyProtection="1" applyAlignment="1">
      <alignment horizontal="center" vertical="center"/>
    </xf>
    <xf numFmtId="2" applyNumberFormat="1" fontId="7" applyFont="1" fillId="2" applyFill="1" borderId="28" applyBorder="1" xfId="3" applyProtection="1" applyAlignment="1">
      <alignment horizontal="center" vertical="center"/>
    </xf>
    <xf numFmtId="3" applyNumberFormat="1" fontId="7" applyFont="1" fillId="2" applyFill="1" borderId="28" applyBorder="1" xfId="3" applyProtection="1" applyAlignment="1">
      <alignment horizontal="center" vertical="center"/>
    </xf>
    <xf numFmtId="0" fontId="7" applyFont="1" fillId="6" applyFill="1" borderId="28" applyBorder="1" xfId="3" applyProtection="1" applyAlignment="1">
      <alignment horizontal="center" vertical="center"/>
    </xf>
    <xf numFmtId="166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6" applyFill="1" borderId="28" applyBorder="1" xfId="3" applyProtection="1" applyAlignment="1">
      <alignment horizontal="center" vertical="center"/>
    </xf>
    <xf numFmtId="3" applyNumberFormat="1" fontId="7" applyFont="1" fillId="4" applyFill="1" borderId="28" applyBorder="1" xfId="3" applyProtection="1" applyAlignment="1">
      <alignment horizontal="center" vertical="center"/>
    </xf>
    <xf numFmtId="0" fontId="23" applyFont="1" fillId="6" applyFill="1" borderId="28" applyBorder="1" xfId="3" applyProtection="1" applyAlignment="1">
      <alignment horizontal="center" vertical="center"/>
    </xf>
    <xf numFmtId="166" applyNumberFormat="1" fontId="23" applyFont="1" fillId="6" applyFill="1" borderId="28" applyBorder="1" xfId="3" applyProtection="1" applyAlignment="1">
      <alignment horizontal="center" vertical="center"/>
    </xf>
    <xf numFmtId="0" fontId="7" applyFont="1" fillId="8" applyFill="1" borderId="28" applyBorder="1" xfId="3" applyProtection="1" applyAlignment="1">
      <alignment horizontal="center" vertical="center"/>
    </xf>
    <xf numFmtId="166" applyNumberFormat="1" fontId="7" applyFont="1" fillId="0" borderId="12" applyBorder="1" xfId="3" applyProtection="1" applyAlignment="1">
      <alignment horizontal="center" vertical="center"/>
    </xf>
    <xf numFmtId="0" fontId="7" applyFont="1" fillId="0" borderId="12" applyBorder="1" xfId="3" applyProtection="1" applyAlignment="1">
      <alignment horizontal="center" vertical="center"/>
    </xf>
    <xf numFmtId="0" fontId="7" applyFont="1" fillId="0" borderId="9" applyBorder="1" xfId="3" applyProtection="1" applyAlignment="1">
      <alignment horizontal="center" vertical="center"/>
    </xf>
    <xf numFmtId="166" applyNumberFormat="1" fontId="7" applyFont="1" fillId="0" borderId="15" applyBorder="1" xfId="3" applyProtection="1" applyAlignment="1">
      <alignment horizontal="center" vertical="center"/>
    </xf>
    <xf numFmtId="0" fontId="7" applyFont="1" fillId="0" borderId="34" applyBorder="1" xfId="3" applyProtection="1" applyAlignment="1">
      <alignment horizontal="center" vertical="center"/>
    </xf>
    <xf numFmtId="166" applyNumberFormat="1" fontId="7" applyFont="1" fillId="0" borderId="17" applyBorder="1" xfId="3" applyProtection="1" applyAlignment="1">
      <alignment horizontal="center" vertical="center"/>
    </xf>
    <xf numFmtId="165" applyNumberFormat="1" fontId="7" applyFont="1" fillId="0" borderId="28" applyBorder="1" xfId="3" applyProtection="1" applyAlignment="1">
      <alignment horizontal="center" vertical="center"/>
    </xf>
    <xf numFmtId="166" applyNumberFormat="1" fontId="7" applyFont="1" fillId="0" borderId="18" applyBorder="1" xfId="3" applyProtection="1" applyAlignment="1">
      <alignment horizontal="center" vertical="center"/>
    </xf>
    <xf numFmtId="0" fontId="7" applyFont="1" fillId="0" borderId="33" applyBorder="1" xfId="3" applyProtection="1" applyAlignment="1">
      <alignment horizontal="center" vertical="center"/>
    </xf>
    <xf numFmtId="166" applyNumberFormat="1" fontId="7" applyFont="1" fillId="0" borderId="14" applyBorder="1" xfId="3" applyProtection="1" applyAlignment="1">
      <alignment horizontal="center" vertical="center"/>
    </xf>
    <xf numFmtId="0" fontId="7" applyFont="1" fillId="0" borderId="14" applyBorder="1" xfId="3" applyProtection="1" applyAlignment="1">
      <alignment horizontal="center" vertical="center"/>
    </xf>
    <xf numFmtId="0" fontId="23" applyFont="1" fillId="6" applyFill="1" borderId="9" applyBorder="1" xfId="3" applyProtection="1" applyAlignment="1">
      <alignment horizontal="center" vertical="center"/>
    </xf>
    <xf numFmtId="0" fontId="7" applyFont="1" fillId="0" borderId="1" applyBorder="1" xfId="3" applyProtection="1" applyAlignment="1">
      <alignment horizontal="center" vertical="center"/>
    </xf>
    <xf numFmtId="0" fontId="7" applyFont="1" fillId="0" borderId="16" applyBorder="1" xfId="3" applyProtection="1" applyAlignment="1">
      <alignment horizontal="center" vertical="center"/>
    </xf>
    <xf numFmtId="0" fontId="7" applyFont="1" fillId="0" borderId="19" applyBorder="1" xfId="3" applyProtection="1" applyAlignment="1">
      <alignment horizontal="center" vertical="center"/>
    </xf>
    <xf numFmtId="0" fontId="23" applyFont="1" fillId="0" borderId="10" applyBorder="1" xfId="3" applyProtection="1"/>
    <xf numFmtId="2" applyNumberFormat="1" fontId="23" applyFont="1" fillId="0" borderId="10" applyBorder="1" xfId="3" applyProtection="1"/>
    <xf numFmtId="0" fontId="23" applyFont="1" fillId="0" borderId="3" applyBorder="1" xfId="3" applyProtection="1"/>
    <xf numFmtId="0" fontId="23" applyFont="1" fillId="0" borderId="0" xfId="3" applyProtection="1"/>
    <xf numFmtId="0" fontId="23" applyFont="1" fillId="0" borderId="1" applyBorder="1" xfId="3" applyProtection="1"/>
    <xf numFmtId="0" fontId="23" applyFont="1" fillId="0" borderId="2" applyBorder="1" xfId="3" applyProtection="1"/>
    <xf numFmtId="0" fontId="23" applyFont="1" fillId="0" borderId="4" applyBorder="1" xfId="3" applyProtection="1"/>
    <xf numFmtId="0" fontId="23" applyFont="1" fillId="0" borderId="5" applyBorder="1" xfId="3" applyProtection="1"/>
    <xf numFmtId="0" fontId="33" applyFont="1" fillId="0" borderId="10" applyBorder="1" xfId="3" applyProtection="1"/>
    <xf numFmtId="0" fontId="33" applyFont="1" fillId="0" borderId="11" applyBorder="1" xfId="3" applyProtection="1" applyAlignment="1">
      <alignment vertical="center"/>
    </xf>
    <xf numFmtId="0" fontId="33" applyFont="1" fillId="0" borderId="0" xfId="3" applyProtection="1" applyAlignment="1">
      <alignment vertical="center"/>
    </xf>
    <xf numFmtId="0" fontId="23" applyFont="1" fillId="0" borderId="6" applyBorder="1" xfId="3" applyProtection="1"/>
    <xf numFmtId="0" fontId="33" applyFont="1" fillId="0" borderId="0" xfId="3" applyProtection="1"/>
    <xf numFmtId="0" fontId="23" applyFont="1" fillId="0" borderId="0" xfId="3" applyProtection="1" applyAlignment="1">
      <alignment horizontal="center"/>
    </xf>
    <xf numFmtId="0" fontId="23" applyFont="1" fillId="0" borderId="8" applyBorder="1" xfId="3" applyProtection="1"/>
    <xf numFmtId="0" fontId="3" applyFont="1" fillId="0" borderId="10" applyBorder="1" xfId="3" applyProtection="1" applyAlignment="1">
      <alignment horizontal="center"/>
      <protection locked="0"/>
    </xf>
    <xf numFmtId="0" fontId="6" applyFont="1" fillId="2" applyFill="1" borderId="5" applyBorder="1" xfId="3" applyProtection="1" applyAlignment="1">
      <alignment horizontal="center"/>
    </xf>
    <xf numFmtId="3" applyNumberFormat="1" fontId="6" applyFont="1" fillId="2" applyFill="1" borderId="14" applyBorder="1" xfId="3" applyProtection="1" applyAlignment="1">
      <alignment horizontal="center"/>
      <protection locked="0"/>
    </xf>
    <xf numFmtId="0" fontId="6" applyFont="1" fillId="2" applyFill="1" borderId="14" applyBorder="1" xfId="3" applyProtection="1" applyAlignment="1">
      <alignment horizontal="center"/>
    </xf>
    <xf numFmtId="3" applyNumberFormat="1" fontId="6" applyFont="1" fillId="2" applyFill="1" borderId="8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left"/>
    </xf>
    <xf numFmtId="0" fontId="3" applyFont="1" fillId="0" borderId="28" applyBorder="1" xfId="3" applyProtection="1" applyAlignment="1">
      <alignment horizontal="center"/>
    </xf>
    <xf numFmtId="0" fontId="11" applyFont="1" fillId="0" borderId="5" applyBorder="1" xfId="3" applyProtection="1" applyAlignment="1">
      <alignment vertical="center"/>
    </xf>
    <xf numFmtId="0" fontId="7" applyFont="1" fillId="0" borderId="0" xfId="3" applyProtection="1" applyAlignment="1">
      <alignment horizontal="center"/>
    </xf>
    <xf numFmtId="0" fontId="7" applyFont="1" fillId="8" applyFill="1" borderId="20" applyBorder="1" xfId="3" applyProtection="1" applyAlignment="1">
      <alignment vertical="center"/>
    </xf>
    <xf numFmtId="168" applyNumberFormat="1" fontId="34" applyFont="1" fillId="8" applyFill="1" borderId="21" applyBorder="1" xfId="3" applyProtection="1" applyAlignment="1">
      <alignment horizontal="right"/>
    </xf>
    <xf numFmtId="0" fontId="7" applyFont="1" fillId="9" applyFill="1" borderId="21" applyBorder="1" xfId="3" applyProtection="1" applyAlignment="1">
      <alignment horizontal="center"/>
    </xf>
    <xf numFmtId="3" applyNumberFormat="1" fontId="7" applyFont="1" fillId="2" applyFill="1" borderId="21" applyBorder="1" xfId="3" applyProtection="1" applyAlignment="1">
      <alignment horizontal="center"/>
    </xf>
    <xf numFmtId="0" fontId="23" applyFont="1" fillId="0" borderId="21" applyBorder="1" xfId="3" applyProtection="1"/>
    <xf numFmtId="0" fontId="35" applyFont="1" fillId="0" borderId="23" applyBorder="1" xfId="0" applyProtection="1" applyAlignment="1">
      <alignment horizontal="center" vertical="center"/>
    </xf>
    <xf numFmtId="0" fontId="35" applyFont="1" fillId="0" borderId="0" xfId="0" applyProtection="1" applyAlignment="1">
      <alignment horizontal="center" vertical="center"/>
    </xf>
    <xf numFmtId="0" fontId="36" applyFont="1" fillId="0" borderId="0" xfId="3" applyProtection="1" applyAlignment="1">
      <alignment horizontal="center"/>
    </xf>
    <xf numFmtId="3" applyNumberFormat="1" fontId="35" applyFont="1" fillId="0" borderId="0" xfId="0" applyProtection="1" applyAlignment="1">
      <alignment horizontal="center" vertical="center"/>
    </xf>
    <xf numFmtId="168" applyNumberFormat="1" fontId="35" applyFont="1" fillId="0" borderId="0" xfId="0" applyProtection="1" applyAlignment="1">
      <alignment horizontal="center" vertical="center"/>
    </xf>
    <xf numFmtId="0" fontId="36" applyFont="1" fillId="0" borderId="28" applyBorder="1" xfId="3" applyProtection="1" applyAlignment="1">
      <alignment horizontal="center"/>
    </xf>
    <xf numFmtId="2" applyNumberFormat="1" fontId="35" applyFont="1" fillId="0" borderId="0" xfId="0" applyProtection="1" applyAlignment="1">
      <alignment horizontal="center" vertical="center"/>
    </xf>
    <xf numFmtId="0" fontId="3" applyFont="1" fillId="0" borderId="23" applyBorder="1" xfId="3" applyProtection="1" applyAlignment="1">
      <alignment horizontal="center"/>
    </xf>
    <xf numFmtId="0" fontId="38" applyFont="1" fillId="0" borderId="35" applyBorder="1" xfId="0" applyProtection="1" applyAlignment="1">
      <alignment horizontal="center" vertical="center"/>
    </xf>
    <xf numFmtId="0" fontId="38" applyFont="1" fillId="0" borderId="36" applyBorder="1" xfId="0" applyProtection="1" applyAlignment="1">
      <alignment horizontal="center" vertical="center"/>
    </xf>
    <xf numFmtId="0" fontId="39" applyFont="1" fillId="0" borderId="37" applyBorder="1" xfId="0" applyProtection="1" applyAlignment="1">
      <alignment horizontal="center" vertical="center"/>
      <protection locked="0"/>
    </xf>
    <xf numFmtId="0" fontId="39" applyFont="1" fillId="0" borderId="38" applyBorder="1" xfId="0" applyProtection="1" applyAlignment="1">
      <alignment horizontal="center" vertical="center"/>
      <protection locked="0"/>
    </xf>
    <xf numFmtId="2" applyNumberFormat="1" fontId="3" applyFont="1" fillId="0" borderId="28" applyBorder="1" xfId="3" applyProtection="1" applyAlignment="1">
      <alignment horizontal="center"/>
    </xf>
    <xf numFmtId="0" fontId="40" applyFont="1" fillId="2" applyFill="1" borderId="29" applyBorder="1" xfId="0" applyProtection="1" applyAlignment="1">
      <alignment vertical="center"/>
      <protection locked="0"/>
    </xf>
    <xf numFmtId="0" fontId="41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</xf>
    <xf numFmtId="0" fontId="38" applyFont="1" fillId="0" borderId="0" xfId="0" applyProtection="1" applyAlignment="1">
      <alignment horizontal="center"/>
      <protection locked="0"/>
    </xf>
    <xf numFmtId="0" fontId="43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/>
    </xf>
    <xf numFmtId="0" fontId="44" applyFont="1" fillId="0" borderId="0" xfId="0" applyProtection="1" applyAlignment="1">
      <alignment horizontal="center"/>
      <protection locked="0"/>
    </xf>
    <xf numFmtId="0" fontId="44" applyFont="1" fillId="0" borderId="0" xfId="0" applyProtection="1" applyAlignment="1">
      <alignment horizontal="center" vertical="center" shrinkToFit="1"/>
    </xf>
    <xf numFmtId="0" fontId="44" applyFont="1" fillId="0" borderId="0" xfId="0" applyProtection="1" applyAlignment="1">
      <alignment horizontal="center" shrinkToFit="1"/>
    </xf>
    <xf numFmtId="0" fontId="45" applyFont="1" fillId="0" borderId="0" xfId="0" applyProtection="1" applyAlignment="1">
      <alignment horizontal="center" vertical="center" shrinkToFit="1"/>
    </xf>
    <xf numFmtId="0" fontId="36" applyFont="1" fillId="0" borderId="0" xfId="0" applyProtection="1" applyAlignment="1">
      <alignment horizontal="center"/>
    </xf>
    <xf numFmtId="0" fontId="36" applyFont="1" fillId="0" borderId="0" xfId="0" applyProtection="1" applyAlignment="1">
      <alignment horizontal="center" vertical="center"/>
    </xf>
    <xf numFmtId="0" fontId="44" applyFont="1" fillId="0" borderId="0" xfId="0" applyProtection="1" applyAlignment="1">
      <alignment horizontal="center" vertical="center"/>
    </xf>
    <xf numFmtId="0" fontId="45" applyFont="1" fillId="0" borderId="0" xfId="0" applyProtection="1" applyAlignment="1">
      <alignment horizontal="center"/>
      <protection locked="0"/>
    </xf>
    <xf numFmtId="0" fontId="44" applyFont="1" fillId="7" applyFill="1" borderId="0" xfId="0" applyProtection="1" applyAlignment="1">
      <alignment horizontal="center" vertical="center" shrinkToFit="1"/>
    </xf>
    <xf numFmtId="0" fontId="44" applyFont="1" fillId="7" applyFill="1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/>
      <protection locked="0"/>
    </xf>
    <xf numFmtId="14" applyNumberFormat="1" fontId="43" applyFont="1" fillId="0" borderId="16" applyBorder="1" xfId="0" applyProtection="1" applyAlignment="1">
      <alignment horizontal="center"/>
    </xf>
    <xf numFmtId="0" fontId="43" applyFont="1" fillId="0" borderId="39" applyBorder="1" xfId="0" applyProtection="1"/>
    <xf numFmtId="0" fontId="43" applyFont="1" fillId="0" borderId="21" applyBorder="1" xfId="0" applyProtection="1"/>
    <xf numFmtId="0" fontId="0" fillId="0" borderId="21" applyBorder="1" xfId="0" applyProtection="1" applyAlignment="1">
      <alignment horizontal="center"/>
    </xf>
    <xf numFmtId="0" fontId="41" applyFont="1" fillId="0" borderId="21" applyBorder="1" xfId="0" applyProtection="1" applyAlignment="1">
      <alignment horizontal="center"/>
    </xf>
    <xf numFmtId="2" applyNumberFormat="1" fontId="46" applyFont="1" fillId="0" borderId="19" applyBorder="1" xfId="0" applyProtection="1" applyAlignment="1">
      <alignment horizontal="center"/>
    </xf>
    <xf numFmtId="0" fontId="46" applyFont="1" fillId="0" borderId="40" applyBorder="1" xfId="0" applyProtection="1"/>
    <xf numFmtId="4" applyNumberFormat="1" fontId="38" applyFont="1" fillId="0" borderId="35" applyBorder="1" xfId="0" applyProtection="1" applyAlignment="1">
      <alignment horizontal="center"/>
    </xf>
    <xf numFmtId="4" applyNumberFormat="1" fontId="38" applyFont="1" fillId="0" borderId="28" applyBorder="1" xfId="0" applyProtection="1" applyAlignment="1">
      <alignment horizontal="center"/>
    </xf>
    <xf numFmtId="4" applyNumberFormat="1" fontId="38" applyFont="1" fillId="0" borderId="30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14" applyNumberFormat="1" fontId="43" applyFont="1" fillId="2" applyFill="1" borderId="41" applyBorder="1" xfId="0" applyProtection="1" applyAlignment="1">
      <alignment horizontal="center" vertical="center"/>
    </xf>
    <xf numFmtId="169" applyNumberFormat="1" fontId="43" applyFont="1" fillId="0" borderId="0" xfId="0" applyProtection="1" applyAlignment="1">
      <alignment vertical="center"/>
    </xf>
    <xf numFmtId="169" applyNumberFormat="1" fontId="38" applyFont="1" fillId="0" borderId="0" xfId="0" applyProtection="1" applyAlignment="1">
      <alignment horizontal="center"/>
    </xf>
    <xf numFmtId="0" fontId="43" applyFont="1" fillId="0" borderId="0" xfId="0" applyProtection="1" applyAlignment="1">
      <alignment horizontal="center"/>
    </xf>
    <xf numFmtId="14" applyNumberFormat="1" fontId="43" applyFont="1" fillId="0" borderId="0" xfId="0" applyProtection="1" applyAlignment="1">
      <alignment horizontal="center"/>
    </xf>
    <xf numFmtId="3" applyNumberFormat="1" fontId="45" applyFont="1" fillId="0" borderId="0" xfId="0" applyProtection="1" applyAlignment="1">
      <alignment horizontal="center"/>
    </xf>
    <xf numFmtId="2" applyNumberFormat="1" fontId="44" applyFont="1" fillId="12" applyFill="1" borderId="0" xfId="0" applyProtection="1" applyAlignment="1">
      <alignment horizontal="center"/>
    </xf>
    <xf numFmtId="9" applyNumberFormat="1" fontId="36" applyFont="1" fillId="0" borderId="0" xfId="4" applyProtection="1" applyAlignment="1">
      <alignment horizontal="center"/>
    </xf>
    <xf numFmtId="0" fontId="45" applyFont="1" fillId="0" borderId="0" xfId="0" applyProtection="1" applyAlignment="1">
      <alignment horizontal="center"/>
    </xf>
    <xf numFmtId="3" applyNumberFormat="1" fontId="44" applyFont="1" fillId="0" borderId="0" xfId="0" applyProtection="1" applyAlignment="1">
      <alignment horizontal="center"/>
    </xf>
    <xf numFmtId="9" applyNumberFormat="1" fontId="36" applyFont="1" fillId="0" borderId="0" xfId="0" applyProtection="1" applyAlignment="1">
      <alignment horizontal="center"/>
    </xf>
    <xf numFmtId="14" applyNumberFormat="1" fontId="44" applyFont="1" fillId="0" borderId="0" xfId="0" applyProtection="1" applyAlignment="1">
      <alignment horizontal="center"/>
    </xf>
    <xf numFmtId="4" applyNumberFormat="1" fontId="44" applyFont="1" fillId="13" applyFill="1" borderId="0" xfId="0" applyProtection="1" applyAlignment="1">
      <alignment horizontal="center"/>
    </xf>
    <xf numFmtId="4" applyNumberFormat="1" fontId="44" applyFont="1" fillId="0" borderId="0" xfId="0" applyProtection="1" applyAlignment="1">
      <alignment horizontal="center"/>
    </xf>
    <xf numFmtId="4" applyNumberFormat="1" fontId="45" applyFont="1" fillId="0" borderId="0" xfId="0" applyProtection="1" applyAlignment="1">
      <alignment horizontal="center"/>
    </xf>
    <xf numFmtId="9" applyNumberFormat="1" fontId="44" applyFont="1" fillId="0" borderId="0" xfId="4" applyProtection="1" applyAlignment="1">
      <alignment horizontal="center"/>
    </xf>
    <xf numFmtId="0" fontId="44" applyFont="1" fillId="7" applyFill="1" borderId="0" xfId="0" applyProtection="1" applyAlignment="1">
      <alignment horizontal="center"/>
    </xf>
    <xf numFmtId="165" applyNumberFormat="1" fontId="36" applyFont="1" fillId="0" borderId="0" xfId="4" applyProtection="1" applyAlignment="1">
      <alignment horizontal="center"/>
    </xf>
    <xf numFmtId="1" applyNumberFormat="1" fontId="44" applyFont="1" fillId="12" applyFill="1" borderId="0" xfId="0" applyProtection="1" applyAlignment="1">
      <alignment horizontal="center"/>
    </xf>
    <xf numFmtId="168" applyNumberFormat="1" fontId="36" applyFont="1" fillId="0" borderId="0" xfId="0" applyProtection="1" applyAlignment="1">
      <alignment horizontal="center"/>
    </xf>
    <xf numFmtId="0" fontId="41" applyFont="1" fillId="0" borderId="22" applyBorder="1" xfId="0" applyProtection="1" applyAlignment="1">
      <alignment horizontal="center"/>
    </xf>
    <xf numFmtId="0" fontId="41" applyFont="1" fillId="0" borderId="24" applyBorder="1" xfId="0" applyProtection="1" applyAlignment="1">
      <alignment horizontal="center"/>
    </xf>
    <xf numFmtId="0" fontId="36" applyFont="1" fillId="0" borderId="24" applyBorder="1" xfId="0" applyProtection="1" applyAlignment="1">
      <alignment horizontal="center"/>
    </xf>
    <xf numFmtId="168" applyNumberFormat="1" fontId="36" applyFont="1" fillId="0" borderId="24" applyBorder="1" xfId="0" applyProtection="1" applyAlignment="1">
      <alignment horizontal="center"/>
    </xf>
    <xf numFmtId="0" fontId="36" applyFont="1" fillId="0" borderId="15" applyBorder="1" xfId="3" applyProtection="1" applyAlignment="1">
      <alignment horizontal="center"/>
    </xf>
    <xf numFmtId="2" applyNumberFormat="1" fontId="3" applyFont="1" fillId="0" borderId="34" applyBorder="1" xfId="3" applyProtection="1" applyAlignment="1">
      <alignment horizontal="center"/>
    </xf>
    <xf numFmtId="2" applyNumberFormat="1" fontId="3" applyFont="1" fillId="0" borderId="33" applyBorder="1" xfId="3" applyProtection="1" applyAlignment="1">
      <alignment horizontal="center"/>
    </xf>
    <xf numFmtId="0" fontId="3" applyFont="1" fillId="0" borderId="36" applyBorder="1" xfId="3" applyProtection="1" applyAlignment="1">
      <alignment horizontal="center"/>
    </xf>
    <xf numFmtId="0" fontId="3" applyFont="1" fillId="0" borderId="42" applyBorder="1" xfId="3" applyProtection="1" applyAlignment="1">
      <alignment horizontal="center"/>
    </xf>
    <xf numFmtId="0" fontId="3" applyFont="1" fillId="0" borderId="38" applyBorder="1" xfId="3" applyProtection="1" applyAlignment="1">
      <alignment horizontal="center"/>
    </xf>
    <xf numFmtId="2" applyNumberFormat="1" fontId="3" applyFont="1" fillId="0" borderId="0" xfId="3" applyProtection="1" applyAlignment="1">
      <alignment horizontal="center"/>
    </xf>
    <xf numFmtId="170" applyNumberFormat="1" fontId="36" applyFont="1" fillId="0" borderId="0" xfId="4" applyProtection="1" applyAlignment="1">
      <alignment horizontal="center"/>
    </xf>
    <xf numFmtId="0" fontId="3" applyFont="1" fillId="0" borderId="20" applyBorder="1" xfId="3" applyProtection="1" applyAlignment="1">
      <alignment horizontal="center"/>
    </xf>
    <xf numFmtId="0" fontId="3" applyFont="1" fillId="0" borderId="21" applyBorder="1" xfId="3" applyProtection="1" applyAlignment="1">
      <alignment horizontal="center"/>
    </xf>
    <xf numFmtId="0" fontId="7" applyFont="1" fillId="8" applyFill="1" borderId="23" applyBorder="1" xfId="3" applyProtection="1" applyAlignment="1">
      <alignment vertical="center"/>
    </xf>
    <xf numFmtId="168" applyNumberFormat="1" fontId="34" applyFont="1" fillId="8" applyFill="1" borderId="0" xfId="3" applyProtection="1" applyAlignment="1">
      <alignment horizontal="right"/>
    </xf>
    <xf numFmtId="0" fontId="7" applyFont="1" fillId="9" applyFill="1" borderId="0" xfId="3" applyProtection="1" applyAlignment="1">
      <alignment horizontal="center"/>
    </xf>
    <xf numFmtId="3" applyNumberFormat="1" fontId="7" applyFont="1" fillId="2" applyFill="1" borderId="0" xfId="3" applyProtection="1" applyAlignment="1">
      <alignment horizontal="center"/>
    </xf>
    <xf numFmtId="0" fontId="44" applyFont="1" fillId="0" borderId="26" applyBorder="1" xfId="0" applyProtection="1" applyAlignment="1">
      <alignment horizontal="center"/>
    </xf>
    <xf numFmtId="0" fontId="44" applyFont="1" fillId="0" borderId="26" applyBorder="1" xfId="0" applyProtection="1" applyAlignment="1">
      <alignment horizontal="center"/>
      <protection locked="0"/>
    </xf>
    <xf numFmtId="0" fontId="44" applyFont="1" fillId="0" borderId="26" applyBorder="1" xfId="0" applyProtection="1" applyAlignment="1">
      <alignment horizontal="center" vertical="center" shrinkToFit="1"/>
    </xf>
    <xf numFmtId="0" fontId="44" applyFont="1" fillId="0" borderId="26" applyBorder="1" xfId="0" applyProtection="1" applyAlignment="1">
      <alignment horizontal="center" shrinkToFit="1"/>
    </xf>
    <xf numFmtId="0" fontId="38" applyFont="1" fillId="0" borderId="21" applyBorder="1" xfId="0" applyProtection="1" applyAlignment="1">
      <alignment horizontal="center" vertical="center"/>
    </xf>
    <xf numFmtId="0" fontId="39" applyFont="1" fillId="0" borderId="0" xfId="0" applyProtection="1" applyAlignment="1">
      <alignment horizontal="center" vertical="center"/>
      <protection locked="0"/>
    </xf>
    <xf numFmtId="0" fontId="40" applyFont="1" fillId="2" applyFill="1" borderId="0" xfId="0" applyProtection="1" applyAlignment="1">
      <alignment vertical="center"/>
      <protection locked="0"/>
    </xf>
    <xf numFmtId="2" applyNumberFormat="1" fontId="3" applyFont="1" fillId="0" borderId="28" applyBorder="1" xfId="3" applyProtection="1" applyAlignment="1">
      <alignment horizontal="center" vertical="center"/>
    </xf>
    <xf numFmtId="9" applyNumberFormat="1" fontId="44" applyFont="1" fillId="0" borderId="0" xfId="0" applyProtection="1" applyAlignment="1">
      <alignment horizontal="center" shrinkToFit="1"/>
    </xf>
    <xf numFmtId="1" applyNumberFormat="1" fontId="44" applyFont="1" fillId="0" borderId="0" xfId="0" applyProtection="1" applyAlignment="1">
      <alignment horizontal="center" shrinkToFit="1"/>
    </xf>
    <xf numFmtId="2" applyNumberFormat="1" fontId="44" applyFont="1" fillId="0" borderId="0" xfId="0" applyProtection="1" applyAlignment="1">
      <alignment horizontal="center"/>
    </xf>
    <xf numFmtId="165" applyNumberFormat="1" fontId="36" applyFont="1" fillId="0" borderId="0" xfId="0" applyProtection="1" applyAlignment="1">
      <alignment horizontal="center"/>
    </xf>
    <xf numFmtId="9" applyNumberFormat="1" fontId="44" applyFont="1" fillId="0" borderId="26" applyBorder="1" xfId="4" applyProtection="1" applyAlignment="1">
      <alignment horizontal="center" shrinkToFit="1"/>
    </xf>
    <xf numFmtId="1" applyNumberFormat="1" fontId="44" applyFont="1" fillId="0" borderId="26" applyBorder="1" xfId="0" applyProtection="1" applyAlignment="1">
      <alignment horizontal="center" shrinkToFit="1"/>
    </xf>
    <xf numFmtId="3" applyNumberFormat="1" fontId="44" applyFont="1" fillId="0" borderId="26" applyBorder="1" xfId="0" applyProtection="1" applyAlignment="1">
      <alignment horizontal="center"/>
    </xf>
    <xf numFmtId="2" applyNumberFormat="1" fontId="44" applyFont="1" fillId="0" borderId="26" applyBorder="1" xfId="0" applyProtection="1" applyAlignment="1">
      <alignment horizontal="center"/>
    </xf>
    <xf numFmtId="165" applyNumberFormat="1" fontId="36" applyFont="1" fillId="0" borderId="26" applyBorder="1" xfId="0" applyProtection="1" applyAlignment="1">
      <alignment horizontal="center"/>
    </xf>
    <xf numFmtId="14" applyNumberFormat="1" fontId="43" applyFont="1" fillId="0" borderId="21" applyBorder="1" xfId="0" applyProtection="1" applyAlignment="1">
      <alignment horizontal="center"/>
    </xf>
    <xf numFmtId="0" fontId="36" applyFont="1" fillId="0" borderId="21" applyBorder="1" xfId="0" applyProtection="1" applyAlignment="1">
      <alignment horizontal="center"/>
    </xf>
    <xf numFmtId="2" applyNumberFormat="1" fontId="46" applyFont="1" fillId="0" borderId="0" xfId="0" applyProtection="1" applyAlignment="1">
      <alignment horizontal="center"/>
    </xf>
    <xf numFmtId="0" fontId="46" applyFont="1" fillId="0" borderId="0" xfId="0" applyProtection="1"/>
    <xf numFmtId="4" applyNumberFormat="1" fontId="38" applyFont="1" fillId="0" borderId="0" xfId="0" applyProtection="1" applyAlignment="1">
      <alignment horizontal="center"/>
    </xf>
    <xf numFmtId="14" applyNumberFormat="1" fontId="43" applyFont="1" fillId="2" applyFill="1" borderId="0" xfId="0" applyProtection="1" applyAlignment="1">
      <alignment horizontal="center" vertical="center"/>
    </xf>
    <xf numFmtId="0" fontId="36" applyFont="1" fillId="0" borderId="22" applyBorder="1" xfId="0" applyProtection="1" applyAlignment="1">
      <alignment horizontal="center"/>
    </xf>
    <xf numFmtId="0" fontId="3" applyFont="1" fillId="0" borderId="43" applyBorder="1" xfId="3" applyProtection="1" applyAlignment="1">
      <alignment horizontal="center"/>
    </xf>
    <xf numFmtId="0" fontId="47" applyFont="1" fillId="0" borderId="23" applyBorder="1" xfId="0" applyProtection="1" applyAlignment="1">
      <alignment horizontal="center" vertical="center"/>
    </xf>
    <xf numFmtId="171" applyNumberFormat="1" fontId="3" applyFont="1" fillId="0" borderId="28" applyBorder="1" xfId="3" applyProtection="1" applyAlignment="1">
      <alignment horizontal="center"/>
    </xf>
    <xf numFmtId="2" applyNumberFormat="1" fontId="47" applyFont="1" fillId="0" borderId="0" xfId="0" applyProtection="1" applyAlignment="1">
      <alignment horizontal="center" vertical="center"/>
    </xf>
    <xf numFmtId="0" fontId="47" applyFont="1" fillId="0" borderId="0" xfId="0" applyProtection="1" applyAlignment="1">
      <alignment horizontal="center" vertical="center"/>
    </xf>
    <xf numFmtId="0" fontId="44" applyFont="1" fillId="0" borderId="21" applyBorder="1" xfId="0" applyProtection="1" applyAlignment="1">
      <alignment horizontal="center" vertical="center"/>
    </xf>
    <xf numFmtId="14" applyNumberFormat="1" fontId="44" applyFont="1" fillId="0" borderId="21" applyBorder="1" xfId="0" applyProtection="1" applyAlignment="1">
      <alignment horizontal="center"/>
    </xf>
    <xf numFmtId="0" fontId="37" applyFont="1" fillId="0" borderId="0" xfId="0" applyProtection="1" applyAlignment="1">
      <alignment horizontal="center" vertical="center"/>
      <protection locked="0"/>
    </xf>
    <xf numFmtId="2" applyNumberFormat="1" fontId="37" applyFont="1" fillId="0" borderId="0" xfId="0" applyProtection="1" applyAlignment="1">
      <alignment horizontal="center"/>
    </xf>
    <xf numFmtId="0" fontId="40" applyFont="1" fillId="2" applyFill="1" borderId="0" xfId="0" applyProtection="1" applyAlignment="1">
      <alignment horizontal="center" vertical="center"/>
      <protection locked="0"/>
    </xf>
    <xf numFmtId="0" fontId="44" applyFont="1" fillId="0" borderId="21" applyBorder="1" xfId="0" applyProtection="1"/>
    <xf numFmtId="0" fontId="37" applyFont="1" fillId="0" borderId="0" xfId="0" applyProtection="1"/>
    <xf numFmtId="0" fontId="3" applyFont="1" fillId="0" borderId="25" applyBorder="1" xfId="3" applyProtection="1" applyAlignment="1">
      <alignment horizontal="center"/>
    </xf>
    <xf numFmtId="0" fontId="3" applyFont="1" fillId="0" borderId="26" applyBorder="1" xfId="3" applyProtection="1" applyAlignment="1">
      <alignment horizontal="center"/>
    </xf>
    <xf numFmtId="9" applyNumberFormat="1" fontId="44" applyFont="1" fillId="0" borderId="0" xfId="4" applyProtection="1" applyAlignment="1">
      <alignment horizontal="center" shrinkToFit="1"/>
    </xf>
    <xf numFmtId="0" fontId="36" applyFont="1" fillId="0" borderId="26" applyBorder="1" xfId="0" applyProtection="1" applyAlignment="1">
      <alignment horizontal="center"/>
    </xf>
    <xf numFmtId="0" fontId="36" applyFont="1" fillId="0" borderId="27" applyBorder="1" xfId="0" applyProtection="1" applyAlignment="1">
      <alignment horizontal="center"/>
    </xf>
    <xf numFmtId="0" fontId="0" fillId="0" borderId="0" xfId="0">
      <protection hidden="1"/>
    </xf>
    <xf numFmtId="0" fontId="0" fillId="0" borderId="0" xfId="0" applyAlignment="1">
      <alignment horizontal="center" vertical="center"/>
      <protection hidden="1"/>
    </xf>
    <xf numFmtId="0" fontId="0" fillId="0" borderId="20" applyBorder="1" xfId="0">
      <protection hidden="1"/>
    </xf>
    <xf numFmtId="0" fontId="0" fillId="0" borderId="21" applyBorder="1" xfId="0">
      <protection hidden="1"/>
    </xf>
    <xf numFmtId="0" fontId="0" fillId="0" borderId="21" applyBorder="1" xfId="0" applyAlignment="1">
      <alignment horizontal="center" vertical="center"/>
      <protection hidden="1"/>
    </xf>
    <xf numFmtId="0" fontId="0" fillId="0" borderId="23" applyBorder="1" xfId="0">
      <protection hidden="1"/>
    </xf>
    <xf numFmtId="0" fontId="36" applyFont="1" fillId="0" borderId="8" applyBorder="1" xfId="0">
      <protection hidden="1"/>
    </xf>
    <xf numFmtId="0" fontId="36" applyFont="1" fillId="0" borderId="0" xfId="0" applyAlignment="1">
      <alignment horizontal="center" vertical="center"/>
      <protection hidden="1"/>
    </xf>
    <xf numFmtId="0" fontId="36" applyFont="1" fillId="0" borderId="11" applyBorder="1" xfId="0">
      <protection hidden="1"/>
    </xf>
    <xf numFmtId="0" fontId="36" applyFont="1" fillId="0" borderId="15" applyBorder="1" xfId="0" applyAlignment="1">
      <alignment horizontal="center" vertical="center"/>
      <protection hidden="1"/>
    </xf>
    <xf numFmtId="0" fontId="36" applyFont="1" fillId="0" borderId="36" applyBorder="1" xfId="0" applyAlignment="1">
      <alignment horizontal="center" vertical="center"/>
      <protection hidden="1"/>
    </xf>
    <xf numFmtId="0" fontId="36" applyFont="1" fillId="0" borderId="6" applyBorder="1" xfId="0">
      <protection hidden="1"/>
    </xf>
    <xf numFmtId="0" fontId="36" applyFont="1" fillId="0" borderId="17" applyBorder="1" xfId="0" applyAlignment="1">
      <alignment horizontal="center" vertical="center"/>
      <protection hidden="1"/>
    </xf>
    <xf numFmtId="0" fontId="36" applyFont="1" fillId="0" borderId="42" applyBorder="1" xfId="0" applyAlignment="1">
      <alignment horizontal="center" vertical="center"/>
      <protection hidden="1"/>
    </xf>
    <xf numFmtId="0" fontId="36" applyFont="1" fillId="0" borderId="28" applyBorder="1" xfId="0" applyProtection="1"/>
    <xf numFmtId="0" fontId="36" applyFont="1" fillId="0" borderId="18" applyBorder="1" xfId="0" applyAlignment="1">
      <alignment horizontal="center" vertical="center"/>
      <protection hidden="1"/>
    </xf>
    <xf numFmtId="0" fontId="36" applyFont="1" fillId="0" borderId="27" applyBorder="1" xfId="0" applyAlignment="1">
      <alignment horizontal="center" vertical="center"/>
      <protection hidden="1"/>
    </xf>
    <xf numFmtId="0" fontId="36" applyFont="1" fillId="0" borderId="1" applyBorder="1" xfId="0">
      <protection hidden="1"/>
    </xf>
    <xf numFmtId="0" fontId="36" applyFont="1" fillId="0" borderId="0" xfId="0">
      <protection hidden="1"/>
    </xf>
    <xf numFmtId="0" fontId="0" fillId="0" borderId="23" applyBorder="1" xfId="0" applyProtection="1"/>
    <xf numFmtId="0" fontId="0" fillId="0" borderId="25" applyBorder="1" xfId="0">
      <protection hidden="1"/>
    </xf>
    <xf numFmtId="0" fontId="0" fillId="0" borderId="26" applyBorder="1" xfId="0">
      <protection hidden="1"/>
    </xf>
    <xf numFmtId="0" fontId="0" fillId="0" borderId="26" applyBorder="1" xfId="0" applyAlignment="1">
      <alignment horizontal="center" vertical="center"/>
      <protection hidden="1"/>
    </xf>
    <xf numFmtId="0" fontId="0" fillId="0" borderId="1" applyBorder="1" xfId="0">
      <protection hidden="1"/>
    </xf>
    <xf numFmtId="0" fontId="0" fillId="0" borderId="2" applyBorder="1" xfId="0">
      <protection hidden="1"/>
    </xf>
    <xf numFmtId="0" fontId="0" fillId="0" borderId="2" applyBorder="1" xfId="0" applyAlignment="1">
      <alignment horizontal="center" vertical="center"/>
      <protection hidden="1"/>
    </xf>
    <xf numFmtId="2" applyNumberFormat="1" fontId="36" applyFont="1" fillId="0" borderId="3" applyBorder="1" xfId="0" applyAlignment="1">
      <alignment horizontal="center" vertical="center"/>
      <protection hidden="1"/>
    </xf>
    <xf numFmtId="165" applyNumberFormat="1" fontId="0" fillId="0" borderId="0" xfId="0">
      <protection hidden="1"/>
    </xf>
    <xf numFmtId="2" applyNumberFormat="1" fontId="0" fillId="0" borderId="3" applyBorder="1" xfId="0" applyAlignment="1">
      <alignment horizontal="center"/>
      <protection hidden="1"/>
    </xf>
    <xf numFmtId="1" applyNumberFormat="1" fontId="0" fillId="0" borderId="0" xfId="0" applyAlignment="1">
      <alignment horizontal="center" vertical="center"/>
      <protection hidden="1"/>
    </xf>
    <xf numFmtId="2" applyNumberFormat="1" fontId="0" fillId="0" borderId="0" xfId="0" applyAlignment="1">
      <alignment horizontal="center"/>
      <protection hidden="1"/>
    </xf>
    <xf numFmtId="0" fontId="0" fillId="0" borderId="3" applyBorder="1" xfId="0" applyAlignment="1">
      <alignment horizontal="center"/>
      <protection hidden="1"/>
    </xf>
    <xf numFmtId="1" applyNumberFormat="1" fontId="0" fillId="0" borderId="0" xfId="0">
      <protection hidden="1"/>
    </xf>
    <xf numFmtId="0" fontId="0" fillId="0" borderId="3" applyBorder="1" xfId="0">
      <protection hidden="1"/>
    </xf>
    <xf numFmtId="0" fontId="0" fillId="0" borderId="4" applyBorder="1" xfId="0">
      <protection hidden="1"/>
    </xf>
    <xf numFmtId="0" fontId="0" fillId="0" borderId="5" applyBorder="1" xfId="0">
      <protection hidden="1"/>
    </xf>
    <xf numFmtId="0" fontId="0" fillId="0" borderId="5" applyBorder="1" xfId="0" applyAlignment="1">
      <alignment horizontal="center" vertical="center"/>
      <protection hidden="1"/>
    </xf>
    <xf numFmtId="2" applyNumberFormat="1" fontId="36" applyFont="1" fillId="8" applyFill="1" borderId="3" applyBorder="1" xfId="0" applyAlignment="1">
      <alignment horizontal="center" vertical="center"/>
      <protection hidden="1"/>
    </xf>
    <xf numFmtId="0" fontId="0" fillId="0" borderId="21" applyBorder="1" xfId="0" applyProtection="1"/>
    <xf numFmtId="0" fontId="0" fillId="0" borderId="22" applyBorder="1" xfId="0" applyProtection="1"/>
    <xf numFmtId="2" applyNumberFormat="1" fontId="0" fillId="0" borderId="14" applyBorder="1" xfId="0" applyAlignment="1">
      <alignment horizontal="center" vertical="center"/>
      <protection hidden="1"/>
    </xf>
    <xf numFmtId="0" fontId="36" applyFont="1" fillId="0" borderId="14" applyBorder="1" xfId="0" applyAlignment="1">
      <alignment horizontal="center" vertical="center"/>
      <protection hidden="1"/>
    </xf>
    <xf numFmtId="0" fontId="36" applyFont="1" fillId="0" borderId="4" applyBorder="1" xfId="0" applyAlignment="1">
      <alignment horizontal="center" vertical="center"/>
      <protection hidden="1"/>
    </xf>
    <xf numFmtId="0" fontId="41" applyFont="1" fillId="0" borderId="0" xfId="0" applyProtection="1"/>
    <xf numFmtId="0" fontId="0" fillId="0" borderId="24" applyBorder="1" xfId="0" applyProtection="1"/>
    <xf numFmtId="2" applyNumberFormat="1" fontId="36" applyFont="1" fillId="0" borderId="28" applyBorder="1" xfId="0" applyAlignment="1">
      <alignment horizontal="center" vertical="center"/>
      <protection hidden="1"/>
    </xf>
    <xf numFmtId="0" fontId="36" applyFont="1" fillId="0" borderId="28" applyBorder="1" xfId="0" applyAlignment="1">
      <alignment horizontal="center" vertical="center"/>
      <protection hidden="1"/>
    </xf>
    <xf numFmtId="0" fontId="36" applyFont="1" fillId="0" borderId="9" applyBorder="1" xfId="0" applyAlignment="1">
      <alignment horizontal="center" vertical="center"/>
      <protection hidden="1"/>
    </xf>
    <xf numFmtId="0" fontId="0" fillId="0" borderId="0" xfId="0" applyProtection="1" applyAlignment="1">
      <alignment horizontal="center" vertical="center"/>
    </xf>
    <xf numFmtId="2" applyNumberFormat="1" fontId="36" applyFont="1" fillId="0" borderId="12" applyBorder="1" xfId="0" applyAlignment="1">
      <alignment horizontal="center" vertical="center"/>
      <protection hidden="1"/>
    </xf>
    <xf numFmtId="0" fontId="36" applyFont="1" fillId="0" borderId="12" applyBorder="1" xfId="0" applyAlignment="1">
      <alignment horizontal="center" vertical="center"/>
      <protection hidden="1"/>
    </xf>
    <xf numFmtId="0" fontId="36" applyFont="1" fillId="0" borderId="1" applyBorder="1" xfId="0" applyAlignment="1">
      <alignment horizontal="center" vertical="center"/>
      <protection hidden="1"/>
    </xf>
    <xf numFmtId="0" fontId="36" applyFont="1" fillId="0" borderId="28" applyBorder="1" xfId="0" applyProtection="1" applyAlignment="1">
      <alignment horizontal="center" vertical="center"/>
    </xf>
    <xf numFmtId="0" fontId="36" applyFont="1" fillId="0" borderId="6" applyBorder="1" xfId="0" applyAlignment="1">
      <alignment horizontal="center" vertical="center"/>
      <protection hidden="1"/>
    </xf>
    <xf numFmtId="2" applyNumberFormat="1" fontId="36" applyFont="1" fillId="0" borderId="0" xfId="0" applyAlignment="1">
      <alignment horizontal="center" vertical="center"/>
      <protection hidden="1"/>
    </xf>
    <xf numFmtId="0" fontId="0" fillId="0" borderId="26" applyBorder="1" xfId="0" applyProtection="1"/>
    <xf numFmtId="0" fontId="0" fillId="0" borderId="27" applyBorder="1" xfId="0" applyProtection="1"/>
    <xf numFmtId="0" fontId="0" fillId="0" borderId="2" applyBorder="1" xfId="0" applyProtection="1"/>
    <xf numFmtId="0" fontId="40" applyFont="1" fillId="7" applyFill="1" borderId="0" xfId="0" applyProtection="1" applyAlignment="1">
      <alignment horizontal="center" vertical="center" shrinkToFit="1"/>
    </xf>
    <xf numFmtId="0" fontId="44" applyFont="1" fillId="0" borderId="0" xfId="0" applyAlignment="1">
      <alignment horizontal="center" vertical="center" shrinkToFit="1"/>
      <protection hidden="1"/>
    </xf>
    <xf numFmtId="0" fontId="0" fillId="0" borderId="5" applyBorder="1" xfId="0" applyProtection="1"/>
    <xf numFmtId="0" fontId="0" fillId="0" borderId="20" applyBorder="1" xfId="0" applyProtection="1"/>
    <xf numFmtId="0" fontId="48" applyFont="1" fillId="0" borderId="0" xfId="0" applyAlignment="1">
      <alignment horizontal="center" vertical="center"/>
      <protection hidden="1"/>
    </xf>
    <xf numFmtId="0" fontId="0" fillId="0" borderId="6" applyBorder="1" xfId="0" applyProtection="1"/>
    <xf numFmtId="0" fontId="0" fillId="0" borderId="7" applyBorder="1" xfId="0" applyProtection="1"/>
    <xf numFmtId="0" fontId="0" fillId="0" borderId="8" applyBorder="1" xfId="0" applyProtection="1"/>
    <xf numFmtId="2" applyNumberFormat="1" fontId="0" fillId="0" borderId="0" xfId="0" applyAlignment="1">
      <alignment horizontal="center" vertical="center"/>
      <protection hidden="1"/>
    </xf>
    <xf numFmtId="0" fontId="36" applyFont="1" fillId="0" borderId="0" xfId="0" applyProtection="1"/>
    <xf numFmtId="2" applyNumberFormat="1" fontId="0" fillId="8" applyFill="1" borderId="3" applyBorder="1" xfId="0" applyAlignment="1">
      <alignment horizontal="center"/>
      <protection hidden="1"/>
    </xf>
    <xf numFmtId="0" fontId="7" applyFont="1" fillId="8" applyFill="1" borderId="0" xfId="3" applyProtection="1" applyAlignment="1">
      <alignment vertical="center"/>
    </xf>
    <xf numFmtId="0" fontId="34" applyFont="1" fillId="14" applyFill="1" borderId="0" xfId="3" applyProtection="1" applyAlignment="1">
      <alignment horizontal="center"/>
    </xf>
    <xf numFmtId="165" applyNumberFormat="1" fontId="7" applyFont="1" fillId="0" borderId="0" xfId="3" applyProtection="1" applyAlignment="1">
      <alignment horizontal="center"/>
    </xf>
    <xf numFmtId="165" applyNumberFormat="1" fontId="36" applyFont="1" fillId="0" borderId="0" xfId="3" applyProtection="1" applyAlignment="1">
      <alignment horizontal="center"/>
    </xf>
    <xf numFmtId="0" fontId="36" applyFont="1" fillId="0" borderId="2" applyBorder="1" xfId="0" applyProtection="1" applyAlignment="1">
      <alignment horizontal="center"/>
    </xf>
    <xf numFmtId="165" applyNumberFormat="1" fontId="36" applyFont="1" fillId="0" borderId="2" applyBorder="1" xfId="0" applyProtection="1" applyAlignment="1">
      <alignment horizontal="center"/>
    </xf>
    <xf numFmtId="165" applyNumberFormat="1" fontId="0" fillId="0" borderId="0" xfId="3" applyProtection="1" applyAlignment="1">
      <alignment horizontal="center"/>
    </xf>
    <xf numFmtId="0" fontId="7" applyFont="1" fillId="0" borderId="0" xfId="3" applyProtection="1"/>
    <xf numFmtId="165" applyNumberFormat="1" fontId="3" applyFont="1" fillId="0" borderId="0" xfId="3" applyProtection="1" applyAlignment="1">
      <alignment horizontal="center"/>
    </xf>
    <xf numFmtId="0" fontId="45" applyFont="1" fillId="0" borderId="0" xfId="0" applyProtection="1" applyAlignment="1">
      <alignment horizontal="center" shrinkToFit="1"/>
    </xf>
    <xf numFmtId="0" fontId="43" applyFont="1" fillId="0" borderId="0" xfId="0" applyProtection="1"/>
    <xf numFmtId="4" applyNumberFormat="1" fontId="44" applyFont="1" fillId="7" applyFill="1" borderId="0" xfId="0" applyProtection="1" applyAlignment="1">
      <alignment horizontal="center"/>
    </xf>
    <xf numFmtId="1" applyNumberFormat="1" fontId="44" applyFont="1" fillId="0" borderId="0" xfId="0" applyProtection="1" applyAlignment="1">
      <alignment horizontal="center"/>
    </xf>
    <xf numFmtId="9" applyNumberFormat="1" fontId="44" applyFont="1" fillId="0" borderId="44" applyBorder="1" xfId="0" applyProtection="1" applyAlignment="1">
      <alignment horizontal="center"/>
    </xf>
    <xf numFmtId="14" applyNumberFormat="1" fontId="0" fillId="0" borderId="0" xfId="0" applyProtection="1" applyAlignment="1">
      <alignment horizontal="center"/>
    </xf>
    <xf numFmtId="0" fontId="38" applyFont="1" fillId="2" applyFill="1" borderId="29" applyBorder="1" xfId="0" applyProtection="1" applyAlignment="1">
      <alignment vertical="center"/>
      <protection locked="0"/>
    </xf>
    <xf numFmtId="4" applyNumberFormat="1" fontId="15" applyFont="1" fillId="0" borderId="0" xfId="3" applyProtection="1" applyAlignment="1">
      <alignment horizontal="center"/>
    </xf>
    <xf numFmtId="4" applyNumberFormat="1" fontId="15" applyFont="1" fillId="0" borderId="0" xfId="0" applyProtection="1" applyAlignment="1">
      <alignment horizontal="center"/>
    </xf>
    <xf numFmtId="0" fontId="44" applyFont="1" fillId="15" applyFill="1" borderId="12" applyBorder="1" xfId="0" applyProtection="1" applyAlignment="1">
      <alignment horizontal="center" shrinkToFit="1"/>
    </xf>
    <xf numFmtId="4" applyNumberFormat="1" fontId="44" applyFont="1" fillId="15" applyFill="1" borderId="12" applyBorder="1" xfId="0" applyProtection="1" applyAlignment="1">
      <alignment horizontal="center"/>
    </xf>
    <xf numFmtId="165" applyNumberFormat="1" fontId="44" applyFont="1" fillId="2" applyFill="1" borderId="0" xfId="0" applyProtection="1" applyAlignment="1">
      <alignment horizontal="center" textRotation="90"/>
    </xf>
    <xf numFmtId="4" applyNumberFormat="1" fontId="44" applyFont="1" fillId="0" borderId="0" xfId="0" applyProtection="1" applyAlignment="1">
      <alignment horizontal="center" shrinkToFit="1"/>
    </xf>
    <xf numFmtId="168" applyNumberFormat="1" fontId="44" applyFont="1" fillId="0" borderId="0" xfId="0" applyProtection="1" applyAlignment="1">
      <alignment horizontal="center"/>
    </xf>
    <xf numFmtId="0" fontId="0" fillId="15" applyFill="1" borderId="0" xfId="0" applyProtection="1"/>
    <xf numFmtId="0" fontId="0" fillId="16" applyFill="1" borderId="0" xfId="0" applyProtection="1" applyAlignment="1">
      <alignment horizontal="center"/>
    </xf>
    <xf numFmtId="0" fontId="0" fillId="16" applyFill="1" borderId="0" xfId="0" applyProtection="1"/>
    <xf numFmtId="0" fontId="55" applyFont="1" fillId="16" applyFill="1" borderId="0" xfId="0" applyProtection="1" applyAlignment="1">
      <alignment vertical="center"/>
    </xf>
    <xf numFmtId="0" fontId="56" applyFont="1" fillId="16" applyFill="1" borderId="0" xfId="0" applyProtection="1" applyAlignment="1">
      <alignment vertical="center"/>
    </xf>
    <xf numFmtId="0" fontId="57" applyFont="1" fillId="16" applyFill="1" borderId="0" xfId="0" applyProtection="1" applyAlignment="1">
      <alignment vertical="center"/>
    </xf>
    <xf numFmtId="3" applyNumberFormat="1" fontId="58" applyFont="1" fillId="16" applyFill="1" borderId="0" xfId="0" applyProtection="1" applyAlignment="1">
      <alignment vertical="center"/>
    </xf>
    <xf numFmtId="3" applyNumberFormat="1" fontId="57" applyFont="1" fillId="16" applyFill="1" borderId="0" xfId="0" applyProtection="1" applyAlignment="1">
      <alignment vertical="center"/>
    </xf>
    <xf numFmtId="3" applyNumberFormat="1" fontId="56" applyFont="1" fillId="16" applyFill="1" borderId="23" applyBorder="1" xfId="0" applyProtection="1" applyAlignment="1">
      <alignment horizontal="center" vertical="center"/>
    </xf>
    <xf numFmtId="3" applyNumberFormat="1" fontId="57" applyFont="1" fillId="16" applyFill="1" borderId="0" xfId="0" applyProtection="1"/>
    <xf numFmtId="0" fontId="59" applyFont="1" fillId="16" applyFill="1" borderId="46" applyBorder="1" xfId="0" applyProtection="1" applyAlignment="1">
      <alignment vertical="center"/>
    </xf>
    <xf numFmtId="0" fontId="60" applyFont="1" fillId="16" applyFill="1" borderId="47" applyBorder="1" xfId="0" applyProtection="1" applyAlignment="1">
      <alignment horizontal="center" vertical="center"/>
    </xf>
    <xf numFmtId="0" fontId="0" fillId="17" applyFill="1" borderId="0" xfId="0" applyProtection="1"/>
    <xf numFmtId="0" fontId="61" applyFont="1" fillId="16" applyFill="1" borderId="48" applyBorder="1" xfId="0" applyProtection="1" applyAlignment="1">
      <alignment vertical="center"/>
    </xf>
    <xf numFmtId="0" fontId="60" applyFont="1" fillId="16" applyFill="1" borderId="49" applyBorder="1" xfId="0" applyProtection="1" applyAlignment="1">
      <alignment horizontal="center" vertical="center"/>
    </xf>
    <xf numFmtId="0" fontId="61" applyFont="1" fillId="16" applyFill="1" borderId="50" applyBorder="1" xfId="0" applyProtection="1" applyAlignment="1">
      <alignment vertical="center"/>
    </xf>
    <xf numFmtId="0" fontId="60" applyFont="1" fillId="16" applyFill="1" borderId="51" applyBorder="1" xfId="0" applyProtection="1" applyAlignment="1">
      <alignment horizontal="center" vertical="center"/>
    </xf>
    <xf numFmtId="0" fontId="59" applyFont="1" fillId="16" applyFill="1" borderId="52" applyBorder="1" xfId="0" applyProtection="1" applyAlignment="1">
      <alignment vertical="center"/>
    </xf>
    <xf numFmtId="0" fontId="61" applyFont="1" fillId="16" applyFill="1" borderId="52" applyBorder="1" xfId="0" applyProtection="1" applyAlignment="1">
      <alignment vertical="center"/>
    </xf>
    <xf numFmtId="0" fontId="62" applyFont="1" fillId="17" applyFill="1" borderId="0" xfId="0" applyProtection="1" applyAlignment="1">
      <alignment vertical="center"/>
    </xf>
    <xf numFmtId="0" fontId="63" applyFont="1" fillId="17" applyFill="1" borderId="0" xfId="0" applyProtection="1" applyAlignment="1">
      <alignment vertical="center"/>
    </xf>
    <xf numFmtId="0" fontId="61" applyFont="1" fillId="16" applyFill="1" borderId="45" applyBorder="1" xfId="0" applyProtection="1" applyAlignment="1">
      <alignment horizontal="center" vertical="center"/>
    </xf>
    <xf numFmtId="0" fontId="56" applyFont="1" fillId="15" applyFill="1" borderId="0" xfId="0" applyProtection="1" applyAlignment="1">
      <alignment vertical="center"/>
    </xf>
    <xf numFmtId="0" fontId="65" applyFont="1" fillId="16" applyFill="1" borderId="0" xfId="0" applyProtection="1" applyAlignment="1">
      <alignment vertical="center"/>
    </xf>
    <xf numFmtId="0" fontId="56" applyFont="1" fillId="16" applyFill="1" borderId="52" applyBorder="1" xfId="0" applyProtection="1" applyAlignment="1">
      <alignment vertical="center"/>
    </xf>
    <xf numFmtId="0" fontId="59" applyFont="1" fillId="16" applyFill="1" borderId="50" applyBorder="1" xfId="0" applyProtection="1" applyAlignment="1">
      <alignment vertical="center"/>
    </xf>
    <xf numFmtId="0" fontId="64" applyFont="1" fillId="16" applyFill="1" borderId="0" xfId="0" applyProtection="1"/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67" applyFont="1" fillId="16" applyFill="1" borderId="57" applyBorder="1" xfId="0" applyProtection="1" applyAlignment="1">
      <alignment horizontal="center" vertical="center"/>
    </xf>
    <xf numFmtId="164" applyNumberFormat="1" fontId="65" applyFont="1" fillId="16" applyFill="1" borderId="58" applyBorder="1" xfId="1" applyProtection="1" applyAlignment="1">
      <alignment horizontal="center" vertical="center"/>
    </xf>
    <xf numFmtId="0" fontId="68" applyFont="1" fillId="16" applyFill="1" borderId="55" applyBorder="1" xfId="0" applyProtection="1" applyAlignment="1">
      <alignment horizontal="center" vertical="center"/>
    </xf>
    <xf numFmtId="0" fontId="66" applyFont="1" fillId="16" applyFill="1" borderId="59" applyBorder="1" xfId="0" applyProtection="1" applyAlignment="1">
      <alignment horizontal="center" vertical="center"/>
    </xf>
    <xf numFmtId="0" fontId="66" applyFont="1" fillId="18" applyFill="1" borderId="60" applyBorder="1" xfId="0" applyProtection="1" applyAlignment="1">
      <alignment horizontal="center" vertical="center"/>
    </xf>
    <xf numFmtId="0" fontId="66" applyFont="1" fillId="18" applyFill="1" borderId="56" applyBorder="1" xfId="0" applyProtection="1" applyAlignment="1">
      <alignment horizontal="center" vertical="center"/>
    </xf>
    <xf numFmtId="0" fontId="69" applyFont="1" fillId="16" applyFill="1" borderId="0" xfId="0" applyProtection="1"/>
    <xf numFmtId="0" fontId="69" applyFont="1" fillId="16" applyFill="1" borderId="61" applyBorder="1" xfId="0" applyProtection="1"/>
    <xf numFmtId="0" fontId="69" applyFont="1" fillId="16" applyFill="1" borderId="56" applyBorder="1" xfId="0" applyProtection="1"/>
    <xf numFmtId="0" fontId="66" applyFont="1" fillId="16" applyFill="1" borderId="62" applyBorder="1" xfId="0" applyProtection="1" applyAlignment="1">
      <alignment horizontal="center" vertical="center"/>
    </xf>
    <xf numFmtId="0" fontId="66" applyFont="1" fillId="16" applyFill="1" borderId="57" applyBorder="1" xfId="0" applyProtection="1" applyAlignment="1">
      <alignment horizontal="center" vertical="center"/>
    </xf>
    <xf numFmtId="0" fontId="66" applyFont="1" fillId="16" applyFill="1" borderId="58" applyBorder="1" xfId="0" applyProtection="1" applyAlignment="1">
      <alignment horizontal="center" vertical="center"/>
    </xf>
    <xf numFmtId="0" fontId="0" fillId="13" applyFill="1" borderId="0" xfId="0" applyProtection="1"/>
    <xf numFmtId="0" fontId="70" applyFont="1" fillId="16" applyFill="1" borderId="56" applyBorder="1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56" applyFont="1" fillId="13" applyFill="1" borderId="0" xfId="0" applyProtection="1" applyAlignment="1">
      <alignment vertical="center"/>
    </xf>
    <xf numFmtId="0" fontId="0" fillId="7" applyFill="1" borderId="0" xfId="0" applyProtection="1"/>
    <xf numFmtId="0" fontId="68" applyFont="1" fillId="16" applyFill="1" borderId="58" applyBorder="1" xfId="0" applyProtection="1" applyAlignment="1">
      <alignment horizontal="center" vertical="center"/>
    </xf>
    <xf numFmtId="0" fontId="71" applyFont="1" fillId="7" applyFill="1" borderId="45" applyBorder="1" xfId="0" applyProtection="1" applyAlignment="1">
      <alignment horizontal="center"/>
    </xf>
    <xf numFmtId="0" fontId="57" applyFont="1" fillId="16" applyFill="1" borderId="0" xfId="0" applyProtection="1"/>
    <xf numFmtId="3" applyNumberFormat="1" fontId="74" applyFont="1" fillId="16" applyFill="1" borderId="0" xfId="0" applyProtection="1"/>
    <xf numFmtId="0" fontId="72" applyFont="1" fillId="16" applyFill="1" borderId="0" xfId="0" applyProtection="1" applyAlignment="1">
      <alignment vertical="center"/>
    </xf>
    <xf numFmtId="0" fontId="66" applyFont="1" fillId="16" applyFill="1" borderId="54" applyBorder="1" xfId="0" applyProtection="1" applyAlignment="1">
      <alignment horizontal="center" vertical="center"/>
    </xf>
    <xf numFmtId="0" fontId="78" applyFont="1" fillId="16" applyFill="1" borderId="0" xfId="0" applyProtection="1"/>
    <xf numFmtId="0" fontId="79" applyFont="1" fillId="0" borderId="45" applyBorder="1" xfId="0" applyProtection="1" applyAlignment="1">
      <alignment horizontal="center" vertical="center"/>
    </xf>
    <xf numFmtId="0" fontId="80" applyFont="1" fillId="0" borderId="45" applyBorder="1" xfId="0" applyProtection="1" applyAlignment="1">
      <alignment horizontal="center" vertical="center" wrapText="1"/>
    </xf>
    <xf numFmtId="0" fontId="79" applyFont="1" fillId="0" borderId="31" applyBorder="1" xfId="0" applyProtection="1" applyAlignment="1">
      <alignment horizontal="center" vertical="center"/>
    </xf>
    <xf numFmtId="0" fontId="81" applyFont="1" fillId="0" borderId="41" applyBorder="1" xfId="0" applyProtection="1" applyAlignment="1">
      <alignment horizontal="center" vertical="center"/>
    </xf>
    <xf numFmtId="0" fontId="81" applyFont="1" fillId="0" borderId="63" applyBorder="1" xfId="0" applyProtection="1" applyAlignment="1">
      <alignment horizontal="center" vertical="center"/>
    </xf>
    <xf numFmtId="0" fontId="81" applyFont="1" fillId="0" borderId="64" applyBorder="1" xfId="0" applyProtection="1" applyAlignment="1">
      <alignment horizontal="center" vertical="center"/>
    </xf>
    <xf numFmtId="0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vertical="center"/>
    </xf>
    <xf numFmtId="1" applyNumberFormat="1" fontId="55" applyFont="1" fillId="16" applyFill="1" borderId="48" applyBorder="1" xfId="0" applyProtection="1" applyAlignment="1">
      <alignment horizontal="center" vertical="center"/>
    </xf>
    <xf numFmtId="0" fontId="0" fillId="8" applyFill="1" borderId="0" xfId="0" applyProtection="1"/>
    <xf numFmtId="0" fontId="62" applyFont="1" fillId="8" applyFill="1" borderId="0" xfId="0" applyProtection="1" applyAlignment="1">
      <alignment vertical="center"/>
    </xf>
    <xf numFmtId="0" fontId="86" applyFont="1" fillId="7" applyFill="1" borderId="45" applyBorder="1" xfId="0" applyProtection="1" applyAlignment="1">
      <alignment horizontal="center" vertical="center"/>
    </xf>
    <xf numFmtId="0" fontId="56" applyFont="1" fillId="8" applyFill="1" borderId="0" xfId="0" applyProtection="1" applyAlignment="1">
      <alignment vertical="center"/>
    </xf>
    <xf numFmtId="0" fontId="55" applyFont="1" fillId="0" borderId="0" xfId="0" applyProtection="1" applyAlignment="1">
      <alignment vertical="center"/>
    </xf>
    <xf numFmtId="3" applyNumberFormat="1" fontId="57" applyFont="1" fillId="0" borderId="0" xfId="0" applyProtection="1" applyAlignment="1">
      <alignment vertical="center"/>
    </xf>
    <xf numFmtId="3" applyNumberFormat="1" fontId="57" applyFont="1" fillId="0" borderId="0" xfId="0" applyProtection="1"/>
    <xf numFmtId="0" fontId="62" applyFont="1" fillId="0" borderId="0" xfId="0" applyProtection="1" applyAlignment="1">
      <alignment vertical="center"/>
    </xf>
    <xf numFmtId="0" fontId="60" applyFont="1" fillId="16" applyFill="1" borderId="69" applyBorder="1" xfId="0" applyProtection="1" applyAlignment="1">
      <alignment horizontal="center" vertical="center"/>
    </xf>
    <xf numFmtId="0" fontId="86" applyFont="1" fillId="0" borderId="0" xfId="0" applyProtection="1" applyAlignment="1">
      <alignment horizontal="center" vertical="center"/>
    </xf>
    <xf numFmtId="0" fontId="56" applyFont="1" fillId="0" borderId="0" xfId="0" applyProtection="1" applyAlignment="1">
      <alignment vertical="center"/>
    </xf>
    <xf numFmtId="0" fontId="61" applyFont="1" fillId="0" borderId="0" xfId="0" applyProtection="1" applyAlignment="1">
      <alignment horizontal="center" vertical="center"/>
    </xf>
    <xf numFmtId="1" applyNumberFormat="1" fontId="55" applyFont="1" fillId="16" applyFill="1" borderId="56" applyBorder="1" xfId="0" applyProtection="1" applyAlignment="1">
      <alignment vertical="center"/>
    </xf>
    <xf numFmtId="0" fontId="55" applyFont="1" fillId="16" applyFill="1" borderId="56" applyBorder="1" xfId="0" applyProtection="1" applyAlignment="1">
      <alignment vertical="center"/>
    </xf>
    <xf numFmtId="0" fontId="56" applyFont="1" fillId="16" applyFill="1" borderId="56" applyBorder="1" xfId="0" applyProtection="1" applyAlignment="1">
      <alignment vertical="center"/>
    </xf>
    <xf numFmtId="0" fontId="70" applyFont="1" fillId="16" applyFill="1" borderId="56" applyBorder="1" xfId="0" applyProtection="1" applyAlignment="1">
      <alignment vertical="center"/>
    </xf>
    <xf numFmtId="0" fontId="63" applyFont="1" fillId="8" applyFill="1" borderId="0" xfId="0" applyProtection="1" applyAlignment="1">
      <alignment vertical="center"/>
    </xf>
    <xf numFmtId="0" fontId="59" applyFont="1" fillId="16" applyFill="1" borderId="56" applyBorder="1" xfId="0" applyProtection="1" applyAlignment="1">
      <alignment vertical="center"/>
    </xf>
    <xf numFmtId="0" fontId="88" applyFont="1" fillId="0" borderId="45" applyBorder="1" xfId="0" applyProtection="1" applyAlignment="1">
      <alignment horizontal="center" vertical="center"/>
    </xf>
    <xf numFmtId="0" fontId="63" applyFont="1" fillId="0" borderId="0" xfId="0" applyProtection="1" applyAlignment="1">
      <alignment vertical="center"/>
    </xf>
    <xf numFmtId="1" applyNumberFormat="1" fontId="55" applyFont="1" fillId="16" applyFill="1" borderId="56" applyBorder="1" xfId="0" applyProtection="1" applyAlignment="1">
      <alignment horizontal="center" vertical="center"/>
    </xf>
    <xf numFmtId="0" fontId="64" applyFont="1" fillId="16" applyFill="1" borderId="56" applyBorder="1" xfId="0" applyProtection="1"/>
    <xf numFmtId="0" fontId="61" applyFont="1" fillId="16" applyFill="1" borderId="31" applyBorder="1" xfId="0" applyProtection="1" applyAlignment="1">
      <alignment horizontal="center" vertical="center"/>
    </xf>
    <xf numFmtId="0" fontId="53" applyFont="1" fillId="16" applyFill="1" borderId="0" xfId="0" applyProtection="1"/>
    <xf numFmtId="0" fontId="0" fillId="19" applyFill="1" borderId="0" xfId="0" applyProtection="1"/>
    <xf numFmtId="0" fontId="0" fillId="0" borderId="24" applyBorder="1" xfId="0" applyProtection="1" applyAlignment="1">
      <alignment vertical="center"/>
    </xf>
    <xf numFmtId="0" fontId="0" fillId="0" borderId="20" applyBorder="1" xfId="0" applyProtection="1" applyAlignment="1">
      <alignment horizontal="center" vertical="center"/>
    </xf>
    <xf numFmtId="0" fontId="90" applyFont="1" fillId="0" borderId="21" applyBorder="1" xfId="0" applyProtection="1" applyAlignment="1">
      <alignment horizontal="center"/>
    </xf>
    <xf numFmtId="0" fontId="90" applyFont="1" fillId="0" borderId="22" applyBorder="1" xfId="0" applyProtection="1" applyAlignment="1">
      <alignment horizontal="center"/>
    </xf>
    <xf numFmtId="0" fontId="0" fillId="0" borderId="23" applyBorder="1" xfId="0" applyProtection="1" applyAlignment="1">
      <alignment horizontal="center"/>
    </xf>
    <xf numFmtId="0" fontId="90" applyFont="1" fillId="0" borderId="0" xfId="0" applyProtection="1" applyAlignment="1">
      <alignment horizontal="center"/>
    </xf>
    <xf numFmtId="0" fontId="90" applyFont="1" fillId="0" borderId="24" applyBorder="1" xfId="0" applyProtection="1" applyAlignment="1">
      <alignment horizontal="center"/>
    </xf>
    <xf numFmtId="0" fontId="90" applyFont="1" fillId="0" borderId="25" applyBorder="1" xfId="0" applyProtection="1" applyAlignment="1">
      <alignment horizontal="center"/>
    </xf>
    <xf numFmtId="0" fontId="90" applyFont="1" fillId="0" borderId="26" applyBorder="1" xfId="0" applyProtection="1" applyAlignment="1">
      <alignment horizontal="center"/>
    </xf>
    <xf numFmtId="0" fontId="90" applyFont="1" fillId="0" borderId="27" applyBorder="1" xfId="0" applyProtection="1" applyAlignment="1">
      <alignment horizontal="center"/>
    </xf>
    <xf numFmtId="0" fontId="0" fillId="0" borderId="25" applyBorder="1" xfId="0" applyProtection="1" applyAlignment="1">
      <alignment horizontal="center"/>
    </xf>
    <xf numFmtId="0" fontId="0" fillId="0" borderId="26" applyBorder="1" xfId="0" applyProtection="1" applyAlignment="1">
      <alignment horizontal="center"/>
    </xf>
    <xf numFmtId="0" fontId="0" fillId="0" borderId="22" applyBorder="1" xfId="0" applyProtection="1" applyAlignment="1">
      <alignment horizontal="center" vertical="center"/>
    </xf>
    <xf numFmtId="0" fontId="0" fillId="0" borderId="24" applyBorder="1" xfId="0" applyProtection="1" applyAlignment="1">
      <alignment horizontal="center"/>
    </xf>
    <xf numFmtId="1" applyNumberFormat="1" fontId="0" fillId="0" borderId="0" xfId="0" applyProtection="1" applyAlignment="1">
      <alignment horizontal="center"/>
    </xf>
    <xf numFmtId="0" fontId="0" fillId="0" borderId="27" applyBorder="1" xfId="0" applyProtection="1" applyAlignment="1">
      <alignment horizontal="center"/>
    </xf>
    <xf numFmtId="0" fontId="93" applyFont="1" fillId="0" borderId="0" xfId="0" applyProtection="1" applyAlignment="1">
      <alignment horizontal="center"/>
    </xf>
    <xf numFmtId="0" fontId="93" applyFont="1" fillId="0" borderId="0" xfId="0" applyProtection="1" applyAlignment="1">
      <alignment horizontal="center"/>
      <protection locked="0"/>
    </xf>
    <xf numFmtId="0" fontId="93" applyFont="1" fillId="0" borderId="0" xfId="0" applyProtection="1" applyAlignment="1">
      <alignment horizontal="center" vertical="center" shrinkToFit="1"/>
    </xf>
    <xf numFmtId="0" fontId="93" applyFont="1" fillId="0" borderId="0" xfId="0" applyProtection="1" applyAlignment="1">
      <alignment horizontal="center" shrinkToFit="1"/>
    </xf>
    <xf numFmtId="0" fontId="95" applyFont="1" fillId="0" borderId="0" xfId="0" applyProtection="1" applyAlignment="1">
      <alignment horizontal="center"/>
    </xf>
    <xf numFmtId="2" applyNumberFormat="1" fontId="93" applyFont="1" fillId="12" applyFill="1" borderId="0" xfId="0" applyProtection="1" applyAlignment="1">
      <alignment horizontal="center"/>
    </xf>
    <xf numFmtId="9" applyNumberFormat="1" fontId="94" applyFont="1" fillId="0" borderId="0" xfId="0" applyProtection="1" applyAlignment="1">
      <alignment horizontal="center"/>
    </xf>
    <xf numFmtId="0" fontId="59" applyFont="1" fillId="16" applyFill="1" borderId="0" xfId="0" applyProtection="1" applyAlignment="1">
      <alignment vertical="center"/>
    </xf>
    <xf numFmtId="0" fontId="61" applyFont="1" fillId="16" applyFill="1" borderId="0" xfId="0" applyProtection="1" applyAlignment="1">
      <alignment vertical="center"/>
    </xf>
    <xf numFmtId="0" fontId="56" applyFont="1" fillId="16" applyFill="1" borderId="22" applyBorder="1" xfId="0" applyProtection="1" applyAlignment="1">
      <alignment horizontal="center" vertical="center"/>
    </xf>
    <xf numFmtId="0" fontId="59" applyFont="1" fillId="16" applyFill="1" borderId="55" applyBorder="1" xfId="0" applyProtection="1" applyAlignment="1">
      <alignment vertical="center"/>
    </xf>
    <xf numFmtId="0" fontId="96" applyFont="1" fillId="16" applyFill="1" borderId="56" applyBorder="1" xfId="0" applyProtection="1" applyAlignment="1">
      <alignment vertical="center"/>
    </xf>
    <xf numFmtId="0" fontId="60" applyFont="1" fillId="16" applyFill="1" borderId="56" applyBorder="1" xfId="0" applyProtection="1" applyAlignment="1">
      <alignment horizontal="center" vertical="center"/>
    </xf>
    <xf numFmtId="0" fontId="60" applyFont="1" fillId="16" applyFill="1" borderId="59" applyBorder="1" xfId="0" applyProtection="1" applyAlignment="1">
      <alignment horizontal="center" vertical="center"/>
    </xf>
    <xf numFmtId="0" fontId="64" applyFont="1" fillId="16" applyFill="1" borderId="59" applyBorder="1" xfId="0" applyProtection="1"/>
    <xf numFmtId="0" fontId="64" applyFont="1" fillId="16" applyFill="1" borderId="58" applyBorder="1" xfId="0" applyProtection="1"/>
    <xf numFmtId="0" fontId="96" applyFont="1" fillId="16" applyFill="1" borderId="71" applyBorder="1" xfId="0" applyProtection="1" applyAlignment="1">
      <alignment vertical="center"/>
    </xf>
    <xf numFmtId="0" fontId="96" applyFont="1" fillId="16" applyFill="1" borderId="69" applyBorder="1" xfId="0" applyProtection="1" applyAlignment="1">
      <alignment vertical="center"/>
    </xf>
    <xf numFmtId="166" applyNumberFormat="1" fontId="36" applyFont="1" fillId="0" borderId="0" xfId="0" applyProtection="1" applyAlignment="1">
      <alignment horizontal="center"/>
    </xf>
    <xf numFmtId="1" applyNumberFormat="1" fontId="36" applyFont="1" fillId="0" borderId="0" xfId="0" applyProtection="1" applyAlignment="1">
      <alignment horizontal="center"/>
    </xf>
    <xf numFmtId="0" fontId="3" applyFont="1" fillId="0" borderId="0" xfId="3" applyProtection="1" applyAlignment="1">
      <alignment horizontal="center" vertical="center"/>
    </xf>
    <xf numFmtId="0" fontId="73" applyFont="1" fillId="16" applyFill="1" borderId="0" xfId="0" applyProtection="1" applyAlignment="1">
      <alignment vertical="center"/>
    </xf>
    <xf numFmtId="0" fontId="97" applyFont="1" fillId="16" applyFill="1" borderId="49" applyBorder="1" xfId="0" applyProtection="1" applyAlignment="1">
      <alignment horizontal="center" vertical="center"/>
    </xf>
    <xf numFmtId="1" applyNumberFormat="1" fontId="98" applyFont="1" fillId="16" applyFill="1" borderId="56" applyBorder="1" xfId="0" applyProtection="1" applyAlignment="1">
      <alignment horizontal="center" vertical="center"/>
    </xf>
    <xf numFmtId="0" fontId="100" applyFont="1" fillId="8" applyFill="1" borderId="23" applyBorder="1" xfId="3" applyProtection="1" applyAlignment="1">
      <alignment horizontal="center" vertical="center"/>
    </xf>
    <xf numFmtId="168" applyNumberFormat="1" fontId="101" applyFont="1" fillId="8" applyFill="1" borderId="0" xfId="3" applyProtection="1" applyAlignment="1">
      <alignment horizontal="center" vertical="center"/>
    </xf>
    <xf numFmtId="0" fontId="100" applyFont="1" fillId="20" applyFill="1" borderId="0" xfId="3" applyProtection="1" applyAlignment="1">
      <alignment horizontal="center" vertical="center"/>
    </xf>
    <xf numFmtId="3" applyNumberFormat="1" fontId="100" applyFont="1" fillId="2" applyFill="1" borderId="0" xfId="3" applyProtection="1" applyAlignment="1">
      <alignment horizontal="center" vertical="center"/>
    </xf>
    <xf numFmtId="0" fontId="102" applyFont="1" fillId="0" borderId="0" xfId="3" applyProtection="1" applyAlignment="1">
      <alignment horizontal="center" vertical="center"/>
    </xf>
    <xf numFmtId="0" fontId="103" applyFont="1" fillId="0" borderId="23" applyBorder="1" xfId="0" applyProtection="1" applyAlignment="1">
      <alignment horizontal="center" vertical="center"/>
    </xf>
    <xf numFmtId="0" fontId="103" applyFont="1" fillId="0" borderId="0" xfId="0" applyProtection="1" applyAlignment="1">
      <alignment horizontal="center" vertical="center"/>
    </xf>
    <xf numFmtId="0" fontId="99" applyFont="1" fillId="0" borderId="28" applyBorder="1" xfId="3" applyProtection="1" applyAlignment="1">
      <alignment horizontal="center" vertical="center"/>
    </xf>
    <xf numFmtId="3" applyNumberFormat="1" fontId="103" applyFont="1" fillId="0" borderId="0" xfId="0" applyProtection="1" applyAlignment="1">
      <alignment horizontal="center" vertical="center"/>
    </xf>
    <xf numFmtId="168" applyNumberFormat="1" fontId="103" applyFont="1" fillId="0" borderId="0" xfId="0" applyProtection="1" applyAlignment="1">
      <alignment horizontal="center" vertical="center"/>
    </xf>
    <xf numFmtId="0" fontId="3" applyFont="1" fillId="0" borderId="28" applyBorder="1" xfId="3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/>
    </xf>
    <xf numFmtId="0" fontId="99" applyFont="1" fillId="0" borderId="0" xfId="3" applyProtection="1" applyAlignment="1">
      <alignment horizontal="center" vertical="center"/>
    </xf>
    <xf numFmtId="2" applyNumberFormat="1" fontId="3" applyFont="1" fillId="0" borderId="0" xfId="3" applyProtection="1" applyAlignment="1">
      <alignment horizontal="center" vertical="center"/>
    </xf>
    <xf numFmtId="0" fontId="2" applyFont="1" fillId="0" borderId="0" xfId="0" applyProtection="1" applyAlignment="1">
      <alignment horizontal="center"/>
    </xf>
    <xf numFmtId="0" fontId="7" applyFont="1" fillId="0" borderId="0" xfId="0" applyAlignment="1">
      <alignment horizontal="center" vertical="center"/>
      <protection hidden="1"/>
    </xf>
    <xf numFmtId="0" fontId="7" applyFont="1" fillId="0" borderId="23" applyBorder="1" xfId="0" applyAlignment="1">
      <alignment horizontal="center" vertical="center"/>
      <protection hidden="1"/>
    </xf>
    <xf numFmtId="4" applyNumberFormat="1" fontId="105" applyFont="1" fillId="0" borderId="0" xfId="3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shrinkToFit="1"/>
    </xf>
    <xf numFmtId="0" fontId="106" applyFont="1" fillId="0" borderId="0" xfId="3" applyProtection="1" applyAlignment="1">
      <alignment horizontal="center"/>
      <protection locked="0"/>
    </xf>
    <xf numFmtId="0" fontId="106" applyFont="1" fillId="0" borderId="0" xfId="3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/>
    </xf>
    <xf numFmtId="0" fontId="107" applyFont="1" fillId="0" borderId="0" xfId="0" applyProtection="1" applyAlignment="1">
      <alignment horizontal="center"/>
      <protection locked="0"/>
    </xf>
    <xf numFmtId="0" fontId="107" applyFont="1" fillId="0" borderId="0" xfId="0" applyProtection="1" applyAlignment="1">
      <alignment horizontal="center" vertical="center" shrinkToFit="1"/>
    </xf>
    <xf numFmtId="0" fontId="107" applyFont="1" fillId="0" borderId="0" xfId="0" applyProtection="1" applyAlignment="1">
      <alignment horizontal="center" shrinkToFit="1"/>
    </xf>
    <xf numFmtId="0" fontId="108" applyFont="1" fillId="0" borderId="0" xfId="0" applyProtection="1" applyAlignment="1">
      <alignment horizontal="center"/>
    </xf>
    <xf numFmtId="2" applyNumberFormat="1" fontId="107" applyFont="1" fillId="12" applyFill="1" borderId="0" xfId="0" applyProtection="1" applyAlignment="1">
      <alignment horizontal="center"/>
    </xf>
    <xf numFmtId="9" applyNumberFormat="1" fontId="109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vertical="center" shrinkToFit="1"/>
    </xf>
    <xf numFmtId="0" fontId="106" applyFont="1" fillId="0" borderId="0" xfId="0" applyProtection="1" applyAlignment="1">
      <alignment horizontal="center" vertical="center"/>
    </xf>
    <xf numFmtId="0" fontId="106" applyFont="1" fillId="0" borderId="0" xfId="3" applyProtection="1" applyAlignment="1">
      <alignment horizontal="center"/>
    </xf>
    <xf numFmtId="0" fontId="106" applyFont="1" fillId="0" borderId="0" xfId="0" applyProtection="1" applyAlignment="1">
      <alignment horizontal="center"/>
      <protection locked="0"/>
    </xf>
    <xf numFmtId="4" applyNumberFormat="1" fontId="23" applyFont="1" fillId="13" applyFill="1" borderId="0" xfId="0" applyProtection="1" applyAlignment="1">
      <alignment horizontal="center"/>
    </xf>
    <xf numFmtId="0" fontId="109" applyFont="1" fillId="0" borderId="0" xfId="0" applyProtection="1" applyAlignment="1">
      <alignment horizontal="center"/>
    </xf>
    <xf numFmtId="0" fontId="34" applyFont="1" fillId="0" borderId="21" applyBorder="1" xfId="0" applyProtection="1" applyAlignment="1">
      <alignment horizontal="center"/>
    </xf>
    <xf numFmtId="0" fontId="34" applyFont="1" fillId="0" borderId="0" xfId="0" applyProtection="1" applyAlignment="1">
      <alignment horizontal="center"/>
    </xf>
    <xf numFmtId="0" fontId="7" applyFont="1" fillId="0" borderId="0" xfId="0">
      <protection hidden="1"/>
    </xf>
    <xf numFmtId="0" fontId="0" fillId="8" applyFill="1" borderId="0" xfId="0" applyAlignment="1">
      <alignment horizontal="center" vertical="center"/>
      <protection hidden="1"/>
    </xf>
    <xf numFmtId="1" applyNumberFormat="1" fontId="0" fillId="8" applyFill="1" borderId="0" xfId="0" applyAlignment="1">
      <alignment horizontal="center" vertical="center"/>
      <protection hidden="1"/>
    </xf>
    <xf numFmtId="0" fontId="23" applyFont="1" fillId="0" borderId="0" xfId="0" applyProtection="1" applyAlignment="1">
      <alignment horizontal="center"/>
      <protection locked="0"/>
    </xf>
    <xf numFmtId="0" fontId="23" applyFont="1" fillId="0" borderId="0" xfId="0" applyProtection="1" applyAlignment="1">
      <alignment horizontal="center"/>
    </xf>
    <xf numFmtId="0" fontId="23" applyFont="1" fillId="0" borderId="0" xfId="0" applyProtection="1" applyAlignment="1">
      <alignment horizontal="center" shrinkToFit="1"/>
    </xf>
    <xf numFmtId="0" fontId="7" applyFont="1" fillId="0" borderId="0" xfId="0" applyProtection="1" applyAlignment="1">
      <alignment horizontal="center"/>
    </xf>
    <xf numFmtId="2" applyNumberFormat="1" fontId="23" applyFont="1" fillId="12" applyFill="1" borderId="0" xfId="0" applyProtection="1" applyAlignment="1">
      <alignment horizontal="center"/>
    </xf>
    <xf numFmtId="9" applyNumberFormat="1" fontId="7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/>
    </xf>
    <xf numFmtId="0" fontId="106" applyFont="1" fillId="0" borderId="0" xfId="0" applyProtection="1" applyAlignment="1">
      <alignment horizontal="center" shrinkToFit="1"/>
    </xf>
    <xf numFmtId="4" applyNumberFormat="1" fontId="106" applyFont="1" fillId="0" borderId="0" xfId="0" applyProtection="1" applyAlignment="1">
      <alignment horizontal="center"/>
    </xf>
    <xf numFmtId="4" applyNumberFormat="1" fontId="110" applyFont="1" fillId="0" borderId="0" xfId="0" applyProtection="1" applyAlignment="1">
      <alignment horizontal="center" shrinkToFit="1"/>
    </xf>
    <xf numFmtId="2" applyNumberFormat="1" fontId="106" applyFont="1" fillId="12" applyFill="1" borderId="0" xfId="0" applyProtection="1" applyAlignment="1">
      <alignment horizontal="center"/>
    </xf>
    <xf numFmtId="0" fontId="34" applyFont="1" fillId="0" borderId="20" applyBorder="1" xfId="0" applyProtection="1" applyAlignment="1">
      <alignment horizontal="center"/>
    </xf>
    <xf numFmtId="0" fontId="34" applyFont="1" fillId="0" borderId="23" applyBorder="1" xfId="0" applyProtection="1" applyAlignment="1">
      <alignment horizontal="center"/>
    </xf>
    <xf numFmtId="0" fontId="69" applyFont="1" fillId="16" applyFill="1" borderId="56" applyBorder="1" xfId="0" applyProtection="1" applyAlignment="1">
      <alignment horizontal="center"/>
    </xf>
    <xf numFmtId="0" fontId="44" applyFont="1" fillId="2" applyFill="1" borderId="0" xfId="0" applyProtection="1" applyAlignment="1">
      <alignment horizontal="center"/>
      <protection locked="0"/>
    </xf>
    <xf numFmtId="0" fontId="45" applyFont="1" fillId="2" applyFill="1" borderId="0" xfId="0" applyProtection="1" applyAlignment="1">
      <alignment horizontal="center"/>
      <protection locked="0"/>
    </xf>
    <xf numFmtId="2" applyNumberFormat="1" fontId="7" applyFont="1" fillId="0" borderId="28" applyBorder="1" xfId="3" applyProtection="1" applyAlignment="1">
      <alignment horizontal="center" vertical="center"/>
    </xf>
    <xf numFmtId="3" applyNumberFormat="1" fontId="7" applyFont="1" fillId="0" borderId="28" applyBorder="1" xfId="3" applyProtection="1" applyAlignment="1">
      <alignment horizontal="center" vertical="center"/>
    </xf>
    <xf numFmtId="0" fontId="17" applyFont="1" fillId="8" applyFill="1" borderId="14" applyBorder="1" xfId="3" applyProtection="1" applyAlignment="1">
      <alignment horizontal="center" vertical="center" shrinkToFit="1"/>
    </xf>
    <xf numFmtId="0" fontId="72" applyFont="1" fillId="16" applyFill="1" borderId="0" xfId="0" applyProtection="1" applyAlignment="1">
      <alignment vertical="top"/>
    </xf>
    <xf numFmtId="0" fontId="23" applyFont="1" fillId="0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/>
    </xf>
    <xf numFmtId="0" fontId="23" applyFont="1" fillId="0" borderId="0" xfId="0" applyProtection="1" applyAlignment="1">
      <alignment horizontal="center" vertical="center" wrapText="1"/>
    </xf>
    <xf numFmtId="0" fontId="23" applyFont="1" fillId="8" applyFill="1" borderId="0" xfId="0" applyProtection="1" applyAlignment="1">
      <alignment horizontal="center" vertical="center"/>
    </xf>
    <xf numFmtId="0" fontId="40" applyFont="1" fillId="0" borderId="0" xfId="0" applyProtection="1" applyAlignment="1">
      <alignment horizontal="center" vertical="center" wrapText="1"/>
    </xf>
    <xf numFmtId="0" fontId="35" applyFont="1" fillId="0" borderId="0" xfId="0" applyProtection="1" applyAlignment="1">
      <alignment horizontal="center" vertical="center" wrapText="1"/>
    </xf>
    <xf numFmtId="0" fontId="7" applyFont="1" fillId="0" borderId="0" xfId="0" applyProtection="1" applyAlignment="1">
      <alignment horizontal="center" vertical="center"/>
    </xf>
    <xf numFmtId="165" applyNumberFormat="1" fontId="111" applyFont="1" fillId="21" applyFill="1" borderId="0" xfId="0" applyProtection="1" applyAlignment="1">
      <alignment horizontal="center" vertical="center"/>
    </xf>
    <xf numFmtId="0" fontId="112" applyFont="1" fillId="4" applyFill="1" borderId="0" xfId="0" applyProtection="1" applyAlignment="1">
      <alignment horizontal="center" vertical="center"/>
    </xf>
    <xf numFmtId="0" fontId="113" applyFont="1" fillId="2" applyFill="1" borderId="0" xfId="0" applyProtection="1" applyAlignment="1">
      <alignment horizontal="center" vertical="center"/>
    </xf>
    <xf numFmtId="0" fontId="0" fillId="2" applyFill="1" borderId="0" xfId="0" applyProtection="1"/>
    <xf numFmtId="0" fontId="0" fillId="2" applyFill="1" borderId="0" xfId="0" applyProtection="1" applyAlignment="1">
      <alignment horizontal="center"/>
    </xf>
    <xf numFmtId="3" applyNumberFormat="1" fontId="74" applyFont="1" fillId="2" applyFill="1" borderId="0" xfId="0" applyProtection="1"/>
    <xf numFmtId="0" fontId="115" applyFont="1" fillId="3" applyFill="1" borderId="73" applyBorder="1" xfId="0" applyProtection="1" applyAlignment="1">
      <alignment horizontal="center" vertical="center"/>
    </xf>
    <xf numFmtId="0" fontId="63" applyFont="1" fillId="0" borderId="0" xfId="0" applyProtection="1" applyAlignment="1">
      <alignment horizontal="center" vertical="center"/>
    </xf>
    <xf numFmtId="0" fontId="63" applyFont="1" fillId="0" borderId="72" applyBorder="1" xfId="0" applyProtection="1" applyAlignment="1">
      <alignment horizontal="center" vertical="center"/>
    </xf>
    <xf numFmtId="0" fontId="115" applyFont="1" fillId="0" borderId="66" applyBorder="1" xfId="0" applyProtection="1" applyAlignment="1">
      <alignment vertical="center"/>
    </xf>
    <xf numFmtId="0" fontId="33" applyFont="1" fillId="0" borderId="0" xfId="0" applyProtection="1" applyAlignment="1">
      <alignment vertical="center"/>
    </xf>
    <xf numFmtId="0" fontId="33" applyFont="1" fillId="0" borderId="0" xfId="0" applyProtection="1" applyAlignment="1">
      <alignment horizontal="center" vertical="center"/>
    </xf>
    <xf numFmtId="0" fontId="33" applyFont="1" fillId="0" borderId="0" xfId="0" applyProtection="1" applyAlignment="1">
      <alignment horizontal="center" vertical="center" wrapText="1"/>
    </xf>
    <xf numFmtId="0" fontId="40" applyFont="1" fillId="0" borderId="0" xfId="0" applyProtection="1" applyAlignment="1">
      <alignment horizontal="center" vertical="center" shrinkToFit="1"/>
    </xf>
    <xf numFmtId="0" fontId="116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/>
    </xf>
    <xf numFmtId="0" fontId="114" applyFont="1" fillId="0" borderId="0" xfId="0" applyProtection="1" applyAlignment="1">
      <alignment horizontal="center" vertical="center" shrinkToFit="1"/>
    </xf>
    <xf numFmtId="0" fontId="40" applyFont="1" fillId="0" borderId="7" applyBorder="1" xfId="0" applyProtection="1" applyAlignment="1">
      <alignment horizontal="center" vertical="center"/>
    </xf>
    <xf numFmtId="0" fontId="40" applyFont="1" fillId="0" borderId="13" applyBorder="1" xfId="0" applyProtection="1" applyAlignment="1">
      <alignment horizontal="center" vertical="center" shrinkToFit="1"/>
    </xf>
    <xf numFmtId="0" fontId="40" applyFont="1" fillId="0" borderId="74" applyBorder="1" xfId="0" applyProtection="1" applyAlignment="1">
      <alignment horizontal="center" vertical="center"/>
    </xf>
    <xf numFmtId="0" fontId="33" applyFont="1" fillId="0" borderId="75" applyBorder="1" xfId="0" applyProtection="1" applyAlignment="1">
      <alignment horizontal="center" vertical="center"/>
    </xf>
    <xf numFmtId="0" fontId="115" applyFont="1" fillId="0" borderId="73" applyBorder="1" xfId="0" applyProtection="1" applyAlignment="1">
      <alignment vertical="center"/>
    </xf>
    <xf numFmtId="0" fontId="117" applyFont="1" fillId="0" borderId="0" xfId="0" applyProtection="1"/>
    <xf numFmtId="0" fontId="3" applyFont="1" fillId="0" borderId="7" applyBorder="1" xfId="3" applyProtection="1" applyAlignment="1">
      <alignment horizontal="center" vertical="center"/>
    </xf>
    <xf numFmtId="0" fontId="34" applyFont="1" fillId="0" borderId="0" xfId="0" applyProtection="1" applyAlignment="1">
      <alignment horizontal="center" vertical="center"/>
    </xf>
    <xf numFmtId="1" applyNumberFormat="1" fontId="34" applyFont="1" fillId="0" borderId="0" xfId="0" applyProtection="1" applyAlignment="1">
      <alignment horizontal="center" vertical="center"/>
    </xf>
    <xf numFmtId="0" fontId="1" applyFont="1" fillId="0" borderId="0" xfId="0" applyProtection="1"/>
    <xf numFmtId="1" applyNumberFormat="1" fontId="0" fillId="0" borderId="0" xfId="0" applyProtection="1"/>
    <xf numFmtId="165" applyNumberFormat="1" fontId="0" fillId="0" borderId="0" xfId="0" applyProtection="1"/>
    <xf numFmtId="0" fontId="1" applyFont="1" fillId="0" borderId="0" xfId="0" applyProtection="1" applyAlignment="1">
      <alignment horizontal="center" vertical="center"/>
    </xf>
    <xf numFmtId="0" fontId="118" applyFont="1" fillId="0" borderId="0" xfId="0" applyProtection="1"/>
    <xf numFmtId="0" fontId="0" fillId="22" applyFill="1" borderId="0" xfId="0" applyProtection="1" applyAlignment="1">
      <alignment horizontal="center"/>
    </xf>
    <xf numFmtId="0" fontId="0" fillId="22" applyFill="1" borderId="0" xfId="0" applyProtection="1"/>
    <xf numFmtId="3" applyNumberFormat="1" fontId="74" applyFont="1" fillId="22" applyFill="1" borderId="0" xfId="0" applyProtection="1"/>
    <xf numFmtId="0" fontId="1" applyFont="1" fillId="0" borderId="0" xfId="0" applyProtection="1" applyAlignment="1">
      <alignment horizontal="center"/>
    </xf>
    <xf numFmtId="0" fontId="0" fillId="23" applyFill="1" borderId="0" xfId="0" applyProtection="1" applyAlignment="1">
      <alignment horizontal="center"/>
    </xf>
    <xf numFmtId="0" fontId="0" fillId="23" applyFill="1" borderId="0" xfId="0" applyProtection="1"/>
    <xf numFmtId="3" applyNumberFormat="1" fontId="74" applyFont="1" fillId="23" applyFill="1" borderId="0" xfId="0" applyProtection="1"/>
    <xf numFmtId="0" fontId="0" fillId="0" borderId="0" xfId="0" applyProtection="1" applyAlignment="1">
      <alignment horizontal="center" vertical="center" wrapText="1"/>
    </xf>
    <xf numFmtId="43" applyNumberFormat="1" fontId="0" fillId="0" borderId="0" xfId="1" applyProtection="1" applyAlignment="1">
      <alignment horizontal="center" vertical="center"/>
    </xf>
    <xf numFmtId="0" fontId="0" fillId="24" applyFill="1" borderId="0" xfId="0" applyProtection="1" applyAlignment="1">
      <alignment horizontal="center" vertical="center"/>
    </xf>
    <xf numFmtId="0" fontId="0" fillId="24" applyFill="1" borderId="0" xfId="0" applyProtection="1" applyAlignment="1">
      <alignment vertical="center"/>
    </xf>
    <xf numFmtId="165" applyNumberFormat="1" fontId="0" fillId="0" borderId="0" xfId="0" applyProtection="1" applyAlignment="1">
      <alignment horizontal="center" vertical="center"/>
    </xf>
    <xf numFmtId="43" applyNumberFormat="1" fontId="0" fillId="0" borderId="0" xfId="0" applyProtection="1" applyAlignment="1">
      <alignment horizontal="center" vertical="center"/>
    </xf>
    <xf numFmtId="0" fontId="41" applyFont="1" fillId="0" borderId="0" xfId="0" applyProtection="1" applyAlignment="1">
      <alignment horizontal="center" vertical="center" wrapText="1"/>
    </xf>
    <xf numFmtId="0" fontId="122" applyFont="1" fillId="0" borderId="0" xfId="3" applyProtection="1" applyAlignment="1">
      <alignment horizontal="center" vertical="center" wrapText="1"/>
    </xf>
    <xf numFmtId="171" applyNumberFormat="1" fontId="3" applyFont="1" fillId="0" borderId="28" applyBorder="1" xfId="3" applyProtection="1" applyAlignment="1">
      <alignment horizontal="center" vertical="center"/>
    </xf>
    <xf numFmtId="1" applyNumberFormat="1" fontId="0" fillId="0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8" applyFont="1" fillId="0" borderId="5" applyBorder="1" xfId="3" applyProtection="1" applyAlignment="1">
      <alignment horizontal="center" vertical="center"/>
    </xf>
    <xf numFmtId="1" applyNumberFormat="1" fontId="129" applyFont="1" fillId="0" borderId="28" applyBorder="1" xfId="3" applyProtection="1" applyAlignment="1">
      <alignment horizontal="center" vertical="center"/>
    </xf>
    <xf numFmtId="0" fontId="130" applyFont="1" fillId="0" borderId="28" applyBorder="1" xfId="3" applyProtection="1" applyAlignment="1">
      <alignment horizontal="center" vertical="center"/>
    </xf>
    <xf numFmtId="0" fontId="129" applyFont="1" fillId="0" borderId="28" applyBorder="1" xfId="3" applyProtection="1" applyAlignment="1">
      <alignment horizontal="center" vertical="center"/>
    </xf>
    <xf numFmtId="0" fontId="128" applyFont="1" fillId="0" borderId="10" applyBorder="1" xfId="3" applyProtection="1" applyAlignment="1">
      <alignment horizontal="center" vertical="center"/>
    </xf>
    <xf numFmtId="0" fontId="131" applyFont="1" fillId="0" borderId="28" applyBorder="1" xfId="3" applyProtection="1" applyAlignment="1">
      <alignment horizontal="center" vertical="center"/>
    </xf>
    <xf numFmtId="2" applyNumberFormat="1" fontId="132" applyFont="1" fillId="0" borderId="23" applyBorder="1" xfId="3" applyProtection="1" applyAlignment="1">
      <alignment horizontal="center" vertical="center" shrinkToFit="1"/>
    </xf>
    <xf numFmtId="0" fontId="133" applyFont="1" fillId="0" borderId="10" applyBorder="1" xfId="3" applyProtection="1" applyAlignment="1">
      <alignment horizontal="center" vertical="center"/>
    </xf>
    <xf numFmtId="0" fontId="134" applyFont="1" fillId="0" borderId="28" applyBorder="1" xfId="3" applyProtection="1" applyAlignment="1">
      <alignment horizontal="center" vertical="center"/>
    </xf>
    <xf numFmtId="0" fontId="131" applyFont="1" fillId="0" borderId="9" applyBorder="1" xfId="3" applyProtection="1" applyAlignment="1">
      <alignment horizontal="center" vertical="center"/>
    </xf>
    <xf numFmtId="2" applyNumberFormat="1" fontId="132" applyFont="1" fillId="0" borderId="0" xfId="3" applyProtection="1" applyAlignment="1">
      <alignment horizontal="center" vertical="center" shrinkToFit="1"/>
    </xf>
    <xf numFmtId="0" fontId="135" applyFont="1" fillId="0" borderId="0" xfId="3" applyProtection="1" applyAlignment="1">
      <alignment horizontal="center" vertical="center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4" applyNumberFormat="1" fontId="132" applyFont="1" fillId="0" borderId="0" xfId="3" applyProtection="1" applyAlignment="1">
      <alignment horizontal="center" vertical="center" shrinkToFit="1"/>
    </xf>
    <xf numFmtId="0" fontId="100" applyFont="1" fillId="0" borderId="0" xfId="3" applyProtection="1" applyAlignment="1">
      <alignment horizontal="center" vertical="center" wrapText="1"/>
    </xf>
    <xf numFmtId="0" fontId="131" applyFont="1" fillId="0" borderId="0" xfId="3" applyProtection="1" applyAlignment="1">
      <alignment horizontal="center" vertical="center" shrinkToFit="1"/>
    </xf>
    <xf numFmtId="0" fontId="132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 shrinkToFit="1"/>
    </xf>
    <xf numFmtId="165" applyNumberFormat="1" fontId="137" applyFont="1" fillId="0" borderId="0" xfId="3" applyProtection="1" applyAlignment="1">
      <alignment horizontal="center" vertical="center" shrinkToFit="1"/>
    </xf>
    <xf numFmtId="2" applyNumberFormat="1" fontId="100" applyFont="1" fillId="0" borderId="0" xfId="3" applyProtection="1" applyAlignment="1">
      <alignment horizontal="center" vertical="center"/>
    </xf>
    <xf numFmtId="3" applyNumberFormat="1" fontId="100" applyFont="1" fillId="0" borderId="0" xfId="3" applyProtection="1" applyAlignment="1">
      <alignment horizontal="center" vertical="center"/>
    </xf>
    <xf numFmtId="0" fontId="131" applyFont="1" fillId="0" borderId="0" xfId="0" applyProtection="1" applyAlignment="1">
      <alignment horizontal="center" vertical="center" shrinkToFit="1"/>
    </xf>
    <xf numFmtId="0" fontId="11" applyFont="1" fillId="0" borderId="0" xfId="0" applyProtection="1" applyAlignment="1">
      <alignment horizontal="center" vertical="center" shrinkToFit="1"/>
    </xf>
    <xf numFmtId="0" fontId="22" applyFont="1" fillId="0" borderId="0" xfId="0" applyProtection="1" applyAlignment="1">
      <alignment horizontal="center" vertical="center" shrinkToFit="1"/>
    </xf>
    <xf numFmtId="3" applyNumberFormat="1" fontId="7" applyFont="1" fillId="0" borderId="0" xfId="0" applyProtection="1" applyAlignment="1">
      <alignment horizontal="center" vertical="center"/>
    </xf>
    <xf numFmtId="0" fontId="138" applyFont="1" fillId="0" borderId="0" xfId="3" applyProtection="1" applyAlignment="1">
      <alignment horizontal="center" vertical="center"/>
    </xf>
    <xf numFmtId="0" fontId="134" applyFont="1" fillId="0" borderId="77" applyBorder="1" xfId="3" applyProtection="1" applyAlignment="1">
      <alignment horizontal="center" vertical="center"/>
    </xf>
    <xf numFmtId="0" fontId="134" applyFont="1" fillId="0" borderId="0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39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0" fontId="134" applyFont="1" fillId="0" borderId="0" xfId="0" applyProtection="1" applyAlignment="1">
      <alignment horizontal="center" vertical="center" shrinkToFit="1"/>
    </xf>
    <xf numFmtId="0" fontId="3" applyFont="1" fillId="0" borderId="3" applyBorder="1" xfId="3" applyProtection="1" applyAlignment="1">
      <alignment horizontal="center" vertical="center"/>
    </xf>
    <xf numFmtId="0" fontId="100" applyFont="1" fillId="0" borderId="28" applyBorder="1" xfId="3" applyProtection="1" applyAlignment="1">
      <alignment horizontal="center" vertical="center"/>
    </xf>
    <xf numFmtId="0" fontId="102" applyFont="1" fillId="0" borderId="10" applyBorder="1" xfId="3" applyProtection="1" applyAlignment="1">
      <alignment horizontal="center" vertical="center"/>
    </xf>
    <xf numFmtId="2" applyNumberFormat="1" fontId="102" applyFont="1" fillId="0" borderId="10" applyBorder="1" xfId="3" applyProtection="1" applyAlignment="1">
      <alignment horizontal="center" vertical="center"/>
    </xf>
    <xf numFmtId="0" fontId="143" applyFont="1" fillId="0" borderId="10" applyBorder="1" xfId="3" applyProtection="1" applyAlignment="1">
      <alignment horizontal="center" vertical="center"/>
    </xf>
    <xf numFmtId="0" fontId="143" applyFont="1" fillId="0" borderId="11" applyBorder="1" xfId="3" applyProtection="1" applyAlignment="1">
      <alignment horizontal="center" vertical="center"/>
    </xf>
    <xf numFmtId="0" fontId="143" applyFont="1" fillId="0" borderId="0" xfId="3" applyProtection="1" applyAlignment="1">
      <alignment horizontal="center" vertical="center"/>
    </xf>
    <xf numFmtId="0" fontId="102" applyFont="1" fillId="0" borderId="28" applyBorder="1" xfId="3" applyProtection="1" applyAlignment="1">
      <alignment horizontal="center" vertical="center"/>
    </xf>
    <xf numFmtId="0" fontId="102" applyFont="1" fillId="0" borderId="3" applyBorder="1" xfId="3" applyProtection="1" applyAlignment="1">
      <alignment horizontal="center" vertical="center"/>
    </xf>
    <xf numFmtId="0" fontId="102" applyFont="1" fillId="0" borderId="1" applyBorder="1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3" applyFont="1" fillId="25" applyFill="1" borderId="0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5" applyBorder="1" xfId="3" applyProtection="1" applyAlignment="1">
      <alignment horizontal="center" vertical="center"/>
    </xf>
    <xf numFmtId="3" applyNumberFormat="1" fontId="135" applyFont="1" fillId="25" applyFill="1" borderId="14" applyBorder="1" xfId="3" applyProtection="1" applyAlignment="1">
      <alignment horizontal="center" vertical="center"/>
      <protection locked="0"/>
    </xf>
    <xf numFmtId="0" fontId="135" applyFont="1" fillId="25" applyFill="1" borderId="14" applyBorder="1" xfId="3" applyProtection="1" applyAlignment="1">
      <alignment horizontal="center" vertical="center"/>
    </xf>
    <xf numFmtId="3" applyNumberFormat="1" fontId="135" applyFont="1" fillId="25" applyFill="1" borderId="8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</xf>
    <xf numFmtId="0" fontId="3" applyFont="1" fillId="25" applyFill="1" borderId="28" applyBorder="1" xfId="3" applyProtection="1" applyAlignment="1">
      <alignment horizontal="center" vertical="center"/>
    </xf>
    <xf numFmtId="0" fontId="100" applyFont="1" fillId="0" borderId="12" applyBorder="1" xfId="3" applyProtection="1" applyAlignment="1">
      <alignment horizontal="center" vertical="center"/>
    </xf>
    <xf numFmtId="0" fontId="3" applyFont="1" fillId="21" applyFill="1" borderId="78" applyBorder="1" xfId="3" applyProtection="1" applyAlignment="1">
      <alignment horizontal="center" vertical="center"/>
    </xf>
    <xf numFmtId="0" fontId="3" applyFont="1" fillId="21" applyFill="1" borderId="79" applyBorder="1" xfId="3" applyProtection="1" applyAlignment="1">
      <alignment horizontal="center" vertical="center"/>
    </xf>
    <xf numFmtId="0" fontId="3" applyFont="1" fillId="21" applyFill="1" borderId="77" applyBorder="1" xfId="3" applyProtection="1" applyAlignment="1">
      <alignment horizontal="center" vertical="center"/>
    </xf>
    <xf numFmtId="0" fontId="3" applyFont="1" fillId="21" applyFill="1" borderId="13" applyBorder="1" xfId="3" applyProtection="1" applyAlignment="1">
      <alignment horizontal="center" vertical="center"/>
    </xf>
    <xf numFmtId="0" fontId="3" applyFont="1" fillId="21" applyFill="1" borderId="3" applyBorder="1" xfId="3" applyProtection="1" applyAlignment="1">
      <alignment horizontal="center" vertical="center"/>
    </xf>
    <xf numFmtId="0" fontId="3" applyFont="1" fillId="21" applyFill="1" borderId="0" xfId="3" applyProtection="1" applyAlignment="1">
      <alignment horizontal="center" vertical="center"/>
    </xf>
    <xf numFmtId="0" fontId="3" applyFont="1" fillId="21" applyFill="1" borderId="7" applyBorder="1" xfId="3" applyProtection="1" applyAlignment="1">
      <alignment horizontal="center" vertical="center"/>
    </xf>
    <xf numFmtId="0" fontId="3" applyFont="1" fillId="21" applyFill="1" borderId="81" applyBorder="1" xfId="3" applyProtection="1" applyAlignment="1">
      <alignment horizontal="center" vertical="center"/>
    </xf>
    <xf numFmtId="0" fontId="3" applyFont="1" fillId="21" applyFill="1" borderId="14" applyBorder="1" xfId="3" applyProtection="1" applyAlignment="1">
      <alignment horizontal="center" vertical="center"/>
    </xf>
    <xf numFmtId="0" fontId="3" applyFont="1" fillId="21" applyFill="1" borderId="4" applyBorder="1" xfId="3" applyProtection="1" applyAlignment="1">
      <alignment horizontal="center" vertical="center"/>
    </xf>
    <xf numFmtId="0" fontId="3" applyFont="1" fillId="21" applyFill="1" borderId="5" applyBorder="1" xfId="3" applyProtection="1" applyAlignment="1">
      <alignment horizontal="center" vertical="center"/>
    </xf>
    <xf numFmtId="0" fontId="3" applyFont="1" fillId="21" applyFill="1" borderId="8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</xf>
    <xf numFmtId="0" fontId="3" applyFont="1" fillId="21" applyFill="1" borderId="15" applyBorder="1" xfId="3" applyProtection="1" applyAlignment="1">
      <alignment horizontal="center" vertical="center"/>
    </xf>
    <xf numFmtId="0" fontId="3" applyFont="1" fillId="21" applyFill="1" borderId="16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17" applyBorder="1" xfId="3" applyProtection="1" applyAlignment="1">
      <alignment horizontal="center" vertical="center"/>
    </xf>
    <xf numFmtId="3" applyNumberFormat="1" fontId="3" applyFont="1" fillId="21" applyFill="1" borderId="9" applyBorder="1" xfId="3" applyProtection="1" applyAlignment="1">
      <alignment horizontal="center" vertical="center"/>
    </xf>
    <xf numFmtId="0" fontId="3" applyFont="1" fillId="21" applyFill="1" borderId="12" applyBorder="1" xfId="3" applyProtection="1" applyAlignment="1">
      <alignment horizontal="center" vertical="center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24" applyBorder="1" xfId="3" applyProtection="1" applyAlignment="1">
      <alignment horizontal="center" vertical="center"/>
      <protection locked="0"/>
    </xf>
    <xf numFmtId="0" fontId="3" applyFont="1" fillId="21" applyFill="1" borderId="18" applyBorder="1" xfId="3" applyProtection="1" applyAlignment="1">
      <alignment horizontal="center" vertical="center"/>
    </xf>
    <xf numFmtId="0" fontId="3" applyFont="1" fillId="21" applyFill="1" borderId="19" applyBorder="1" xfId="3" applyProtection="1" applyAlignment="1">
      <alignment horizontal="center" vertical="center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1" applyFill="1" borderId="27" applyBorder="1" xfId="3" applyProtection="1" applyAlignment="1">
      <alignment horizontal="center" vertical="center"/>
      <protection locked="0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16" applyNumberFormat="1" fontId="3" applyFont="1" fillId="21" applyFill="1" borderId="0" xfId="3" applyProtection="1" applyAlignment="1">
      <alignment horizontal="center" vertical="center"/>
      <protection locked="0"/>
    </xf>
    <xf numFmtId="1" applyNumberFormat="1" fontId="3" applyFont="1" fillId="21" applyFill="1" borderId="0" xfId="3" applyProtection="1" applyAlignment="1">
      <alignment horizontal="center" vertical="center"/>
      <protection locked="0"/>
    </xf>
    <xf numFmtId="0" fontId="148" applyFont="1" fillId="21" applyFill="1" borderId="24" applyBorder="1" xfId="3" applyProtection="1" applyAlignment="1">
      <alignment horizontal="center" vertical="center"/>
      <protection locked="0"/>
    </xf>
    <xf numFmtId="1" applyNumberFormat="1" fontId="147" applyFont="1" fillId="21" applyFill="1" borderId="0" xfId="3" applyProtection="1" applyAlignment="1">
      <alignment horizontal="center" vertical="center"/>
      <protection locked="0"/>
    </xf>
    <xf numFmtId="1" applyNumberFormat="1" fontId="147" applyFont="1" fillId="21" applyFill="1" borderId="26" applyBorder="1" xfId="3" applyProtection="1" applyAlignment="1">
      <alignment horizontal="center" vertical="center"/>
      <protection locked="0"/>
    </xf>
    <xf numFmtId="1" applyNumberFormat="1" fontId="3" applyFont="1" fillId="21" applyFill="1" borderId="26" applyBorder="1" xfId="3" applyProtection="1" applyAlignment="1">
      <alignment horizontal="center" vertical="center"/>
      <protection locked="0"/>
    </xf>
    <xf numFmtId="0" fontId="100" applyFont="1" fillId="0" borderId="13" applyBorder="1" xfId="3" applyProtection="1" applyAlignment="1">
      <alignment horizontal="center" vertical="center"/>
    </xf>
    <xf numFmtId="0" fontId="3" applyFont="1" fillId="26" applyFill="1" borderId="21" applyBorder="1" xfId="3" applyProtection="1" applyAlignment="1">
      <alignment horizontal="center" vertical="center"/>
    </xf>
    <xf numFmtId="0" fontId="3" applyFont="1" fillId="26" applyFill="1" borderId="80" applyBorder="1" xfId="3" applyProtection="1" applyAlignment="1">
      <alignment horizontal="center" vertical="center"/>
    </xf>
    <xf numFmtId="0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0" xfId="3" applyProtection="1" applyAlignment="1">
      <alignment horizontal="center" vertical="center"/>
    </xf>
    <xf numFmtId="43" applyNumberFormat="1" fontId="3" applyFont="1" fillId="26" applyFill="1" borderId="0" xfId="3" applyProtection="1" applyAlignment="1">
      <alignment horizontal="center" vertical="center"/>
    </xf>
    <xf numFmtId="3" applyNumberFormat="1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7" applyBorder="1" xfId="3" applyProtection="1" applyAlignment="1">
      <alignment horizontal="center" vertical="center"/>
    </xf>
    <xf numFmtId="0" fontId="3" applyFont="1" fillId="26" applyFill="1" borderId="5" applyBorder="1" xfId="3" applyProtection="1" applyAlignment="1">
      <alignment horizontal="center" vertical="center"/>
    </xf>
    <xf numFmtId="0" fontId="3" applyFont="1" fillId="26" applyFill="1" borderId="8" applyBorder="1" xfId="3" applyProtection="1" applyAlignment="1">
      <alignment horizontal="center" vertical="center"/>
    </xf>
    <xf numFmtId="0" fontId="3" applyFont="1" fillId="26" applyFill="1" borderId="23" applyBorder="1" xfId="3" applyProtection="1" applyAlignment="1">
      <alignment horizontal="center" vertical="center"/>
    </xf>
    <xf numFmtId="0" fontId="3" applyFont="1" fillId="26" applyFill="1" borderId="2" applyBorder="1" xfId="3" applyProtection="1" applyAlignment="1">
      <alignment horizontal="center" vertical="center"/>
    </xf>
    <xf numFmtId="0" fontId="3" applyFont="1" fillId="26" applyFill="1" borderId="6" applyBorder="1" xfId="3" applyProtection="1" applyAlignment="1">
      <alignment horizontal="center" vertical="center"/>
    </xf>
    <xf numFmtId="0" fontId="3" applyFont="1" fillId="26" applyFill="1" borderId="24" applyBorder="1" xfId="3" applyProtection="1" applyAlignment="1">
      <alignment horizontal="center" vertical="center"/>
    </xf>
    <xf numFmtId="0" fontId="3" applyFont="1" fillId="26" applyFill="1" borderId="26" applyBorder="1" xfId="3" applyProtection="1" applyAlignment="1">
      <alignment horizontal="center" vertical="center"/>
    </xf>
    <xf numFmtId="0" fontId="3" applyFont="1" fillId="26" applyFill="1" borderId="84" applyBorder="1" xfId="3" applyProtection="1" applyAlignment="1">
      <alignment horizontal="center" vertical="center"/>
    </xf>
    <xf numFmtId="0" fontId="100" applyFont="1" fillId="0" borderId="14" applyBorder="1" xfId="3" applyProtection="1" applyAlignment="1">
      <alignment horizontal="center" vertical="center"/>
    </xf>
    <xf numFmtId="0" fontId="3" applyFont="1" fillId="27" applyFill="1" borderId="20" applyBorder="1" xfId="3" applyProtection="1" applyAlignment="1">
      <alignment horizontal="center" vertical="center"/>
    </xf>
    <xf numFmtId="0" fontId="3" applyFont="1" fillId="27" applyFill="1" borderId="21" applyBorder="1" xfId="3" applyProtection="1" applyAlignment="1">
      <alignment horizontal="center" vertical="center"/>
    </xf>
    <xf numFmtId="0" fontId="3" applyFont="1" fillId="27" applyFill="1" borderId="22" applyBorder="1" xfId="3" applyProtection="1" applyAlignment="1">
      <alignment horizontal="center" vertical="center"/>
    </xf>
    <xf numFmtId="0" fontId="100" applyFont="1" fillId="0" borderId="11" applyBorder="1" xfId="3" applyProtection="1" applyAlignment="1">
      <alignment horizontal="center" vertical="center"/>
    </xf>
    <xf numFmtId="0" fontId="3" applyFont="1" fillId="27" applyFill="1" borderId="23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</xf>
    <xf numFmtId="0" fontId="3" applyFont="1" fillId="27" applyFill="1" borderId="24" applyBorder="1" xfId="3" applyProtection="1" applyAlignment="1">
      <alignment horizontal="center" vertical="center"/>
    </xf>
    <xf numFmtId="0" fontId="3" applyFont="1" fillId="27" applyFill="1" borderId="0" xfId="3" applyProtection="1" applyAlignment="1">
      <alignment horizontal="center" vertical="center"/>
      <protection locked="0"/>
    </xf>
    <xf numFmtId="3" applyNumberFormat="1" fontId="3" applyFont="1" fillId="27" applyFill="1" borderId="0" xfId="3" applyProtection="1" applyAlignment="1">
      <alignment horizontal="center" vertical="center"/>
    </xf>
    <xf numFmtId="0" fontId="3" applyFont="1" fillId="27" applyFill="1" borderId="5" applyBorder="1" xfId="3" applyProtection="1" applyAlignment="1">
      <alignment horizontal="center" vertical="center"/>
      <protection locked="0"/>
    </xf>
    <xf numFmtId="0" fontId="3" applyFont="1" fillId="27" applyFill="1" borderId="85" applyBorder="1" xfId="3" applyProtection="1" applyAlignment="1">
      <alignment horizontal="center" vertical="center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7" applyFill="1" borderId="11" applyBorder="1" xfId="3" applyProtection="1" applyAlignment="1">
      <alignment horizontal="center" vertical="center"/>
    </xf>
    <xf numFmtId="0" fontId="3" applyFont="1" fillId="27" applyFill="1" borderId="25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</xf>
    <xf numFmtId="0" fontId="3" applyFont="1" fillId="27" applyFill="1" borderId="26" applyBorder="1" xfId="3" applyProtection="1" applyAlignment="1">
      <alignment horizontal="center" vertical="center"/>
      <protection locked="0"/>
    </xf>
    <xf numFmtId="0" fontId="3" applyFont="1" fillId="27" applyFill="1" borderId="27" applyBorder="1" xfId="3" applyProtection="1" applyAlignment="1">
      <alignment horizontal="center" vertical="center"/>
    </xf>
    <xf numFmtId="0" fontId="3" applyFont="1" fillId="28" applyFill="1" borderId="20" applyBorder="1" xfId="3" applyProtection="1" applyAlignment="1">
      <alignment horizontal="center" vertical="center"/>
    </xf>
    <xf numFmtId="0" fontId="3" applyFont="1" fillId="28" applyFill="1" borderId="21" applyBorder="1" xfId="3" applyProtection="1" applyAlignment="1">
      <alignment horizontal="center" vertical="center"/>
    </xf>
    <xf numFmtId="0" fontId="3" applyFont="1" fillId="28" applyFill="1" borderId="22" applyBorder="1" xfId="3" applyProtection="1" applyAlignment="1">
      <alignment horizontal="center" vertical="center"/>
    </xf>
    <xf numFmtId="0" fontId="3" applyFont="1" fillId="28" applyFill="1" borderId="23" applyBorder="1" xfId="3" applyProtection="1" applyAlignment="1">
      <alignment horizontal="center" vertical="center"/>
    </xf>
    <xf numFmtId="3" applyNumberFormat="1" fontId="3" applyFont="1" fillId="28" applyFill="1" borderId="0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3" applyFont="1" fillId="28" applyFill="1" borderId="83" applyBorder="1" xfId="3" applyProtection="1" applyAlignment="1">
      <alignment horizontal="center" vertical="center"/>
    </xf>
    <xf numFmtId="0" fontId="3" applyFont="1" fillId="28" applyFill="1" borderId="2" applyBorder="1" xfId="3" applyProtection="1" applyAlignment="1">
      <alignment horizontal="center" vertical="center"/>
    </xf>
    <xf numFmtId="0" fontId="3" applyFont="1" fillId="28" applyFill="1" borderId="86" applyBorder="1" xfId="3" applyProtection="1" applyAlignment="1">
      <alignment horizontal="center" vertical="center"/>
    </xf>
    <xf numFmtId="0" fontId="3" applyFont="1" fillId="28" applyFill="1" borderId="82" applyBorder="1" xfId="3" applyProtection="1" applyAlignment="1">
      <alignment horizontal="center" vertical="center"/>
    </xf>
    <xf numFmtId="0" fontId="3" applyFont="1" fillId="28" applyFill="1" borderId="5" applyBorder="1" xfId="3" applyProtection="1" applyAlignment="1">
      <alignment horizontal="center" vertical="center"/>
    </xf>
    <xf numFmtId="0" fontId="3" applyFont="1" fillId="28" applyFill="1" borderId="87" applyBorder="1" xfId="3" applyProtection="1" applyAlignment="1">
      <alignment horizontal="center" vertical="center"/>
    </xf>
    <xf numFmtId="0" fontId="3" applyFont="1" fillId="28" applyFill="1" borderId="25" applyBorder="1" xfId="3" applyProtection="1" applyAlignment="1">
      <alignment horizontal="center" vertical="center"/>
    </xf>
    <xf numFmtId="0" fontId="3" applyFont="1" fillId="28" applyFill="1" borderId="26" applyBorder="1" xfId="3" applyProtection="1" applyAlignment="1">
      <alignment horizontal="center" vertical="center"/>
    </xf>
    <xf numFmtId="0" fontId="3" applyFont="1" fillId="28" applyFill="1" borderId="27" applyBorder="1" xfId="3" applyProtection="1" applyAlignment="1">
      <alignment horizontal="center" vertical="center"/>
    </xf>
    <xf numFmtId="0" fontId="62" applyFont="1" fillId="0" borderId="0" xfId="0" applyProtection="1" applyAlignment="1">
      <alignment horizontal="center" vertical="center" wrapText="1"/>
    </xf>
    <xf numFmtId="0" fontId="149" applyFont="1" fillId="0" borderId="39" applyBorder="1" xfId="0" applyProtection="1" applyAlignment="1">
      <alignment horizontal="center" vertical="center"/>
    </xf>
    <xf numFmtId="0" fontId="150" applyFont="1" fillId="0" borderId="0" xfId="0" applyProtection="1" applyAlignment="1">
      <alignment horizontal="center" vertical="center"/>
    </xf>
    <xf numFmtId="43" applyNumberFormat="1" fontId="149" applyFont="1" fillId="0" borderId="40" applyBorder="1" xfId="1" applyProtection="1" applyAlignment="1">
      <alignment horizontal="center" vertical="center"/>
    </xf>
    <xf numFmtId="0" fontId="151" applyFont="1" fillId="4" applyFill="1" borderId="15" applyBorder="1" xfId="0" applyProtection="1" applyAlignment="1">
      <alignment horizontal="center" vertical="center"/>
    </xf>
    <xf numFmtId="0" fontId="151" applyFont="1" fillId="4" applyFill="1" borderId="17" applyBorder="1" xfId="0" applyProtection="1" applyAlignment="1">
      <alignment horizontal="center" vertical="center"/>
    </xf>
    <xf numFmtId="0" fontId="151" applyFont="1" fillId="4" applyFill="1" borderId="18" applyBorder="1" xfId="0" applyProtection="1" applyAlignment="1">
      <alignment horizontal="center" vertical="center"/>
    </xf>
    <xf numFmtId="0" fontId="118" applyFont="1" fillId="0" borderId="0" xfId="0" applyProtection="1" applyAlignment="1">
      <alignment horizontal="center" vertical="center"/>
    </xf>
    <xf numFmtId="0" fontId="83" applyFont="1" fillId="0" borderId="67" applyBorder="1" xfId="0" applyProtection="1" applyAlignment="1">
      <alignment vertical="center"/>
    </xf>
    <xf numFmtId="43" applyNumberFormat="1" fontId="85" applyFont="1" fillId="0" borderId="67" applyBorder="1" xfId="1" applyProtection="1" applyAlignment="1">
      <alignment vertical="center"/>
    </xf>
    <xf numFmtId="0" fontId="0" fillId="29" applyFill="1" borderId="0" xfId="0" applyProtection="1"/>
    <xf numFmtId="0" fontId="90" applyFont="1" fillId="0" borderId="21" applyBorder="1" xfId="0" applyProtection="1" applyAlignment="1">
      <alignment horizontal="center" vertical="center"/>
    </xf>
    <xf numFmtId="0" fontId="90" applyFont="1" fillId="0" borderId="0" xfId="0" applyProtection="1" applyAlignment="1">
      <alignment horizontal="center" vertical="center"/>
    </xf>
    <xf numFmtId="0" fontId="90" applyFont="1" fillId="0" borderId="0" xfId="0" applyProtection="1" applyAlignment="1">
      <alignment horizontal="center"/>
    </xf>
    <xf numFmtId="3" applyNumberFormat="1" fontId="152" applyFont="1" fillId="16" applyFill="1" borderId="0" xfId="0" applyProtection="1" applyAlignment="1">
      <alignment vertical="center" wrapText="1"/>
    </xf>
    <xf numFmtId="3" applyNumberFormat="1" fontId="15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26" applyBorder="1" xfId="0" applyProtection="1" applyAlignment="1">
      <alignment horizontal="center" vertical="center" wrapText="1"/>
    </xf>
    <xf numFmtId="0" fontId="0" fillId="16" applyFill="1" borderId="0" xfId="0" applyProtection="1" applyAlignment="1">
      <alignment horizontal="center"/>
    </xf>
    <xf numFmtId="0" fontId="51" applyFont="1" fillId="0" borderId="0" xfId="0" applyProtection="1" applyAlignment="1">
      <alignment horizontal="center" vertical="center"/>
    </xf>
    <xf numFmtId="0" fontId="49" applyFont="1" fillId="0" borderId="0" xfId="2" applyProtection="1" applyAlignment="1">
      <alignment horizontal="center" vertical="center"/>
    </xf>
    <xf numFmtId="0" fontId="54" applyFont="1" fillId="0" borderId="0" xfId="0" applyProtection="1" applyAlignment="1">
      <alignment horizontal="center" vertical="center"/>
    </xf>
    <xf numFmtId="0" fontId="50" applyFont="1" fillId="0" borderId="0" xfId="2" applyProtection="1" applyAlignment="1">
      <alignment horizontal="center" vertical="center"/>
    </xf>
    <xf numFmtId="0" fontId="64" applyFont="1" fillId="16" applyFill="1" borderId="0" xfId="0" applyProtection="1" applyAlignment="1">
      <alignment horizontal="center"/>
    </xf>
    <xf numFmtId="0" fontId="64" applyFont="1" fillId="16" applyFill="1" borderId="53" applyBorder="1" xfId="0" applyProtection="1" applyAlignment="1">
      <alignment horizontal="center"/>
    </xf>
    <xf numFmtId="0" fontId="0" fillId="0" borderId="0" xfId="0" applyProtection="1" applyAlignment="1">
      <alignment horizontal="center"/>
    </xf>
    <xf numFmtId="0" fontId="52" applyFont="1" fillId="0" borderId="0" xfId="0" applyProtection="1" applyAlignment="1">
      <alignment horizontal="center"/>
    </xf>
    <xf numFmtId="0" fontId="89" applyFont="1" fillId="16" applyFill="1" borderId="0" xfId="0" applyProtection="1" applyAlignment="1">
      <alignment horizontal="center"/>
    </xf>
    <xf numFmtId="165" applyNumberFormat="1" fontId="76" applyFont="1" fillId="7" applyFill="1" borderId="0" xfId="0" applyProtection="1" applyAlignment="1">
      <alignment horizontal="center"/>
    </xf>
    <xf numFmtId="0" fontId="53" applyFont="1" fillId="16" applyFill="1" borderId="0" xfId="0" applyProtection="1" applyAlignment="1">
      <alignment horizontal="center"/>
    </xf>
    <xf numFmtId="43" applyNumberFormat="1" fontId="85" applyFont="1" fillId="0" borderId="65" applyBorder="1" xfId="1" applyProtection="1" applyAlignment="1">
      <alignment horizontal="center" vertical="center"/>
    </xf>
    <xf numFmtId="43" applyNumberFormat="1" fontId="85" applyFont="1" fillId="0" borderId="0" xfId="1" applyProtection="1" applyAlignment="1">
      <alignment horizontal="center" vertical="center"/>
    </xf>
    <xf numFmtId="0" fontId="83" applyFont="1" fillId="0" borderId="65" applyBorder="1" xfId="0" applyProtection="1" applyAlignment="1">
      <alignment horizontal="center" vertical="center"/>
    </xf>
    <xf numFmtId="0" fontId="83" applyFont="1" fillId="0" borderId="66" applyBorder="1" xfId="0" applyProtection="1" applyAlignment="1">
      <alignment horizontal="center" vertical="center"/>
    </xf>
    <xf numFmtId="0" fontId="66" applyFont="1" fillId="16" applyFill="1" borderId="55" applyBorder="1" xfId="0" applyProtection="1" applyAlignment="1">
      <alignment horizontal="center" vertical="center"/>
    </xf>
    <xf numFmtId="0" fontId="66" applyFont="1" fillId="16" applyFill="1" borderId="56" applyBorder="1" xfId="0" applyProtection="1" applyAlignment="1">
      <alignment horizontal="center" vertical="center"/>
    </xf>
    <xf numFmtId="0" fontId="75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center"/>
    </xf>
    <xf numFmtId="0" fontId="0" fillId="13" applyFill="1" borderId="0" xfId="0" applyProtection="1" applyAlignment="1">
      <alignment horizontal="center"/>
    </xf>
    <xf numFmtId="0" fontId="84" applyFont="1" fillId="0" borderId="2" applyBorder="1" xfId="0" applyProtection="1" applyAlignment="1">
      <alignment horizontal="center" vertical="center"/>
    </xf>
    <xf numFmtId="0" fontId="84" applyFont="1" fillId="0" borderId="0" xfId="0" applyProtection="1" applyAlignment="1">
      <alignment horizontal="center" vertical="center"/>
    </xf>
    <xf numFmtId="0" fontId="82" applyFont="1" fillId="0" borderId="21" applyBorder="1" xfId="0" applyProtection="1" applyAlignment="1">
      <alignment horizontal="center" vertical="center"/>
    </xf>
    <xf numFmtId="0" fontId="82" applyFont="1" fillId="0" borderId="5" applyBorder="1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center"/>
    </xf>
    <xf numFmtId="3" applyNumberFormat="1" fontId="74" applyFont="1" fillId="16" applyFill="1" borderId="0" xfId="0" applyProtection="1" applyAlignment="1">
      <alignment horizontal="center"/>
    </xf>
    <xf numFmtId="0" fontId="72" applyFont="1" fillId="16" applyFill="1" borderId="0" xfId="0" applyProtection="1" applyAlignment="1">
      <alignment horizontal="center" vertical="top"/>
    </xf>
    <xf numFmtId="0" fontId="72" applyFont="1" fillId="16" applyFill="1" borderId="0" xfId="0" applyProtection="1" applyAlignment="1">
      <alignment horizontal="center" vertical="center" wrapText="1"/>
    </xf>
    <xf numFmtId="3" applyNumberFormat="1" fontId="152" applyFont="1" fillId="16" applyFill="1" borderId="0" xfId="0" applyProtection="1" applyAlignment="1">
      <alignment horizontal="center" vertical="center"/>
    </xf>
    <xf numFmtId="3" applyNumberFormat="1" fontId="152" applyFont="1" fillId="16" applyFill="1" borderId="26" applyBorder="1" xfId="0" applyProtection="1" applyAlignment="1">
      <alignment horizontal="center" vertical="center"/>
    </xf>
    <xf numFmtId="43" applyNumberFormat="1" fontId="71" applyFont="1" fillId="7" applyFill="1" borderId="25" applyBorder="1" xfId="1" applyProtection="1" applyAlignment="1">
      <alignment horizontal="center"/>
    </xf>
    <xf numFmtId="43" applyNumberFormat="1" fontId="71" applyFont="1" fillId="7" applyFill="1" borderId="27" applyBorder="1" xfId="1" applyProtection="1" applyAlignment="1">
      <alignment horizontal="center"/>
    </xf>
    <xf numFmtId="0" fontId="0" fillId="16" applyFill="1" borderId="70" applyBorder="1" xfId="0" applyProtection="1" applyAlignment="1">
      <alignment horizontal="center"/>
    </xf>
    <xf numFmtId="0" fontId="82" applyFont="1" fillId="0" borderId="21" applyBorder="1" xfId="0" applyProtection="1" applyAlignment="1">
      <alignment horizontal="center" vertical="center" wrapText="1"/>
    </xf>
    <xf numFmtId="0" fontId="82" applyFont="1" fillId="0" borderId="5" applyBorder="1" xfId="0" applyProtection="1" applyAlignment="1">
      <alignment horizontal="center" vertical="center" wrapText="1"/>
    </xf>
    <xf numFmtId="0" fontId="73" applyFont="1" fillId="0" borderId="0" xfId="0" applyProtection="1" applyAlignment="1">
      <alignment horizontal="center" vertical="center"/>
    </xf>
    <xf numFmtId="0" fontId="73" applyFont="1" fillId="16" applyFill="1" borderId="23" applyBorder="1" xfId="0" applyProtection="1" applyAlignment="1">
      <alignment horizontal="center" vertical="center"/>
    </xf>
    <xf numFmtId="0" fontId="73" applyFont="1" fillId="16" applyFill="1" borderId="0" xfId="0" applyProtection="1" applyAlignment="1">
      <alignment horizontal="center" vertical="center"/>
    </xf>
    <xf numFmtId="3" applyNumberFormat="1" fontId="152" applyFont="1" fillId="16" applyFill="1" borderId="0" xfId="0" applyProtection="1" applyAlignment="1">
      <alignment horizontal="center"/>
    </xf>
    <xf numFmtId="43" applyNumberFormat="1" fontId="71" applyFont="1" fillId="7" applyFill="1" borderId="29" applyBorder="1" xfId="1" applyProtection="1" applyAlignment="1">
      <alignment horizontal="center"/>
    </xf>
    <xf numFmtId="43" applyNumberFormat="1" fontId="71" applyFont="1" fillId="7" applyFill="1" borderId="31" applyBorder="1" xfId="1" applyProtection="1" applyAlignment="1">
      <alignment horizontal="center"/>
    </xf>
    <xf numFmtId="43" applyNumberFormat="1" fontId="87" applyFont="1" fillId="7" applyFill="1" borderId="20" applyBorder="1" xfId="1" applyProtection="1" applyAlignment="1">
      <alignment horizontal="center"/>
    </xf>
    <xf numFmtId="43" applyNumberFormat="1" fontId="87" applyFont="1" fillId="7" applyFill="1" borderId="22" applyBorder="1" xfId="1" applyProtection="1" applyAlignment="1">
      <alignment horizontal="center"/>
    </xf>
    <xf numFmtId="0" fontId="70" applyFont="1" fillId="16" applyFill="1" borderId="0" xfId="0" applyProtection="1" applyAlignment="1">
      <alignment horizontal="center" vertical="center"/>
    </xf>
    <xf numFmtId="3" applyNumberFormat="1" fontId="57" applyFont="1" fillId="16" applyFill="1" borderId="0" xfId="0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right"/>
    </xf>
    <xf numFmtId="0" fontId="55" applyFont="1" fillId="16" applyFill="1" borderId="0" xfId="0" applyProtection="1" applyAlignment="1">
      <alignment horizontal="center" vertical="center"/>
    </xf>
    <xf numFmtId="0" fontId="0" fillId="17" applyFill="1" borderId="23" applyBorder="1" xfId="0" applyProtection="1" applyAlignment="1">
      <alignment horizontal="center"/>
    </xf>
    <xf numFmtId="0" fontId="0" fillId="17" applyFill="1" borderId="0" xfId="0" applyProtection="1" applyAlignment="1">
      <alignment horizontal="center"/>
    </xf>
    <xf numFmtId="0" fontId="83" applyFont="1" fillId="0" borderId="67" applyBorder="1" xfId="0" applyProtection="1" applyAlignment="1">
      <alignment horizontal="center" vertical="center"/>
    </xf>
    <xf numFmtId="0" fontId="83" applyFont="1" fillId="0" borderId="68" applyBorder="1" xfId="0" applyProtection="1" applyAlignment="1">
      <alignment horizontal="center" vertical="center"/>
    </xf>
    <xf numFmtId="43" applyNumberFormat="1" fontId="85" applyFont="1" fillId="0" borderId="67" applyBorder="1" xfId="1" applyProtection="1" applyAlignment="1">
      <alignment horizontal="center" vertical="center"/>
    </xf>
    <xf numFmtId="43" applyNumberFormat="1" fontId="85" applyFont="1" fillId="0" borderId="68" applyBorder="1" xfId="1" applyProtection="1" applyAlignment="1">
      <alignment horizontal="center" vertical="center"/>
    </xf>
    <xf numFmtId="3" applyNumberFormat="1" fontId="77" applyFont="1" fillId="16" applyFill="1" borderId="0" xfId="0" applyProtection="1" applyAlignment="1">
      <alignment horizontal="center" vertical="center"/>
    </xf>
    <xf numFmtId="0" fontId="57" applyFont="1" fillId="16" applyFill="1" borderId="0" xfId="0" applyProtection="1" applyAlignment="1">
      <alignment horizontal="left"/>
    </xf>
    <xf numFmtId="1" applyNumberFormat="1" fontId="115" applyFont="1" fillId="0" borderId="34" applyBorder="1" xfId="0" applyProtection="1" applyAlignment="1">
      <alignment horizontal="right" vertical="center" wrapText="1"/>
    </xf>
    <xf numFmtId="1" applyNumberFormat="1" fontId="115" applyFont="1" fillId="0" borderId="16" applyBorder="1" xfId="0" applyProtection="1" applyAlignment="1">
      <alignment horizontal="right" vertical="center" wrapText="1"/>
    </xf>
    <xf numFmtId="1" applyNumberFormat="1" fontId="87" applyFont="1" fillId="0" borderId="29" applyBorder="1" xfId="0" applyProtection="1" applyAlignment="1">
      <alignment horizontal="center" vertical="center" wrapText="1"/>
    </xf>
    <xf numFmtId="1" applyNumberFormat="1" fontId="87" applyFont="1" fillId="0" borderId="31" applyBorder="1" xfId="0" applyProtection="1" applyAlignment="1">
      <alignment horizontal="center" vertical="center" wrapText="1"/>
    </xf>
    <xf numFmtId="1" applyNumberFormat="1" fontId="115" applyFont="1" fillId="0" borderId="28" applyBorder="1" xfId="0" applyProtection="1" applyAlignment="1">
      <alignment horizontal="right" vertical="center" wrapText="1"/>
    </xf>
    <xf numFmtId="1" applyNumberFormat="1" fontId="115" applyFont="1" fillId="0" borderId="9" applyBorder="1" xfId="0" applyProtection="1" applyAlignment="1">
      <alignment horizontal="right" vertical="center" wrapText="1"/>
    </xf>
    <xf numFmtId="1" applyNumberFormat="1" fontId="87" applyFont="1" fillId="0" borderId="23" applyBorder="1" xfId="0" applyProtection="1" applyAlignment="1">
      <alignment horizontal="center" vertical="center" wrapText="1"/>
    </xf>
    <xf numFmtId="1" applyNumberFormat="1" fontId="87" applyFont="1" fillId="0" borderId="24" applyBorder="1" xfId="0" applyProtection="1" applyAlignment="1">
      <alignment horizontal="center" vertical="center" wrapText="1"/>
    </xf>
    <xf numFmtId="1" applyNumberFormat="1" fontId="87" applyFont="1" fillId="0" borderId="25" applyBorder="1" xfId="0" applyProtection="1" applyAlignment="1">
      <alignment horizontal="center" vertical="center" wrapText="1"/>
    </xf>
    <xf numFmtId="1" applyNumberFormat="1" fontId="87" applyFont="1" fillId="0" borderId="27" applyBorder="1" xfId="0" applyProtection="1" applyAlignment="1">
      <alignment horizontal="center" vertical="center" wrapText="1"/>
    </xf>
    <xf numFmtId="1" applyNumberFormat="1" fontId="115" applyFont="1" fillId="0" borderId="33" applyBorder="1" xfId="0" applyProtection="1" applyAlignment="1">
      <alignment horizontal="right" vertical="center" wrapText="1"/>
    </xf>
    <xf numFmtId="1" applyNumberFormat="1" fontId="115" applyFont="1" fillId="0" borderId="19" applyBorder="1" xfId="0" applyProtection="1" applyAlignment="1">
      <alignment horizontal="right" vertical="center" wrapText="1"/>
    </xf>
    <xf numFmtId="43" applyNumberFormat="1" fontId="85" applyFont="1" fillId="0" borderId="76" applyBorder="1" xfId="1" applyProtection="1" applyAlignment="1">
      <alignment horizontal="center" vertical="center"/>
    </xf>
    <xf numFmtId="43" applyNumberFormat="1" fontId="85" applyFont="1" fillId="0" borderId="7" applyBorder="1" xfId="1" applyProtection="1" applyAlignment="1">
      <alignment horizontal="center" vertical="center"/>
    </xf>
    <xf numFmtId="0" fontId="119" applyFont="1" fillId="0" borderId="2" applyBorder="1" xfId="0" applyProtection="1" applyAlignment="1">
      <alignment horizontal="center" vertical="center" wrapText="1"/>
    </xf>
    <xf numFmtId="0" fontId="119" applyFont="1" fillId="0" borderId="0" xfId="0" applyProtection="1" applyAlignment="1">
      <alignment horizontal="center" vertical="center" wrapText="1"/>
    </xf>
    <xf numFmtId="0" fontId="81" applyFont="1" fillId="0" borderId="0" xfId="0" applyProtection="1" applyAlignment="1">
      <alignment horizontal="center" vertical="center"/>
    </xf>
    <xf numFmtId="0" fontId="37" applyFont="1" fillId="10" applyFill="1" borderId="20" applyBorder="1" xfId="0" applyProtection="1" applyAlignment="1">
      <alignment horizontal="center" vertical="center"/>
    </xf>
    <xf numFmtId="0" fontId="37" applyFont="1" fillId="10" applyFill="1" borderId="21" applyBorder="1" xfId="0" applyProtection="1" applyAlignment="1">
      <alignment horizontal="center" vertical="center"/>
    </xf>
    <xf numFmtId="0" fontId="37" applyFont="1" fillId="10" applyFill="1" borderId="22" applyBorder="1" xfId="0" applyProtection="1" applyAlignment="1">
      <alignment horizontal="center" vertical="center"/>
    </xf>
    <xf numFmtId="0" fontId="37" applyFont="1" fillId="10" applyFill="1" borderId="25" applyBorder="1" xfId="0" applyProtection="1" applyAlignment="1">
      <alignment horizontal="center" vertical="center"/>
    </xf>
    <xf numFmtId="0" fontId="37" applyFont="1" fillId="10" applyFill="1" borderId="26" applyBorder="1" xfId="0" applyProtection="1" applyAlignment="1">
      <alignment horizontal="center" vertical="center"/>
    </xf>
    <xf numFmtId="0" fontId="37" applyFont="1" fillId="10" applyFill="1" borderId="27" applyBorder="1" xfId="0" applyProtection="1" applyAlignment="1">
      <alignment horizontal="center" vertical="center"/>
    </xf>
    <xf numFmtId="0" fontId="42" applyFont="1" fillId="11" applyFill="1" borderId="0" xfId="0" applyProtection="1" applyAlignment="1">
      <alignment horizontal="center"/>
      <protection locked="0"/>
    </xf>
    <xf numFmtId="0" fontId="38" applyFont="1" fillId="2" applyFill="1" borderId="29" applyBorder="1" xfId="0" applyProtection="1" applyAlignment="1">
      <alignment horizontal="center" vertical="center"/>
    </xf>
    <xf numFmtId="0" fontId="38" applyFont="1" fillId="2" applyFill="1" borderId="31" applyBorder="1" xfId="0" applyProtection="1" applyAlignment="1">
      <alignment horizontal="center" vertical="center"/>
    </xf>
    <xf numFmtId="169" applyNumberFormat="1" fontId="43" applyFont="1" fillId="2" applyFill="1" borderId="23" applyBorder="1" xfId="0" applyProtection="1" applyAlignment="1">
      <alignment horizontal="center" vertical="center"/>
    </xf>
    <xf numFmtId="169" applyNumberFormat="1" fontId="43" applyFont="1" fillId="2" applyFill="1" borderId="0" xfId="0" applyProtection="1" applyAlignment="1">
      <alignment horizontal="center" vertical="center"/>
    </xf>
    <xf numFmtId="0" fontId="42" applyFont="1" fillId="0" borderId="0" xfId="0" applyProtection="1" applyAlignment="1">
      <alignment horizontal="center"/>
      <protection locked="0"/>
    </xf>
    <xf numFmtId="0" fontId="104" applyFont="1" fillId="0" borderId="0" xfId="0" applyProtection="1" applyAlignment="1">
      <alignment horizontal="center"/>
    </xf>
    <xf numFmtId="0" fontId="37" applyFont="1" fillId="10" applyFill="1" borderId="0" xfId="0" applyProtection="1" applyAlignment="1">
      <alignment horizontal="center" vertical="center"/>
    </xf>
    <xf numFmtId="0" fontId="38" applyFont="1" fillId="2" applyFill="1" borderId="0" xfId="0" applyProtection="1" applyAlignment="1">
      <alignment horizontal="center" vertical="center"/>
    </xf>
    <xf numFmtId="0" fontId="43" applyFont="1" fillId="2" applyFill="1" borderId="0" xfId="0" applyProtection="1" applyAlignment="1">
      <alignment horizontal="center" vertical="center"/>
    </xf>
    <xf numFmtId="0" fontId="3" applyFont="1" fillId="0" borderId="9" applyBorder="1" xfId="3" applyProtection="1" applyAlignment="1">
      <alignment horizontal="center"/>
    </xf>
    <xf numFmtId="0" fontId="3" applyFont="1" fillId="0" borderId="10" applyBorder="1" xfId="3" applyProtection="1" applyAlignment="1">
      <alignment horizontal="center"/>
    </xf>
    <xf numFmtId="0" fontId="3" applyFont="1" fillId="0" borderId="9" applyBorder="1" xfId="3" applyProtection="1" applyAlignment="1">
      <alignment horizontal="left"/>
    </xf>
    <xf numFmtId="0" fontId="3" applyFont="1" fillId="0" borderId="10" applyBorder="1" xfId="3" applyProtection="1" applyAlignment="1">
      <alignment horizontal="left"/>
    </xf>
    <xf numFmtId="0" fontId="3" applyFont="1" fillId="0" borderId="0" xfId="3" applyProtection="1" applyAlignment="1">
      <alignment horizontal="left"/>
    </xf>
    <xf numFmtId="0" fontId="3" applyFont="1" fillId="0" borderId="0" xfId="3" applyProtection="1" applyAlignment="1">
      <alignment horizontal="center"/>
    </xf>
    <xf numFmtId="0" fontId="6" applyFont="1" fillId="0" borderId="0" xfId="3" applyProtection="1" applyAlignment="1">
      <alignment horizontal="left" wrapText="1"/>
    </xf>
    <xf numFmtId="0" fontId="3" applyFont="1" fillId="2" applyFill="1" borderId="9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left"/>
    </xf>
    <xf numFmtId="0" fontId="3" applyFont="1" fillId="2" applyFill="1" borderId="10" applyBorder="1" xfId="3" applyProtection="1" applyAlignment="1">
      <alignment horizontal="center"/>
      <protection locked="0"/>
    </xf>
    <xf numFmtId="0" fontId="3" applyFont="1" fillId="2" applyFill="1" borderId="11" applyBorder="1" xfId="3" applyProtection="1" applyAlignment="1">
      <alignment horizontal="center"/>
      <protection locked="0"/>
    </xf>
    <xf numFmtId="0" fontId="3" applyFont="1" fillId="0" borderId="10" applyBorder="1" xfId="3" applyProtection="1" applyAlignment="1">
      <alignment horizontal="center"/>
      <protection locked="0"/>
    </xf>
    <xf numFmtId="0" fontId="3" applyFont="1" fillId="0" borderId="11" applyBorder="1" xfId="3" applyProtection="1" applyAlignment="1">
      <alignment horizontal="center"/>
      <protection locked="0"/>
    </xf>
    <xf numFmtId="0" fontId="3" applyFont="1" fillId="0" borderId="5" applyBorder="1" xfId="3" applyProtection="1" applyAlignment="1">
      <alignment horizontal="center"/>
    </xf>
    <xf numFmtId="0" fontId="6" applyFont="1" fillId="2" applyFill="1" borderId="9" applyBorder="1" xfId="3" applyProtection="1" applyAlignment="1">
      <alignment horizontal="center"/>
      <protection locked="0"/>
    </xf>
    <xf numFmtId="0" fontId="6" applyFont="1" fillId="2" applyFill="1" borderId="10" applyBorder="1" xfId="3" applyProtection="1" applyAlignment="1">
      <alignment horizontal="center"/>
      <protection locked="0"/>
    </xf>
    <xf numFmtId="0" fontId="6" applyFont="1" fillId="2" applyFill="1" borderId="11" applyBorder="1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  <protection locked="0"/>
    </xf>
    <xf numFmtId="0" fontId="3" applyFont="1" fillId="0" borderId="2" applyBorder="1" xfId="3" applyProtection="1" applyAlignment="1">
      <alignment horizontal="center"/>
      <protection locked="0"/>
    </xf>
    <xf numFmtId="0" fontId="3" applyFont="1" fillId="0" borderId="6" applyBorder="1" xfId="3" applyProtection="1" applyAlignment="1">
      <alignment horizontal="center"/>
      <protection locked="0"/>
    </xf>
    <xf numFmtId="0" fontId="3" applyFont="1" fillId="0" borderId="9" applyBorder="1" xfId="3" applyProtection="1" applyAlignment="1">
      <alignment horizontal="center"/>
      <protection locked="0"/>
    </xf>
    <xf numFmtId="0" fontId="23" applyFont="1" fillId="0" borderId="0" xfId="3" applyProtection="1" applyAlignment="1">
      <alignment horizontal="left"/>
    </xf>
    <xf numFmtId="0" fontId="11" applyFont="1" fillId="0" borderId="4" applyBorder="1" xfId="3" applyProtection="1" applyAlignment="1">
      <alignment horizontal="center" vertical="center" shrinkToFit="1"/>
    </xf>
    <xf numFmtId="0" fontId="11" applyFont="1" fillId="0" borderId="5" applyBorder="1" xfId="3" applyProtection="1" applyAlignment="1">
      <alignment horizontal="center" vertical="center" shrinkToFit="1"/>
    </xf>
    <xf numFmtId="0" fontId="11" applyFont="1" fillId="0" borderId="8" applyBorder="1" xfId="3" applyProtection="1" applyAlignment="1">
      <alignment horizontal="center" vertical="center" shrinkToFit="1"/>
    </xf>
    <xf numFmtId="0" fontId="21" applyFont="1" fillId="0" borderId="3" applyBorder="1" xfId="3" applyProtection="1" applyAlignment="1">
      <alignment horizontal="center" vertical="center" wrapText="1"/>
    </xf>
    <xf numFmtId="0" fontId="21" applyFont="1" fillId="0" borderId="0" xfId="3" applyProtection="1" applyAlignment="1">
      <alignment horizontal="center" vertical="center" wrapText="1"/>
    </xf>
    <xf numFmtId="0" fontId="21" applyFont="1" fillId="0" borderId="7" applyBorder="1" xfId="3" applyProtection="1" applyAlignment="1">
      <alignment horizontal="center" vertical="center" wrapText="1"/>
    </xf>
    <xf numFmtId="0" fontId="31" applyFont="1" fillId="0" borderId="1" applyBorder="1" xfId="3" applyProtection="1" applyAlignment="1">
      <alignment horizontal="center" vertical="center" shrinkToFit="1"/>
    </xf>
    <xf numFmtId="0" fontId="31" applyFont="1" fillId="0" borderId="2" applyBorder="1" xfId="3" applyProtection="1" applyAlignment="1">
      <alignment horizontal="center" vertical="center" shrinkToFit="1"/>
    </xf>
    <xf numFmtId="0" fontId="31" applyFont="1" fillId="0" borderId="6" applyBorder="1" xfId="3" applyProtection="1" applyAlignment="1">
      <alignment horizontal="center" vertical="center" shrinkToFit="1"/>
    </xf>
    <xf numFmtId="0" fontId="32" applyFont="1" fillId="0" borderId="4" applyBorder="1" xfId="3" applyProtection="1" applyAlignment="1">
      <alignment horizontal="center" shrinkToFit="1"/>
    </xf>
    <xf numFmtId="0" fontId="32" applyFont="1" fillId="0" borderId="5" applyBorder="1" xfId="3" applyProtection="1" applyAlignment="1">
      <alignment horizontal="center" shrinkToFit="1"/>
    </xf>
    <xf numFmtId="0" fontId="32" applyFont="1" fillId="0" borderId="8" applyBorder="1" xfId="3" applyProtection="1" applyAlignment="1">
      <alignment horizontal="center" shrinkToFit="1"/>
    </xf>
    <xf numFmtId="49" applyNumberFormat="1" fontId="23" applyFont="1" fillId="0" borderId="9" applyBorder="1" xfId="3" applyProtection="1" applyAlignment="1">
      <alignment horizontal="center"/>
    </xf>
    <xf numFmtId="49" applyNumberFormat="1" fontId="23" applyFont="1" fillId="0" borderId="10" applyBorder="1" xfId="3" applyProtection="1" applyAlignment="1">
      <alignment horizontal="center"/>
    </xf>
    <xf numFmtId="0" fontId="23" applyFont="1" fillId="0" borderId="2" applyBorder="1" xfId="3" applyProtection="1" applyAlignment="1">
      <alignment horizontal="center"/>
    </xf>
    <xf numFmtId="0" fontId="23" applyFont="1" fillId="0" borderId="6" applyBorder="1" xfId="3" applyProtection="1" applyAlignment="1">
      <alignment horizontal="center"/>
    </xf>
    <xf numFmtId="0" fontId="23" applyFont="1" fillId="0" borderId="4" applyBorder="1" xfId="3" applyProtection="1" applyAlignment="1">
      <alignment horizontal="center"/>
    </xf>
    <xf numFmtId="0" fontId="23" applyFont="1" fillId="0" borderId="5" applyBorder="1" xfId="3" applyProtection="1" applyAlignment="1">
      <alignment horizontal="center"/>
    </xf>
    <xf numFmtId="0" fontId="23" applyFont="1" fillId="0" borderId="8" applyBorder="1" xfId="3" applyProtection="1" applyAlignment="1">
      <alignment horizontal="center"/>
    </xf>
    <xf numFmtId="0" fontId="12" applyFont="1" fillId="0" borderId="13" applyBorder="1" xfId="3" applyProtection="1" applyAlignment="1">
      <alignment horizontal="center" vertical="center" wrapText="1"/>
    </xf>
    <xf numFmtId="0" fontId="12" applyFont="1" fillId="0" borderId="14" applyBorder="1" xfId="3" applyProtection="1" applyAlignment="1">
      <alignment horizontal="center" vertical="center" wrapText="1"/>
    </xf>
    <xf numFmtId="0" fontId="7" applyFont="1" fillId="4" applyFill="1" borderId="28" applyBorder="1" xfId="3" applyProtection="1" applyAlignment="1">
      <alignment horizontal="center" vertical="center"/>
    </xf>
    <xf numFmtId="0" fontId="20" applyFont="1" fillId="0" borderId="3" applyBorder="1" xfId="3" applyProtection="1" applyAlignment="1">
      <alignment horizontal="center" vertical="center" wrapText="1"/>
    </xf>
    <xf numFmtId="0" fontId="20" applyFont="1" fillId="0" borderId="0" xfId="3" applyProtection="1" applyAlignment="1">
      <alignment horizontal="center" vertical="center" wrapText="1"/>
    </xf>
    <xf numFmtId="0" fontId="20" applyFont="1" fillId="0" borderId="7" applyBorder="1" xfId="3" applyProtection="1" applyAlignment="1">
      <alignment horizontal="center" vertical="center" wrapText="1"/>
    </xf>
    <xf numFmtId="0" fontId="11" applyFont="1" fillId="0" borderId="3" applyBorder="1" xfId="3" applyProtection="1" applyAlignment="1">
      <alignment horizontal="center" vertical="center"/>
    </xf>
    <xf numFmtId="0" fontId="11" applyFont="1" fillId="0" borderId="0" xfId="3" applyProtection="1" applyAlignment="1">
      <alignment horizontal="center" vertical="center"/>
    </xf>
    <xf numFmtId="0" fontId="11" applyFont="1" fillId="0" borderId="7" applyBorder="1" xfId="3" applyProtection="1" applyAlignment="1">
      <alignment horizontal="center" vertical="center"/>
    </xf>
    <xf numFmtId="0" fontId="11" applyFont="1" fillId="0" borderId="4" applyBorder="1" xfId="3" applyProtection="1" applyAlignment="1">
      <alignment horizontal="center" vertical="center"/>
    </xf>
    <xf numFmtId="0" fontId="11" applyFont="1" fillId="0" borderId="5" applyBorder="1" xfId="3" applyProtection="1" applyAlignment="1">
      <alignment horizontal="center" vertical="center"/>
    </xf>
    <xf numFmtId="0" fontId="11" applyFont="1" fillId="0" borderId="8" applyBorder="1" xfId="3" applyProtection="1" applyAlignment="1">
      <alignment horizontal="center" vertical="center"/>
    </xf>
    <xf numFmtId="0" fontId="17" applyFont="1" fillId="0" borderId="9" applyBorder="1" xfId="3" applyProtection="1" applyAlignment="1">
      <alignment horizontal="center" vertical="center" shrinkToFit="1"/>
    </xf>
    <xf numFmtId="0" fontId="17" applyFont="1" fillId="0" borderId="10" applyBorder="1" xfId="3" applyProtection="1" applyAlignment="1">
      <alignment horizontal="center" vertical="center" shrinkToFit="1"/>
    </xf>
    <xf numFmtId="0" fontId="17" applyFont="1" fillId="0" borderId="11" applyBorder="1" xfId="3" applyProtection="1" applyAlignment="1">
      <alignment horizontal="center" vertical="center" shrinkToFit="1"/>
    </xf>
    <xf numFmtId="0" fontId="17" applyFont="1" fillId="0" borderId="28" applyBorder="1" xfId="3" applyProtection="1" applyAlignment="1">
      <alignment horizontal="center" vertical="center" shrinkToFit="1"/>
    </xf>
    <xf numFmtId="0" fontId="17" applyFont="1" fillId="0" borderId="9" applyBorder="1" xfId="3" applyProtection="1" applyAlignment="1">
      <alignment horizontal="center"/>
    </xf>
    <xf numFmtId="0" fontId="17" applyFont="1" fillId="0" borderId="10" applyBorder="1" xfId="3" applyProtection="1" applyAlignment="1">
      <alignment horizontal="center"/>
    </xf>
    <xf numFmtId="0" fontId="30" applyFont="1" fillId="0" borderId="3" applyBorder="1" xfId="3" applyProtection="1" applyAlignment="1">
      <alignment horizontal="center" vertical="center" shrinkToFit="1"/>
    </xf>
    <xf numFmtId="0" fontId="30" applyFont="1" fillId="0" borderId="0" xfId="3" applyProtection="1" applyAlignment="1">
      <alignment horizontal="center" vertical="center" shrinkToFit="1"/>
    </xf>
    <xf numFmtId="0" fontId="30" applyFont="1" fillId="0" borderId="7" applyBorder="1" xfId="3" applyProtection="1" applyAlignment="1">
      <alignment horizontal="center" vertical="center" shrinkToFit="1"/>
    </xf>
    <xf numFmtId="0" fontId="7" applyFont="1" fillId="8" applyFill="1" borderId="28" applyBorder="1" xfId="3" applyProtection="1" applyAlignment="1">
      <alignment horizontal="center" vertical="center"/>
    </xf>
    <xf numFmtId="0" fontId="15" applyFont="1" fillId="6" applyFill="1" borderId="28" applyBorder="1" xfId="3" applyProtection="1" applyAlignment="1">
      <alignment horizontal="left" vertical="center" shrinkToFit="1"/>
    </xf>
    <xf numFmtId="0" fontId="11" applyFont="1" fillId="6" applyFill="1" borderId="28" applyBorder="1" xfId="3" applyProtection="1" applyAlignment="1">
      <alignment horizontal="center" vertical="center" shrinkToFit="1"/>
    </xf>
    <xf numFmtId="165" applyNumberFormat="1" fontId="22" applyFont="1" fillId="6" applyFill="1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 vertical="center" shrinkToFit="1"/>
    </xf>
    <xf numFmtId="0" fontId="16" applyFont="1" fillId="0" borderId="9" applyBorder="1" xfId="3" applyProtection="1" applyAlignment="1">
      <alignment horizontal="center"/>
    </xf>
    <xf numFmtId="0" fontId="16" applyFont="1" fillId="0" borderId="10" applyBorder="1" xfId="3" applyProtection="1" applyAlignment="1">
      <alignment horizontal="center"/>
    </xf>
    <xf numFmtId="0" fontId="16" applyFont="1" fillId="0" borderId="32" applyBorder="1" xfId="3" applyProtection="1" applyAlignment="1">
      <alignment horizontal="center"/>
    </xf>
    <xf numFmtId="0" fontId="17" applyFont="1" fillId="0" borderId="14" applyBorder="1" xfId="3" applyProtection="1" applyAlignment="1">
      <alignment horizontal="center" vertical="center" shrinkToFit="1"/>
    </xf>
    <xf numFmtId="0" fontId="15" applyFont="1" fillId="2" applyFill="1" borderId="28" applyBorder="1" xfId="3" applyProtection="1" applyAlignment="1">
      <alignment horizontal="left" vertical="center" shrinkToFit="1"/>
    </xf>
    <xf numFmtId="0" fontId="11" applyFont="1" fillId="2" applyFill="1" borderId="28" applyBorder="1" xfId="3" applyProtection="1" applyAlignment="1">
      <alignment horizontal="center" vertical="center" shrinkToFit="1"/>
    </xf>
    <xf numFmtId="165" applyNumberFormat="1" fontId="22" applyFont="1" fillId="2" applyFill="1" borderId="28" applyBorder="1" xfId="3" applyProtection="1" applyAlignment="1">
      <alignment horizontal="center" vertical="center" shrinkToFit="1"/>
    </xf>
    <xf numFmtId="0" fontId="22" applyFont="1" fillId="0" borderId="1" applyBorder="1" xfId="3" applyProtection="1" applyAlignment="1">
      <alignment horizontal="center" vertical="center" shrinkToFit="1"/>
    </xf>
    <xf numFmtId="0" fontId="22" applyFont="1" fillId="0" borderId="2" applyBorder="1" xfId="3" applyProtection="1" applyAlignment="1">
      <alignment horizontal="center" vertical="center" shrinkToFit="1"/>
    </xf>
    <xf numFmtId="0" fontId="22" applyFont="1" fillId="0" borderId="6" applyBorder="1" xfId="3" applyProtection="1" applyAlignment="1">
      <alignment horizontal="center" vertical="center" shrinkToFit="1"/>
    </xf>
    <xf numFmtId="0" fontId="15" applyFont="1" fillId="2" applyFill="1" borderId="9" applyBorder="1" xfId="3" applyProtection="1" applyAlignment="1">
      <alignment horizontal="center" vertical="center" shrinkToFit="1"/>
    </xf>
    <xf numFmtId="0" fontId="15" applyFont="1" fillId="2" applyFill="1" borderId="10" applyBorder="1" xfId="3" applyProtection="1" applyAlignment="1">
      <alignment horizontal="center" vertical="center" shrinkToFit="1"/>
    </xf>
    <xf numFmtId="0" fontId="15" applyFont="1" fillId="2" applyFill="1" borderId="11" applyBorder="1" xfId="3" applyProtection="1" applyAlignment="1">
      <alignment horizontal="center" vertical="center" shrinkToFit="1"/>
    </xf>
    <xf numFmtId="0" fontId="12" applyFont="1" fillId="0" borderId="34" applyBorder="1" xfId="3" applyProtection="1" applyAlignment="1">
      <alignment horizontal="center" vertical="center" shrinkToFit="1"/>
    </xf>
    <xf numFmtId="165" applyNumberFormat="1" fontId="28" applyFont="1" fillId="0" borderId="28" applyBorder="1" xfId="3" applyProtection="1" applyAlignment="1">
      <alignment horizontal="center" vertical="center" shrinkToFit="1"/>
    </xf>
    <xf numFmtId="0" fontId="10" applyFont="1" fillId="0" borderId="33" applyBorder="1" xfId="3" applyProtection="1" applyAlignment="1">
      <alignment horizontal="center" vertical="center" shrinkToFit="1"/>
    </xf>
    <xf numFmtId="0" fontId="13" applyFont="1" fillId="0" borderId="9" applyBorder="1" xfId="3" applyProtection="1" applyAlignment="1">
      <alignment horizontal="center"/>
    </xf>
    <xf numFmtId="0" fontId="13" applyFont="1" fillId="0" borderId="10" applyBorder="1" xfId="3" applyProtection="1" applyAlignment="1">
      <alignment horizontal="center"/>
    </xf>
    <xf numFmtId="0" fontId="13" applyFont="1" fillId="0" borderId="11" applyBorder="1" xfId="3" applyProtection="1" applyAlignment="1">
      <alignment horizontal="center"/>
    </xf>
    <xf numFmtId="1" applyNumberFormat="1" fontId="11" applyFont="1" fillId="0" borderId="10" applyBorder="1" xfId="3" applyProtection="1" applyAlignment="1">
      <alignment horizontal="right"/>
    </xf>
    <xf numFmtId="0" fontId="14" applyFont="1" fillId="0" borderId="9" applyBorder="1" xfId="3" applyProtection="1" applyAlignment="1">
      <alignment horizontal="center"/>
    </xf>
    <xf numFmtId="0" fontId="14" applyFont="1" fillId="0" borderId="10" applyBorder="1" xfId="3" applyProtection="1" applyAlignment="1">
      <alignment horizontal="center"/>
    </xf>
    <xf numFmtId="0" fontId="14" applyFont="1" fillId="0" borderId="11" applyBorder="1" xfId="3" applyProtection="1" applyAlignment="1">
      <alignment horizontal="center"/>
    </xf>
    <xf numFmtId="0" fontId="15" applyFont="1" fillId="2" applyFill="1" borderId="10" applyBorder="1" xfId="3" applyProtection="1" applyAlignment="1">
      <alignment horizontal="right"/>
    </xf>
    <xf numFmtId="0" fontId="15" applyFont="1" fillId="0" borderId="28" applyBorder="1" xfId="3" applyProtection="1" applyAlignment="1">
      <alignment horizontal="center" vertical="center" shrinkToFit="1"/>
    </xf>
    <xf numFmtId="0" fontId="10" applyFont="1" fillId="0" borderId="28" applyBorder="1" xfId="3" applyProtection="1" applyAlignment="1">
      <alignment horizontal="center" vertical="center" shrinkToFit="1"/>
    </xf>
    <xf numFmtId="0" fontId="22" applyFont="1" fillId="0" borderId="28" applyBorder="1" xfId="3" applyProtection="1" applyAlignment="1">
      <alignment horizontal="center"/>
    </xf>
    <xf numFmtId="0" fontId="15" applyFont="1" fillId="2" applyFill="1" borderId="4" applyBorder="1" xfId="3" applyProtection="1" applyAlignment="1">
      <alignment horizontal="left" vertical="center" shrinkToFit="1"/>
    </xf>
    <xf numFmtId="0" fontId="3" applyFont="1" fillId="2" applyFill="1" borderId="5" applyBorder="1" xfId="3" applyProtection="1"/>
    <xf numFmtId="0" fontId="3" applyFont="1" fillId="2" applyFill="1" borderId="8" applyBorder="1" xfId="3" applyProtection="1"/>
    <xf numFmtId="0" fontId="11" applyFont="1" fillId="2" applyFill="1" borderId="14" applyBorder="1" xfId="3" applyProtection="1" applyAlignment="1">
      <alignment horizontal="center" vertical="center" shrinkToFit="1"/>
    </xf>
    <xf numFmtId="165" applyNumberFormat="1" fontId="22" applyFont="1" fillId="2" applyFill="1" borderId="14" applyBorder="1" xfId="3" applyProtection="1" applyAlignment="1">
      <alignment horizontal="center" vertical="center" shrinkToFit="1"/>
    </xf>
    <xf numFmtId="0" fontId="22" applyFont="1" fillId="8" applyFill="1" borderId="28" applyBorder="1" xfId="3" applyProtection="1" applyAlignment="1">
      <alignment horizontal="center"/>
    </xf>
    <xf numFmtId="0" fontId="8" applyFont="1" fillId="0" borderId="29" applyBorder="1" xfId="3" applyProtection="1" applyAlignment="1">
      <alignment horizontal="center"/>
    </xf>
    <xf numFmtId="0" fontId="8" applyFont="1" fillId="0" borderId="30" applyBorder="1" xfId="3" applyProtection="1" applyAlignment="1">
      <alignment horizontal="center"/>
    </xf>
    <xf numFmtId="0" fontId="8" applyFont="1" fillId="0" borderId="31" applyBorder="1" xfId="3" applyProtection="1" applyAlignment="1">
      <alignment horizontal="center"/>
    </xf>
    <xf numFmtId="0" fontId="3" applyFont="1" fillId="0" borderId="28" applyBorder="1" xfId="3" applyProtection="1" applyAlignment="1">
      <alignment horizontal="center" vertical="center" wrapText="1"/>
    </xf>
    <xf numFmtId="167" applyNumberFormat="1" fontId="3" applyFont="1" fillId="0" borderId="12" applyBorder="1" xfId="3" applyProtection="1" applyAlignment="1">
      <alignment horizontal="center" vertical="center" wrapText="1"/>
    </xf>
    <xf numFmtId="4" applyNumberFormat="1" fontId="10" applyFont="1" fillId="0" borderId="29" applyBorder="1" xfId="3" applyProtection="1" applyAlignment="1">
      <alignment horizontal="center" vertical="center" shrinkToFit="1"/>
    </xf>
    <xf numFmtId="4" applyNumberFormat="1" fontId="10" applyFont="1" fillId="0" borderId="30" applyBorder="1" xfId="3" applyProtection="1" applyAlignment="1">
      <alignment horizontal="center" vertical="center" shrinkToFit="1"/>
    </xf>
    <xf numFmtId="4" applyNumberFormat="1" fontId="10" applyFont="1" fillId="0" borderId="31" applyBorder="1" xfId="3" applyProtection="1" applyAlignment="1">
      <alignment horizontal="center" vertical="center" shrinkToFit="1"/>
    </xf>
    <xf numFmtId="2" applyNumberFormat="1" fontId="10" applyFont="1" fillId="0" borderId="29" applyBorder="1" xfId="3" applyProtection="1" applyAlignment="1">
      <alignment horizontal="center" vertical="center" shrinkToFit="1"/>
    </xf>
    <xf numFmtId="2" applyNumberFormat="1" fontId="10" applyFont="1" fillId="0" borderId="30" applyBorder="1" xfId="3" applyProtection="1" applyAlignment="1">
      <alignment horizontal="center" vertical="center" shrinkToFit="1"/>
    </xf>
    <xf numFmtId="2" applyNumberFormat="1" fontId="10" applyFont="1" fillId="0" borderId="31" applyBorder="1" xfId="3" applyProtection="1" applyAlignment="1">
      <alignment horizontal="center" vertical="center" shrinkToFit="1"/>
    </xf>
    <xf numFmtId="0" fontId="13" applyFont="1" fillId="0" borderId="4" applyBorder="1" xfId="3" applyProtection="1" applyAlignment="1">
      <alignment horizontal="center"/>
    </xf>
    <xf numFmtId="0" fontId="13" applyFont="1" fillId="0" borderId="5" applyBorder="1" xfId="3" applyProtection="1" applyAlignment="1">
      <alignment horizontal="center"/>
    </xf>
    <xf numFmtId="0" fontId="13" applyFont="1" fillId="0" borderId="8" applyBorder="1" xfId="3" applyProtection="1" applyAlignment="1">
      <alignment horizontal="center"/>
    </xf>
    <xf numFmtId="1" applyNumberFormat="1" fontId="11" applyFont="1" fillId="0" borderId="5" applyBorder="1" xfId="3" applyProtection="1" applyAlignment="1">
      <alignment horizontal="right"/>
    </xf>
    <xf numFmtId="49" applyNumberFormat="1" fontId="9" applyFont="1" fillId="0" borderId="28" applyBorder="1" xfId="3" applyProtection="1" applyAlignment="1">
      <alignment horizontal="center" vertical="center" shrinkToFit="1"/>
    </xf>
    <xf numFmtId="49" applyNumberFormat="1" fontId="9" applyFont="1" fillId="0" borderId="12" applyBorder="1" xfId="3" applyProtection="1" applyAlignment="1">
      <alignment horizontal="center" vertical="center" shrinkToFit="1"/>
    </xf>
    <xf numFmtId="2" applyNumberFormat="1" fontId="10" applyFont="1" fillId="0" borderId="28" applyBorder="1" xfId="3" applyProtection="1" applyAlignment="1">
      <alignment horizontal="center" vertical="center" shrinkToFit="1"/>
    </xf>
    <xf numFmtId="2" applyNumberFormat="1" fontId="10" applyFont="1" fillId="0" borderId="12" applyBorder="1" xfId="3" applyProtection="1" applyAlignment="1">
      <alignment horizontal="center" vertical="center" shrinkToFit="1"/>
    </xf>
    <xf numFmtId="0" fontId="0" fillId="24" applyFill="1" borderId="0" xfId="0" applyProtection="1" applyAlignment="1">
      <alignment horizontal="center" vertical="center"/>
    </xf>
    <xf numFmtId="0" fontId="117" applyFont="1" fillId="0" borderId="0" xfId="0" applyProtection="1" applyAlignment="1">
      <alignment horizontal="center" vertical="center"/>
    </xf>
    <xf numFmtId="1" applyNumberFormat="1" fontId="117" applyFont="1" fillId="0" borderId="0" xfId="0" applyProtection="1" applyAlignment="1">
      <alignment horizontal="center" vertical="center"/>
    </xf>
    <xf numFmtId="0" fontId="120" applyFont="1" fillId="24" applyFill="1" borderId="0" xfId="0" applyProtection="1" applyAlignment="1">
      <alignment horizontal="center" vertical="center"/>
    </xf>
    <xf numFmtId="0" fontId="121" applyFont="1" fillId="24" applyFill="1" borderId="0" xfId="0" applyProtection="1" applyAlignment="1">
      <alignment horizontal="center" vertical="center"/>
    </xf>
    <xf numFmtId="0" fontId="100" applyFont="1" fillId="0" borderId="0" xfId="3" applyProtection="1" applyAlignment="1">
      <alignment horizontal="center" vertical="center" wrapText="1"/>
    </xf>
    <xf numFmtId="0" fontId="127" applyFont="1" fillId="24" applyFill="1" borderId="0" xfId="3" applyProtection="1" applyAlignment="1">
      <alignment horizontal="center" vertical="center"/>
    </xf>
    <xf numFmtId="0" fontId="123" applyFont="1" fillId="0" borderId="0" xfId="0" applyProtection="1" applyAlignment="1">
      <alignment horizontal="center" vertical="center" textRotation="255"/>
    </xf>
    <xf numFmtId="0" fontId="124" applyFont="1" fillId="24" applyFill="1" borderId="0" xfId="0" applyProtection="1" applyAlignment="1">
      <alignment horizontal="center" vertical="center"/>
    </xf>
    <xf numFmtId="0" fontId="3" applyFont="1" fillId="24" applyFill="1" borderId="0" xfId="3" applyProtection="1" applyAlignment="1">
      <alignment horizontal="center" vertical="center"/>
    </xf>
    <xf numFmtId="0" fontId="125" applyFont="1" fillId="0" borderId="29" applyBorder="1" xfId="3" applyProtection="1" applyAlignment="1">
      <alignment horizontal="center" vertical="center"/>
    </xf>
    <xf numFmtId="0" fontId="125" applyFont="1" fillId="0" borderId="22" applyBorder="1" xfId="3" applyProtection="1" applyAlignment="1">
      <alignment horizontal="center" vertical="center"/>
    </xf>
    <xf numFmtId="49" applyNumberFormat="1" fontId="126" applyFont="1" fillId="0" borderId="20" applyBorder="1" xfId="3" applyProtection="1" applyAlignment="1">
      <alignment horizontal="center" vertical="center" shrinkToFit="1"/>
    </xf>
    <xf numFmtId="49" applyNumberFormat="1" fontId="126" applyFont="1" fillId="0" borderId="22" applyBorder="1" xfId="3" applyProtection="1" applyAlignment="1">
      <alignment horizontal="center" vertical="center" shrinkToFit="1"/>
    </xf>
    <xf numFmtId="2" applyNumberFormat="1" fontId="126" applyFont="1" fillId="0" borderId="23" applyBorder="1" xfId="3" applyProtection="1" applyAlignment="1">
      <alignment horizontal="center" vertical="center" wrapText="1" shrinkToFit="1"/>
    </xf>
    <xf numFmtId="2" applyNumberFormat="1" fontId="126" applyFont="1" fillId="0" borderId="0" xfId="3" applyProtection="1" applyAlignment="1">
      <alignment horizontal="center" vertical="center" wrapText="1" shrinkToFit="1"/>
    </xf>
    <xf numFmtId="3" applyNumberFormat="1" fontId="132" applyFont="1" fillId="0" borderId="0" xfId="3" applyProtection="1" applyAlignment="1">
      <alignment horizontal="center" vertical="center" shrinkToFit="1"/>
    </xf>
    <xf numFmtId="165" applyNumberFormat="1" fontId="140" applyFont="1" fillId="0" borderId="28" applyBorder="1" xfId="3" applyProtection="1" applyAlignment="1">
      <alignment horizontal="center" vertical="center" shrinkToFit="1"/>
    </xf>
    <xf numFmtId="0" fontId="141" applyFont="1" fillId="24" applyFill="1" borderId="0" xfId="0" applyProtection="1" applyAlignment="1">
      <alignment horizontal="center" vertical="center"/>
    </xf>
    <xf numFmtId="0" fontId="129" applyFont="1" fillId="0" borderId="0" xfId="3" applyProtection="1" applyAlignment="1">
      <alignment horizontal="center" vertical="center" wrapText="1"/>
    </xf>
    <xf numFmtId="2" applyNumberFormat="1" fontId="136" applyFont="1" fillId="0" borderId="0" xfId="3" applyProtection="1" applyAlignment="1">
      <alignment horizontal="center" vertical="center" shrinkToFit="1"/>
    </xf>
    <xf numFmtId="0" fontId="129" applyFont="1" fillId="0" borderId="0" xfId="3" applyProtection="1" applyAlignment="1">
      <alignment horizontal="center" vertical="center"/>
    </xf>
    <xf numFmtId="0" fontId="129" applyFont="1" fillId="0" borderId="24" applyBorder="1" xfId="3" applyProtection="1" applyAlignment="1">
      <alignment horizontal="center" vertical="center"/>
    </xf>
    <xf numFmtId="4" applyNumberFormat="1" fontId="131" applyFont="1" fillId="0" borderId="23" applyBorder="1" xfId="3" applyProtection="1" applyAlignment="1">
      <alignment horizontal="center" vertical="center"/>
    </xf>
    <xf numFmtId="4" applyNumberFormat="1" fontId="131" applyFont="1" fillId="0" borderId="0" xfId="3" applyProtection="1" applyAlignment="1">
      <alignment horizontal="center" vertical="center"/>
    </xf>
    <xf numFmtId="0" fontId="102" applyFont="1" fillId="0" borderId="2" applyBorder="1" xfId="3" applyProtection="1" applyAlignment="1">
      <alignment horizontal="center" vertical="center"/>
    </xf>
    <xf numFmtId="0" fontId="102" applyFont="1" fillId="0" borderId="6" applyBorder="1" xfId="3" applyProtection="1" applyAlignment="1">
      <alignment horizontal="center" vertical="center"/>
    </xf>
    <xf numFmtId="0" fontId="137" applyFont="1" fillId="0" borderId="28" applyBorder="1" xfId="3" applyProtection="1" applyAlignment="1">
      <alignment horizontal="center" vertical="center"/>
    </xf>
    <xf numFmtId="0" fontId="132" applyFont="1" fillId="0" borderId="28" applyBorder="1" xfId="3" applyProtection="1" applyAlignment="1">
      <alignment horizontal="center" vertical="center" shrinkToFit="1"/>
    </xf>
    <xf numFmtId="0" fontId="137" applyFont="1" fillId="0" borderId="28" applyBorder="1" xfId="3" applyProtection="1" applyAlignment="1">
      <alignment horizontal="center" vertical="center" shrinkToFit="1"/>
    </xf>
    <xf numFmtId="0" fontId="142" applyFont="1" fillId="0" borderId="28" applyBorder="1" xfId="3" applyProtection="1" applyAlignment="1">
      <alignment horizontal="center" vertical="center" shrinkToFit="1"/>
    </xf>
    <xf numFmtId="49" applyNumberFormat="1" fontId="102" applyFont="1" fillId="0" borderId="9" applyBorder="1" xfId="3" applyProtection="1" applyAlignment="1">
      <alignment horizontal="center" vertical="center"/>
    </xf>
    <xf numFmtId="49" applyNumberFormat="1" fontId="102" applyFont="1" fillId="0" borderId="10" applyBorder="1" xfId="3" applyProtection="1" applyAlignment="1">
      <alignment horizontal="center" vertical="center"/>
    </xf>
    <xf numFmtId="0" fontId="102" applyFont="1" fillId="0" borderId="4" applyBorder="1" xfId="3" applyProtection="1" applyAlignment="1">
      <alignment horizontal="center" vertical="center"/>
    </xf>
    <xf numFmtId="0" fontId="102" applyFont="1" fillId="0" borderId="5" applyBorder="1" xfId="3" applyProtection="1" applyAlignment="1">
      <alignment horizontal="center" vertical="center"/>
    </xf>
    <xf numFmtId="0" fontId="102" applyFont="1" fillId="0" borderId="8" applyBorder="1" xfId="3" applyProtection="1" applyAlignment="1">
      <alignment horizontal="center" vertical="center"/>
    </xf>
    <xf numFmtId="0" fontId="135" applyFont="1" fillId="25" applyFill="1" borderId="9" applyBorder="1" xfId="3" applyProtection="1" applyAlignment="1">
      <alignment horizontal="center" vertical="center"/>
      <protection locked="0"/>
    </xf>
    <xf numFmtId="0" fontId="135" applyFont="1" fillId="25" applyFill="1" borderId="10" applyBorder="1" xfId="3" applyProtection="1" applyAlignment="1">
      <alignment horizontal="center" vertical="center"/>
      <protection locked="0"/>
    </xf>
    <xf numFmtId="0" fontId="135" applyFont="1" fillId="25" applyFill="1" borderId="11" applyBorder="1" xfId="3" applyProtection="1" applyAlignment="1">
      <alignment horizontal="center" vertical="center"/>
      <protection locked="0"/>
    </xf>
    <xf numFmtId="0" fontId="3" applyFont="1" fillId="25" applyFill="1" borderId="5" applyBorder="1" xfId="3" applyProtection="1" applyAlignment="1">
      <alignment horizontal="center" vertical="center"/>
    </xf>
    <xf numFmtId="0" fontId="3" applyFont="1" fillId="25" applyFill="1" borderId="1" applyBorder="1" xfId="3" applyProtection="1" applyAlignment="1">
      <alignment horizontal="center" vertical="center"/>
      <protection locked="0"/>
    </xf>
    <xf numFmtId="0" fontId="3" applyFont="1" fillId="25" applyFill="1" borderId="2" applyBorder="1" xfId="3" applyProtection="1" applyAlignment="1">
      <alignment horizontal="center" vertical="center"/>
      <protection locked="0"/>
    </xf>
    <xf numFmtId="0" fontId="3" applyFont="1" fillId="25" applyFill="1" borderId="6" applyBorder="1" xfId="3" applyProtection="1" applyAlignment="1">
      <alignment horizontal="center" vertical="center"/>
      <protection locked="0"/>
    </xf>
    <xf numFmtId="0" fontId="129" applyFont="1" fillId="0" borderId="4" applyBorder="1" xfId="3" applyProtection="1" applyAlignment="1">
      <alignment horizontal="center" vertical="center" shrinkToFit="1"/>
    </xf>
    <xf numFmtId="0" fontId="129" applyFont="1" fillId="0" borderId="5" applyBorder="1" xfId="3" applyProtection="1" applyAlignment="1">
      <alignment horizontal="center" vertical="center" shrinkToFit="1"/>
    </xf>
    <xf numFmtId="0" fontId="129" applyFont="1" fillId="0" borderId="8" applyBorder="1" xfId="3" applyProtection="1" applyAlignment="1">
      <alignment horizontal="center" vertical="center" shrinkToFit="1"/>
    </xf>
    <xf numFmtId="0" fontId="3" applyFont="1" fillId="25" applyFill="1" borderId="9" applyBorder="1" xfId="3" applyProtection="1" applyAlignment="1">
      <alignment horizontal="center" vertical="center"/>
    </xf>
    <xf numFmtId="0" fontId="3" applyFont="1" fillId="25" applyFill="1" borderId="10" applyBorder="1" xfId="3" applyProtection="1" applyAlignment="1">
      <alignment horizontal="center" vertical="center"/>
    </xf>
    <xf numFmtId="0" fontId="3" applyFont="1" fillId="25" applyFill="1" borderId="9" applyBorder="1" xfId="3" applyProtection="1" applyAlignment="1">
      <alignment horizontal="center" vertical="center"/>
      <protection locked="0"/>
    </xf>
    <xf numFmtId="0" fontId="3" applyFont="1" fillId="25" applyFill="1" borderId="10" applyBorder="1" xfId="3" applyProtection="1" applyAlignment="1">
      <alignment horizontal="center" vertical="center"/>
      <protection locked="0"/>
    </xf>
    <xf numFmtId="0" fontId="3" applyFont="1" fillId="25" applyFill="1" borderId="11" applyBorder="1" xfId="3" applyProtection="1" applyAlignment="1">
      <alignment horizontal="center" vertical="center"/>
      <protection locked="0"/>
    </xf>
    <xf numFmtId="0" fontId="32" applyFont="1" fillId="0" borderId="4" applyBorder="1" xfId="3" applyProtection="1" applyAlignment="1">
      <alignment horizontal="center" vertical="center" shrinkToFit="1"/>
    </xf>
    <xf numFmtId="0" fontId="32" applyFont="1" fillId="0" borderId="5" applyBorder="1" xfId="3" applyProtection="1" applyAlignment="1">
      <alignment horizontal="center" vertical="center" shrinkToFit="1"/>
    </xf>
    <xf numFmtId="0" fontId="32" applyFont="1" fillId="0" borderId="8" applyBorder="1" xfId="3" applyProtection="1" applyAlignment="1">
      <alignment horizontal="center" vertical="center" shrinkToFit="1"/>
    </xf>
    <xf numFmtId="0" fontId="144" applyFont="1" fillId="0" borderId="9" applyBorder="1" xfId="3" applyProtection="1" applyAlignment="1">
      <alignment horizontal="center" vertical="center"/>
    </xf>
    <xf numFmtId="0" fontId="144" applyFont="1" fillId="0" borderId="10" applyBorder="1" xfId="3" applyProtection="1" applyAlignment="1">
      <alignment horizontal="center" vertical="center"/>
    </xf>
    <xf numFmtId="0" fontId="145" applyFont="1" fillId="0" borderId="3" applyBorder="1" xfId="3" applyProtection="1" applyAlignment="1">
      <alignment horizontal="center" vertical="center" wrapText="1"/>
    </xf>
    <xf numFmtId="0" fontId="145" applyFont="1" fillId="0" borderId="0" xfId="3" applyProtection="1" applyAlignment="1">
      <alignment horizontal="center" vertical="center" wrapText="1"/>
    </xf>
    <xf numFmtId="0" fontId="145" applyFont="1" fillId="0" borderId="7" applyBorder="1" xfId="3" applyProtection="1" applyAlignment="1">
      <alignment horizontal="center" vertical="center" wrapText="1"/>
    </xf>
    <xf numFmtId="0" fontId="146" applyFont="1" fillId="0" borderId="3" applyBorder="1" xfId="3" applyProtection="1" applyAlignment="1">
      <alignment horizontal="center" vertical="center" wrapText="1"/>
    </xf>
    <xf numFmtId="0" fontId="146" applyFont="1" fillId="0" borderId="0" xfId="3" applyProtection="1" applyAlignment="1">
      <alignment horizontal="center" vertical="center" wrapText="1"/>
    </xf>
    <xf numFmtId="0" fontId="146" applyFont="1" fillId="0" borderId="7" applyBorder="1" xfId="3" applyProtection="1" applyAlignment="1">
      <alignment horizontal="center" vertical="center" wrapText="1"/>
    </xf>
    <xf numFmtId="0" fontId="3" applyFont="1" fillId="21" applyFill="1" borderId="23" applyBorder="1" xfId="3" applyProtection="1" applyAlignment="1">
      <alignment horizontal="center" vertical="center"/>
      <protection locked="0"/>
    </xf>
    <xf numFmtId="0" fontId="3" applyFont="1" fillId="21" applyFill="1" borderId="0" xfId="3" applyProtection="1" applyAlignment="1">
      <alignment horizontal="center" vertical="center"/>
      <protection locked="0"/>
    </xf>
    <xf numFmtId="0" fontId="3" applyFont="1" fillId="21" applyFill="1" borderId="43" applyBorder="1" xfId="3" applyProtection="1" applyAlignment="1">
      <alignment horizontal="center" vertical="center"/>
    </xf>
    <xf numFmtId="0" fontId="3" applyFont="1" fillId="21" applyFill="1" borderId="21" applyBorder="1" xfId="3" applyProtection="1" applyAlignment="1">
      <alignment horizontal="center" vertical="center"/>
    </xf>
    <xf numFmtId="0" fontId="3" applyFont="1" fillId="21" applyFill="1" borderId="80" applyBorder="1" xfId="3" applyProtection="1" applyAlignment="1">
      <alignment horizontal="center" vertical="center"/>
    </xf>
    <xf numFmtId="0" fontId="3" applyFont="1" fillId="21" applyFill="1" borderId="1" applyBorder="1" xfId="3" applyProtection="1" applyAlignment="1">
      <alignment horizontal="center" vertical="center"/>
    </xf>
    <xf numFmtId="0" fontId="3" applyFont="1" fillId="21" applyFill="1" borderId="2" applyBorder="1" xfId="3" applyProtection="1" applyAlignment="1">
      <alignment horizontal="center" vertical="center"/>
    </xf>
    <xf numFmtId="0" fontId="3" applyFont="1" fillId="21" applyFill="1" borderId="6" applyBorder="1" xfId="3" applyProtection="1" applyAlignment="1">
      <alignment horizontal="center" vertical="center"/>
    </xf>
    <xf numFmtId="0" fontId="3" applyFont="1" fillId="21" applyFill="1" borderId="20" applyBorder="1" xfId="3" applyProtection="1" applyAlignment="1">
      <alignment horizontal="center" vertical="center"/>
      <protection locked="0"/>
    </xf>
    <xf numFmtId="0" fontId="3" applyFont="1" fillId="21" applyFill="1" borderId="21" applyBorder="1" xfId="3" applyProtection="1" applyAlignment="1">
      <alignment horizontal="center" vertical="center"/>
      <protection locked="0"/>
    </xf>
    <xf numFmtId="0" fontId="3" applyFont="1" fillId="21" applyFill="1" borderId="22" applyBorder="1" xfId="3" applyProtection="1" applyAlignment="1">
      <alignment horizontal="center" vertical="center"/>
      <protection locked="0"/>
    </xf>
    <xf numFmtId="0" fontId="3" applyFont="1" fillId="21" applyFill="1" borderId="25" applyBorder="1" xfId="3" applyProtection="1" applyAlignment="1">
      <alignment horizontal="center" vertical="center"/>
      <protection locked="0"/>
    </xf>
    <xf numFmtId="0" fontId="3" applyFont="1" fillId="21" applyFill="1" borderId="26" applyBorder="1" xfId="3" applyProtection="1" applyAlignment="1">
      <alignment horizontal="center" vertical="center"/>
      <protection locked="0"/>
    </xf>
    <xf numFmtId="0" fontId="3" applyFont="1" fillId="27" applyFill="1" borderId="10" applyBorder="1" xfId="3" applyProtection="1" applyAlignment="1">
      <alignment horizontal="center" vertical="center"/>
    </xf>
    <xf numFmtId="0" fontId="3" applyFont="1" fillId="28" applyFill="1" borderId="0" xfId="3" applyProtection="1" applyAlignment="1">
      <alignment horizontal="center" vertical="center"/>
    </xf>
    <xf numFmtId="0" fontId="3" applyFont="1" fillId="28" applyFill="1" borderId="24" applyBorder="1" xfId="3" applyProtection="1" applyAlignment="1">
      <alignment horizontal="center" vertical="center"/>
    </xf>
    <xf numFmtId="0" fontId="147" applyFont="1" fillId="21" applyFill="1" borderId="23" applyBorder="1" xfId="3" applyProtection="1" applyAlignment="1">
      <alignment horizontal="center" vertical="center"/>
      <protection locked="0"/>
    </xf>
    <xf numFmtId="0" fontId="147" applyFont="1" fillId="21" applyFill="1" borderId="0" xfId="3" applyProtection="1" applyAlignment="1">
      <alignment horizontal="center" vertical="center"/>
      <protection locked="0"/>
    </xf>
    <xf numFmtId="0" fontId="3" applyFont="1" fillId="26" applyFill="1" borderId="20" applyBorder="1" xfId="3" applyProtection="1" applyAlignment="1">
      <alignment horizontal="center" vertical="center" wrapText="1"/>
    </xf>
    <xf numFmtId="0" fontId="3" applyFont="1" fillId="26" applyFill="1" borderId="21" applyBorder="1" xfId="3" applyProtection="1" applyAlignment="1">
      <alignment horizontal="center" vertical="center" wrapText="1"/>
    </xf>
    <xf numFmtId="0" fontId="3" applyFont="1" fillId="26" applyFill="1" borderId="23" applyBorder="1" xfId="3" applyProtection="1" applyAlignment="1">
      <alignment horizontal="center" vertical="center" wrapText="1"/>
    </xf>
    <xf numFmtId="0" fontId="3" applyFont="1" fillId="26" applyFill="1" borderId="0" xfId="3" applyProtection="1" applyAlignment="1">
      <alignment horizontal="center" vertical="center" wrapText="1"/>
    </xf>
    <xf numFmtId="0" fontId="3" applyFont="1" fillId="26" applyFill="1" borderId="82" applyBorder="1" xfId="3" applyProtection="1" applyAlignment="1">
      <alignment horizontal="center" vertical="center" wrapText="1"/>
    </xf>
    <xf numFmtId="0" fontId="3" applyFont="1" fillId="26" applyFill="1" borderId="5" applyBorder="1" xfId="3" applyProtection="1" applyAlignment="1">
      <alignment horizontal="center" vertical="center" wrapText="1"/>
    </xf>
    <xf numFmtId="0" fontId="3" applyFont="1" fillId="26" applyFill="1" borderId="83" applyBorder="1" xfId="3" applyProtection="1" applyAlignment="1">
      <alignment horizontal="center" vertical="center" wrapText="1"/>
    </xf>
    <xf numFmtId="0" fontId="3" applyFont="1" fillId="26" applyFill="1" borderId="2" applyBorder="1" xfId="3" applyProtection="1" applyAlignment="1">
      <alignment horizontal="center" vertical="center" wrapText="1"/>
    </xf>
    <xf numFmtId="0" fontId="3" applyFont="1" fillId="26" applyFill="1" borderId="25" applyBorder="1" xfId="3" applyProtection="1" applyAlignment="1">
      <alignment horizontal="center" vertical="center" wrapText="1"/>
    </xf>
    <xf numFmtId="0" fontId="3" applyFont="1" fillId="26" applyFill="1" borderId="26" applyBorder="1" xfId="3" applyProtection="1" applyAlignment="1">
      <alignment horizontal="center" vertical="center" wrapText="1"/>
    </xf>
    <xf numFmtId="0" fontId="3" applyFont="1" fillId="0" borderId="23" applyBorder="1" xfId="3" applyProtection="1" applyAlignment="1">
      <alignment horizontal="center"/>
      <protection locked="0"/>
    </xf>
    <xf numFmtId="0" fontId="3" applyFont="1" fillId="0" borderId="0" xfId="3" applyProtection="1" applyAlignment="1">
      <alignment horizontal="center"/>
      <protection locked="0"/>
    </xf>
    <xf numFmtId="0" fontId="3" applyFont="1" fillId="0" borderId="25" applyBorder="1" xfId="3" applyProtection="1" applyAlignment="1">
      <alignment horizontal="center"/>
      <protection locked="0"/>
    </xf>
    <xf numFmtId="0" fontId="3" applyFont="1" fillId="0" borderId="26" applyBorder="1" xfId="3" applyProtection="1" applyAlignment="1">
      <alignment horizontal="center"/>
      <protection locked="0"/>
    </xf>
    <xf numFmtId="0" fontId="4" applyFont="1" fillId="0" borderId="23" applyBorder="1" xfId="3" applyProtection="1" applyAlignment="1">
      <alignment horizontal="center"/>
      <protection locked="0"/>
    </xf>
    <xf numFmtId="0" fontId="4" applyFont="1" fillId="0" borderId="0" xfId="3" applyProtection="1" applyAlignment="1">
      <alignment horizontal="center"/>
      <protection locked="0"/>
    </xf>
    <xf numFmtId="0" fontId="3" applyFont="1" fillId="0" borderId="1" applyBorder="1" xfId="3" applyProtection="1" applyAlignment="1">
      <alignment horizontal="center"/>
    </xf>
    <xf numFmtId="0" fontId="3" applyFont="1" fillId="0" borderId="2" applyBorder="1" xfId="3" applyProtection="1" applyAlignment="1">
      <alignment horizontal="center"/>
    </xf>
    <xf numFmtId="0" fontId="3" applyFont="1" fillId="0" borderId="6" applyBorder="1" xfId="3" applyProtection="1" applyAlignment="1">
      <alignment horizontal="center"/>
    </xf>
    <xf numFmtId="0" fontId="3" applyFont="1" fillId="3" applyFill="1" borderId="1" applyBorder="1" xfId="3" applyProtection="1" applyAlignment="1">
      <alignment horizontal="center"/>
    </xf>
    <xf numFmtId="0" fontId="3" applyFont="1" fillId="3" applyFill="1" borderId="2" applyBorder="1" xfId="3" applyProtection="1" applyAlignment="1">
      <alignment horizontal="center"/>
    </xf>
    <xf numFmtId="0" fontId="3" applyFont="1" fillId="3" applyFill="1" borderId="6" applyBorder="1" xfId="3" applyProtection="1" applyAlignment="1">
      <alignment horizontal="center"/>
    </xf>
    <xf numFmtId="0" fontId="3" applyFont="1" fillId="0" borderId="20" applyBorder="1" xfId="3" applyProtection="1" applyAlignment="1">
      <alignment horizontal="center"/>
      <protection locked="0"/>
    </xf>
    <xf numFmtId="0" fontId="3" applyFont="1" fillId="0" borderId="21" applyBorder="1" xfId="3" applyProtection="1" applyAlignment="1">
      <alignment horizontal="center"/>
      <protection locked="0"/>
    </xf>
    <xf numFmtId="0" fontId="3" applyFont="1" fillId="0" borderId="22" applyBorder="1" xfId="3" applyProtection="1" applyAlignment="1">
      <alignment horizontal="center"/>
      <protection locked="0"/>
    </xf>
    <xf numFmtId="0" fontId="3" applyFont="1" fillId="2" applyFill="1" borderId="1" applyBorder="1" xfId="3" applyProtection="1" applyAlignment="1">
      <alignment horizontal="center" vertical="center" wrapText="1"/>
    </xf>
    <xf numFmtId="0" fontId="3" applyFont="1" fillId="2" applyFill="1" borderId="2" applyBorder="1" xfId="3" applyProtection="1" applyAlignment="1">
      <alignment horizontal="center" vertical="center" wrapText="1"/>
    </xf>
    <xf numFmtId="0" fontId="3" applyFont="1" fillId="2" applyFill="1" borderId="3" applyBorder="1" xfId="3" applyProtection="1" applyAlignment="1">
      <alignment horizontal="center" vertical="center" wrapText="1"/>
    </xf>
    <xf numFmtId="0" fontId="3" applyFont="1" fillId="2" applyFill="1" borderId="0" xfId="3" applyProtection="1" applyAlignment="1">
      <alignment horizontal="center" vertical="center" wrapText="1"/>
    </xf>
    <xf numFmtId="0" fontId="3" applyFont="1" fillId="2" applyFill="1" borderId="4" applyBorder="1" xfId="3" applyProtection="1" applyAlignment="1">
      <alignment horizontal="center" vertical="center" wrapText="1"/>
    </xf>
    <xf numFmtId="0" fontId="3" applyFont="1" fillId="2" applyFill="1" borderId="5" applyBorder="1" xfId="3" applyProtection="1" applyAlignment="1">
      <alignment horizontal="center" vertical="center" wrapText="1"/>
    </xf>
    <xf numFmtId="0" fontId="3" applyFont="1" fillId="3" applyFill="1" borderId="1" applyBorder="1" xfId="3" applyProtection="1" applyAlignment="1">
      <alignment horizontal="center" vertical="center" wrapText="1"/>
    </xf>
    <xf numFmtId="0" fontId="3" applyFont="1" fillId="3" applyFill="1" borderId="2" applyBorder="1" xfId="3" applyProtection="1" applyAlignment="1">
      <alignment horizontal="center" vertical="center" wrapText="1"/>
    </xf>
    <xf numFmtId="0" fontId="3" applyFont="1" fillId="3" applyFill="1" borderId="3" applyBorder="1" xfId="3" applyProtection="1" applyAlignment="1">
      <alignment horizontal="center" vertical="center" wrapText="1"/>
    </xf>
    <xf numFmtId="0" fontId="3" applyFont="1" fillId="3" applyFill="1" borderId="0" xfId="3" applyProtection="1" applyAlignment="1">
      <alignment horizontal="center" vertical="center" wrapText="1"/>
    </xf>
    <xf numFmtId="0" fontId="3" applyFont="1" fillId="3" applyFill="1" borderId="4" applyBorder="1" xfId="3" applyProtection="1" applyAlignment="1">
      <alignment horizontal="center" vertical="center" wrapText="1"/>
    </xf>
    <xf numFmtId="0" fontId="3" applyFont="1" fillId="3" applyFill="1" borderId="5" applyBorder="1" xfId="3" applyProtection="1" applyAlignment="1">
      <alignment horizontal="center" vertical="center" wrapText="1"/>
    </xf>
    <xf numFmtId="0" fontId="3" applyFont="1" fillId="4" applyFill="1" borderId="1" applyBorder="1" xfId="3" applyProtection="1" applyAlignment="1">
      <alignment horizontal="center" vertical="center" wrapText="1"/>
    </xf>
    <xf numFmtId="0" fontId="3" applyFont="1" fillId="4" applyFill="1" borderId="2" applyBorder="1" xfId="3" applyProtection="1" applyAlignment="1">
      <alignment horizontal="center" vertical="center" wrapText="1"/>
    </xf>
    <xf numFmtId="0" fontId="3" applyFont="1" fillId="4" applyFill="1" borderId="3" applyBorder="1" xfId="3" applyProtection="1" applyAlignment="1">
      <alignment horizontal="center" vertical="center" wrapText="1"/>
    </xf>
    <xf numFmtId="0" fontId="3" applyFont="1" fillId="4" applyFill="1" borderId="0" xfId="3" applyProtection="1" applyAlignment="1">
      <alignment horizontal="center" vertical="center" wrapText="1"/>
    </xf>
    <xf numFmtId="0" fontId="3" applyFont="1" fillId="4" applyFill="1" borderId="4" applyBorder="1" xfId="3" applyProtection="1" applyAlignment="1">
      <alignment horizontal="center" vertical="center" wrapText="1"/>
    </xf>
    <xf numFmtId="0" fontId="3" applyFont="1" fillId="4" applyFill="1" borderId="5" applyBorder="1" xfId="3" applyProtection="1" applyAlignment="1">
      <alignment horizontal="center" vertical="center" wrapText="1"/>
    </xf>
    <xf numFmtId="0" fontId="3" applyFont="1" fillId="0" borderId="0" xfId="3" applyProtection="1" applyAlignment="1">
      <alignment horizontal="center" vertical="center"/>
    </xf>
    <xf numFmtId="0" fontId="3" applyFont="1" fillId="0" borderId="7" applyBorder="1" xfId="3" applyProtection="1" applyAlignment="1">
      <alignment horizontal="center" vertical="center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1615"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 val="0"/>
        <strike val="0"/>
        <outline val="0"/>
        <shadow val="0"/>
        <u val="none"/>
        <vertAlign val="baseline"/>
        <sz val="14"/>
      </font>
      <alignment horizontal="center" vertical="center" indent="0" justifyLastLine="0" readingOrder="0"/>
    </dxf>
    <dxf>
      <border outline="0">
        <left style="thin">
          <color auto="1"/>
        </left>
        <top style="thin">
          <color indexed="64"/>
        </top>
        <bottom style="thin">
          <color auto="1"/>
        </bottom>
      </border>
    </dxf>
    <dxf>
      <font>
        <b val="0"/>
        <strike val="0"/>
        <outline val="0"/>
        <shadow val="0"/>
        <u val="none"/>
        <vertAlign val="baseline"/>
        <sz val="14"/>
      </font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3" formatCode="#,##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0" formatCode="General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auto="1"/>
        <name val="Arial"/>
        <scheme val="none"/>
      </font>
      <numFmt numFmtId="165" formatCode="0.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 Greek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ill>
        <patternFill patternType="none">
          <fgColor indexed="64"/>
          <bgColor auto="1"/>
        </patternFill>
      </fill>
      <alignment horizontal="center" vertical="center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fill>
        <patternFill patternType="none">
          <fgColor indexed="64"/>
          <bgColor auto="1"/>
        </patternFill>
      </fill>
      <alignment horizontal="center" vertical="center" textRotation="0" indent="0" justifyLastLine="0" readingOrder="0"/>
    </dxf>
    <dxf>
      <numFmt numFmtId="1" formatCode="0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numFmt numFmtId="0" formatCode="General"/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textRotation="0" wrapText="0" indent="0" justifyLastLine="0" shrinkToFit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alignment horizontal="center" vertical="center" indent="0" justifyLastLine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alignment horizontal="center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medium">
          <color indexed="64"/>
        </left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2" formatCode="0.0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medium">
          <color auto="1"/>
        </left>
        <right/>
        <top/>
        <bottom/>
      </border>
    </dxf>
    <dxf>
      <font>
        <b/>
        <i val="0"/>
        <strike val="0"/>
        <u val="none"/>
        <sz val="12"/>
        <color theme="1"/>
        <name val="Calibri"/>
        <scheme val="none"/>
      </font>
      <fill>
        <patternFill patternType="none"/>
      </fill>
      <alignment horizontal="center" vertic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6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protection locked="1" hidden="1"/>
    </dxf>
    <dxf>
      <numFmt numFmtId="0" formatCode="General"/>
      <protection hidden="1"/>
    </dxf>
    <dxf>
      <numFmt numFmtId="1" formatCode="0"/>
      <protection locked="1" hidden="1"/>
    </dxf>
    <dxf>
      <numFmt numFmtId="1" formatCode="0"/>
      <alignment horizontal="center" vertical="center" textRotation="0" wrapText="0" indent="0" justifyLastLine="0" shrinkToFit="0" readingOrder="0"/>
      <protection locked="1" hidden="1"/>
    </dxf>
    <dxf>
      <numFmt numFmtId="0" formatCode="General"/>
      <alignment horizontal="center" vertical="center"/>
      <protection hidden="1"/>
    </dxf>
    <dxf>
      <protection locked="1" hidden="1"/>
    </dxf>
    <dxf>
      <numFmt numFmtId="0" formatCode="General"/>
      <protection hidden="1"/>
    </dxf>
    <dxf>
      <protection locked="1" hidden="1"/>
    </dxf>
    <dxf>
      <protection hidden="1"/>
    </dxf>
    <dxf>
      <protection locked="1" hidden="1"/>
    </dxf>
    <dxf>
      <protection hidden="1"/>
    </dxf>
    <dxf>
      <alignment horizontal="center" vertical="bottom" textRotation="0" wrapText="0" indent="0" justifyLastLine="0" shrinkToFit="0" readingOrder="0"/>
      <border diagonalUp="0" diagonalDown="0" outline="0">
        <left style="thin">
          <color auto="1"/>
        </left>
        <right/>
        <top/>
        <bottom/>
      </border>
      <protection locked="1" hidden="1"/>
    </dxf>
    <dxf>
      <numFmt numFmtId="2" formatCode="0.00"/>
      <alignment horizontal="center"/>
      <protection hidden="1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numFmt numFmtId="0" formatCode="General"/>
    </dxf>
    <dxf>
      <font>
        <strike val="0"/>
        <u val="none"/>
        <sz val="14"/>
        <color theme="1"/>
        <name val="Calibri"/>
        <scheme val="none"/>
      </font>
    </dxf>
    <dxf>
      <font>
        <strike val="0"/>
        <u val="none"/>
        <sz val="14"/>
        <color theme="1"/>
        <name val="Calibri"/>
        <scheme val="none"/>
      </font>
      <protection hidden="1"/>
    </dxf>
    <dxf>
      <font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/>
      <protection hidden="1"/>
    </dxf>
    <dxf>
      <font>
        <b val="0"/>
        <i val="0"/>
        <strike val="0"/>
        <u val="none"/>
        <sz val="20"/>
        <color theme="1"/>
        <name val="Calibri"/>
        <scheme val="none"/>
      </font>
      <alignment horizontal="center" vertical="center"/>
      <protection hidden="1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numFmt numFmtId="0" formatCode="General"/>
      <fill>
        <patternFill patternType="none"/>
      </fill>
      <alignment horizontal="center" vertical="center"/>
    </dxf>
    <dxf>
      <font>
        <strike val="0"/>
        <u val="none"/>
        <sz val="11"/>
        <color theme="1"/>
        <name val="Calibri"/>
        <scheme val="none"/>
      </font>
      <fill>
        <patternFill patternType="none"/>
      </fill>
      <alignment horizontal="center" vertical="center"/>
    </dxf>
    <dxf>
      <protection hidden="1"/>
    </dxf>
    <dxf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2" formatCode="0.00"/>
      <alignment horizontal="center" vertical="center"/>
      <protection hidden="1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border diagonalUp="0" diagonalDown="0" outline="0">
        <left style="thin">
          <color auto="1"/>
        </left>
        <right/>
        <top style="thin">
          <color auto="1"/>
        </top>
        <bottom/>
      </border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strike val="0"/>
        <u val="none"/>
        <sz val="14"/>
        <color theme="1"/>
        <name val="Calibri"/>
        <scheme val="none"/>
      </font>
      <alignment horizontal="center" vertical="center"/>
      <protection hidden="1"/>
    </dxf>
    <dxf>
      <font>
        <b val="0"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protection locked="1" hidden="1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auto="1"/>
        </left>
        <right/>
        <top/>
        <bottom/>
        <vertical/>
        <horizontal/>
      </border>
      <protection locked="1" hidden="1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3" formatCode="#,##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65" formatCode="0.0"/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numFmt numFmtId="165" formatCode="0.0"/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/>
        <right/>
        <top style="thin">
          <color auto="1"/>
        </top>
        <bottom/>
      </border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numFmt numFmtId="3" formatCode="#,##0"/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13" formatCode="0%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vertical="center" shrinkToFit="1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Arial Greek"/>
        <scheme val="none"/>
      </font>
      <numFmt numFmtId="3" formatCode="#,##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3" formatCode="#,##0"/>
      <fill>
        <patternFill patternType="none"/>
      </fill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solid">
          <bgColor theme="0"/>
        </patternFill>
      </fill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fill>
        <patternFill patternType="none"/>
      </fill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172" formatCode="yyyy/mm/dd"/>
      <fill>
        <patternFill patternType="none"/>
      </fill>
      <alignment horizontal="center"/>
    </dxf>
    <dxf>
      <font>
        <b/>
        <i val="0"/>
        <strike val="0"/>
        <u val="none"/>
        <sz val="14"/>
        <color auto="1"/>
        <name val="Arial Greek"/>
        <scheme val="none"/>
      </font>
      <numFmt numFmtId="4" formatCode="#,##0.00"/>
      <fill>
        <patternFill patternType="none"/>
      </fill>
      <alignment horizontal="center"/>
    </dxf>
    <dxf>
      <font>
        <b/>
        <strike val="0"/>
        <u val="none"/>
        <sz val="14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numFmt numFmtId="4" formatCode="#,##0.00"/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fill>
        <patternFill patternType="none"/>
      </fill>
      <alignment horizontal="center" shrinkToFit="1"/>
    </dxf>
    <dxf>
      <font>
        <b/>
        <i val="0"/>
        <strike val="0"/>
        <u val="none"/>
        <sz val="14"/>
        <color auto="1"/>
        <name val="Calibri"/>
        <scheme val="none"/>
      </font>
      <fill>
        <patternFill patternType="none"/>
      </fill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numFmt numFmtId="0" formatCode="General"/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u val="none"/>
        <sz val="8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13" formatCode="0%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numFmt numFmtId="2" formatCode="0.00"/>
      <fill>
        <patternFill patternType="solid">
          <fgColor indexed="64"/>
          <bgColor theme="7" tint="0.39994506668294322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2" formatCode="0.00"/>
      <fill>
        <patternFill patternType="solid">
          <bgColor theme="7" tint="0.39994506668294322"/>
        </patternFill>
      </fill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auto="1"/>
        <name val="Calibri"/>
        <scheme val="none"/>
      </font>
      <numFmt numFmtId="4" formatCode="#,##0.00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strike val="0"/>
        <u val="none"/>
        <sz val="14"/>
      </font>
      <numFmt numFmtId="0" formatCode="General"/>
      <alignment horizontal="center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1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 vertical="center" shrinkToFit="1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  <protection locked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u val="none"/>
        <sz val="14"/>
        <color theme="1"/>
        <name val="Calibri"/>
        <scheme val="none"/>
      </font>
      <alignment horizontal="center"/>
    </dxf>
    <dxf>
      <numFmt numFmtId="1" formatCode="0"/>
    </dxf>
    <dxf>
      <numFmt numFmtId="0" formatCode="General"/>
    </dxf>
    <dxf>
      <numFmt numFmtId="1" formatCode="0"/>
    </dxf>
    <dxf>
      <numFmt numFmtId="0" formatCode="General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numFmt numFmtId="0" formatCode="General"/>
    </dxf>
    <dxf>
      <numFmt numFmtId="0" formatCode="General"/>
    </dxf>
    <dxf>
      <font>
        <strike val="0"/>
        <outline val="0"/>
        <shadow val="0"/>
        <u val="none"/>
        <vertAlign val="baseline"/>
        <sz val="14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ck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ck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1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1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thin">
          <color auto="1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Calibri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outline="0">
        <left style="thick">
          <color auto="1"/>
        </left>
      </border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b/>
        <strike val="0"/>
        <outline val="0"/>
        <shadow val="0"/>
        <u val="none"/>
        <vertAlign val="baseline"/>
        <sz val="36"/>
        <color theme="1"/>
        <name val="Calibri"/>
        <family val="2"/>
        <scheme val="minor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24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/>
    </dxf>
    <dxf>
      <alignment horizontal="center" vertical="bottom" textRotation="0" wrapText="0" indent="0" justifyLastLine="0" shrinkToFit="0" readingOrder="0"/>
    </dxf>
    <dxf>
      <alignment horizontal="center"/>
    </dxf>
    <dxf>
      <numFmt numFmtId="1" formatCode="0"/>
      <alignment horizontal="center"/>
    </dxf>
    <dxf>
      <alignment horizontal="center"/>
    </dxf>
    <dxf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numFmt numFmtId="0" formatCode="General"/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</dxfs>
  <tableStyles count="0" defaultTableStyle="TableStyleMedium2" defaultPivotStyle="PivotStyleLight16"/>
  <colors>
    <mruColors>
      <color rgb="FFB7FBB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1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Drop" dropStyle="combo" dx="16" fmlaLink="Format!$A$7" fmlaRange="Format!$A$2:$A$6" noThreeD="1" sel="2" val="0"/>
</file>

<file path=xl/ctrlProps/ctrlProp10.xml><?xml version="1.0" encoding="utf-8"?>
<formControlPr xmlns="http://schemas.microsoft.com/office/spreadsheetml/2009/9/main" objectType="Drop" dropStyle="combo" dx="16" fmlaLink="Format!$J$8" fmlaRange="Format!$J$3:$J$7" noThreeD="1" sel="3" val="0"/>
</file>

<file path=xl/ctrlProps/ctrlProp11.xml><?xml version="1.0" encoding="utf-8"?>
<formControlPr xmlns="http://schemas.microsoft.com/office/spreadsheetml/2009/9/main" objectType="Drop" dropStyle="combo" dx="16" fmlaLink="Format!$K$14" fmlaRange="Format!$K$3:$K$13" noThreeD="1" sel="6" val="3"/>
</file>

<file path=xl/ctrlProps/ctrlProp12.xml><?xml version="1.0" encoding="utf-8"?>
<formControlPr xmlns="http://schemas.microsoft.com/office/spreadsheetml/2009/9/main" objectType="Drop" dropStyle="combo" dx="16" fmlaLink="Format!$L$14" fmlaRange="Format!$L$3:$L$13" noThreeD="1" sel="6" val="3"/>
</file>

<file path=xl/ctrlProps/ctrlProp13.xml><?xml version="1.0" encoding="utf-8"?>
<formControlPr xmlns="http://schemas.microsoft.com/office/spreadsheetml/2009/9/main" objectType="Drop" dropStyle="combo" dx="16" fmlaLink="Format!$N$8" fmlaRange="Format!$N$2:$N$7" noThreeD="1" sel="1" val="0"/>
</file>

<file path=xl/ctrlProps/ctrlProp14.xml><?xml version="1.0" encoding="utf-8"?>
<formControlPr xmlns="http://schemas.microsoft.com/office/spreadsheetml/2009/9/main" objectType="Drop" dropStyle="combo" dx="16" fmlaLink="Format!$O$4" fmlaRange="Format!$O$2:$O$3" noThreeD="1" sel="1" val="0"/>
</file>

<file path=xl/ctrlProps/ctrlProp15.xml><?xml version="1.0" encoding="utf-8"?>
<formControlPr xmlns="http://schemas.microsoft.com/office/spreadsheetml/2009/9/main" objectType="Drop" dropStyle="combo" dx="16" fmlaLink="Format!$P$5" fmlaRange="Format!$P$2:$P$4" noThreeD="1" sel="1" val="0"/>
</file>

<file path=xl/ctrlProps/ctrlProp16.xml><?xml version="1.0" encoding="utf-8"?>
<formControlPr xmlns="http://schemas.microsoft.com/office/spreadsheetml/2009/9/main" objectType="Drop" dropStyle="combo" dx="16" fmlaLink="Format!$M$8" fmlaRange="Format!$M$3:$M$7" noThreeD="1" sel="3" val="0"/>
</file>

<file path=xl/ctrlProps/ctrlProp17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18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19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2.xml><?xml version="1.0" encoding="utf-8"?>
<formControlPr xmlns="http://schemas.microsoft.com/office/spreadsheetml/2009/9/main" objectType="Drop" dropStyle="combo" dx="16" fmlaLink="Format!$B$5" fmlaRange="Format!$B$2:$B$4" noThreeD="1" sel="1" val="0"/>
</file>

<file path=xl/ctrlProps/ctrlProp20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21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22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23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24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25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26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27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28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29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3.xml><?xml version="1.0" encoding="utf-8"?>
<formControlPr xmlns="http://schemas.microsoft.com/office/spreadsheetml/2009/9/main" objectType="Drop" dropStyle="combo" dx="16" fmlaLink="Format!$C$8" fmlaRange="Format!$C$2:$C$7" noThreeD="1" sel="1" val="0"/>
</file>

<file path=xl/ctrlProps/ctrlProp30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31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32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33.xml><?xml version="1.0" encoding="utf-8"?>
<formControlPr xmlns="http://schemas.microsoft.com/office/spreadsheetml/2009/9/main" objectType="Drop" dropStyle="combo" dx="16" fmlaLink="'[2]Cutting Ro-1'!$A$96" fmlaRange="'[2]Cutting Ro-1'!$A$91:$A$95" noThreeD="1" sel="0" val="0"/>
</file>

<file path=xl/ctrlProps/ctrlProp34.xml><?xml version="1.0" encoding="utf-8"?>
<formControlPr xmlns="http://schemas.microsoft.com/office/spreadsheetml/2009/9/main" objectType="Drop" dropStyle="combo" dx="16" fmlaLink="'[2]Cutting Ro-1'!$B$94" fmlaRange="'[2]Cutting Ro-1'!$B$91:$B$93" noThreeD="1" sel="0" val="0"/>
</file>

<file path=xl/ctrlProps/ctrlProp35.xml><?xml version="1.0" encoding="utf-8"?>
<formControlPr xmlns="http://schemas.microsoft.com/office/spreadsheetml/2009/9/main" objectType="Drop" dropStyle="combo" dx="16" fmlaLink="'[2]Cutting Ro-1'!$C$97" fmlaRange="'[2]Cutting Ro-1'!$C$91:$C$96" noThreeD="1" sel="0" val="0"/>
</file>

<file path=xl/ctrlProps/ctrlProp36.xml><?xml version="1.0" encoding="utf-8"?>
<formControlPr xmlns="http://schemas.microsoft.com/office/spreadsheetml/2009/9/main" objectType="Drop" dropStyle="combo" dx="16" fmlaLink="'[2]Cutting Ro-1'!$D$93" fmlaRange="'[2]Cutting Ro-1'!$D$91:$D$92" noThreeD="1" sel="0" val="0"/>
</file>

<file path=xl/ctrlProps/ctrlProp37.xml><?xml version="1.0" encoding="utf-8"?>
<formControlPr xmlns="http://schemas.microsoft.com/office/spreadsheetml/2009/9/main" objectType="Drop" dropStyle="combo" dx="16" fmlaLink="'[2]Cutting Ro-1'!$E$97" fmlaRange="'[2]Cutting Ro-1'!$E$91:$E$96" noThreeD="1" sel="0" val="0"/>
</file>

<file path=xl/ctrlProps/ctrlProp38.xml><?xml version="1.0" encoding="utf-8"?>
<formControlPr xmlns="http://schemas.microsoft.com/office/spreadsheetml/2009/9/main" objectType="Drop" dropStyle="combo" dx="16" fmlaLink="'[2]Cutting Ro-1'!$G$93" fmlaRange="'[2]Cutting Ro-1'!$G$91:$G$92" noThreeD="1" sel="0" val="0"/>
</file>

<file path=xl/ctrlProps/ctrlProp39.xml><?xml version="1.0" encoding="utf-8"?>
<formControlPr xmlns="http://schemas.microsoft.com/office/spreadsheetml/2009/9/main" objectType="Drop" dropStyle="combo" dx="16" fmlaLink="'[2]Cutting Ro-1'!$H$93" fmlaRange="'[2]Cutting Ro-1'!$H$91:$H$92" noThreeD="1" sel="0" val="0"/>
</file>

<file path=xl/ctrlProps/ctrlProp4.xml><?xml version="1.0" encoding="utf-8"?>
<formControlPr xmlns="http://schemas.microsoft.com/office/spreadsheetml/2009/9/main" objectType="Drop" dropStyle="combo" dx="16" fmlaLink="Format!$D$4" fmlaRange="Format!$D$2:$D$3" noThreeD="1" sel="1" val="0"/>
</file>

<file path=xl/ctrlProps/ctrlProp40.xml><?xml version="1.0" encoding="utf-8"?>
<formControlPr xmlns="http://schemas.microsoft.com/office/spreadsheetml/2009/9/main" objectType="Drop" dropStyle="combo" dx="16" fmlaLink="'[2]Cutting Ro-1'!$I$94" fmlaRange="'[2]Cutting Ro-1'!$I$91:$I$93" noThreeD="1" sel="0" val="0"/>
</file>

<file path=xl/ctrlProps/ctrlProp41.xml><?xml version="1.0" encoding="utf-8"?>
<formControlPr xmlns="http://schemas.microsoft.com/office/spreadsheetml/2009/9/main" objectType="Drop" dropStyle="combo" dx="16" fmlaLink="'[2]Cutting Ro-1'!$F$93" fmlaRange="'[2]Cutting Ro-1'!$F$91:$F$92" noThreeD="1" sel="0" val="0"/>
</file>

<file path=xl/ctrlProps/ctrlProp42.xml><?xml version="1.0" encoding="utf-8"?>
<formControlPr xmlns="http://schemas.microsoft.com/office/spreadsheetml/2009/9/main" objectType="Drop" dropStyle="combo" dx="16" fmlaLink="'[2]Cutting Ro-1'!$J$97" fmlaRange="'[2]Cutting Ro-1'!$J$92:$J$96" noThreeD="1" sel="0" val="0"/>
</file>

<file path=xl/ctrlProps/ctrlProp43.xml><?xml version="1.0" encoding="utf-8"?>
<formControlPr xmlns="http://schemas.microsoft.com/office/spreadsheetml/2009/9/main" objectType="Drop" dropStyle="combo" dx="16" fmlaLink="'[2]Cutting Ro-1'!$K$103" fmlaRange="'[2]Cutting Ro-1'!$K$92:$K$102" noThreeD="1" sel="0" val="0"/>
</file>

<file path=xl/ctrlProps/ctrlProp44.xml><?xml version="1.0" encoding="utf-8"?>
<formControlPr xmlns="http://schemas.microsoft.com/office/spreadsheetml/2009/9/main" objectType="Drop" dropStyle="combo" dx="16" fmlaLink="'[2]Cutting Ro-1'!$L$103" fmlaRange="'[2]Cutting Ro-1'!$L$92:$L$102" noThreeD="1" sel="0" val="0"/>
</file>

<file path=xl/ctrlProps/ctrlProp45.xml><?xml version="1.0" encoding="utf-8"?>
<formControlPr xmlns="http://schemas.microsoft.com/office/spreadsheetml/2009/9/main" objectType="Drop" dropStyle="combo" dx="16" fmlaLink="'[2]Cutting Ro-1'!$N$97" fmlaRange="'[2]Cutting Ro-1'!$N$91:$N$96" noThreeD="1" sel="0" val="0"/>
</file>

<file path=xl/ctrlProps/ctrlProp46.xml><?xml version="1.0" encoding="utf-8"?>
<formControlPr xmlns="http://schemas.microsoft.com/office/spreadsheetml/2009/9/main" objectType="Drop" dropStyle="combo" dx="16" fmlaLink="'[2]Cutting Ro-1'!$O$93" fmlaRange="'[2]Cutting Ro-1'!$O$91:$O$92" noThreeD="1" sel="0" val="0"/>
</file>

<file path=xl/ctrlProps/ctrlProp47.xml><?xml version="1.0" encoding="utf-8"?>
<formControlPr xmlns="http://schemas.microsoft.com/office/spreadsheetml/2009/9/main" objectType="Drop" dropStyle="combo" dx="16" fmlaLink="'[2]Cutting Ro-1'!$P$94" fmlaRange="'[2]Cutting Ro-1'!$P$91:$P$93" noThreeD="1" sel="0" val="0"/>
</file>

<file path=xl/ctrlProps/ctrlProp48.xml><?xml version="1.0" encoding="utf-8"?>
<formControlPr xmlns="http://schemas.microsoft.com/office/spreadsheetml/2009/9/main" objectType="Drop" dropStyle="combo" dx="16" fmlaLink="'[2]Cutting Ro-1'!$M$97" fmlaRange="'[2]Cutting Ro-1'!$M$92:$M$96" noThreeD="1" sel="0" val="0"/>
</file>

<file path=xl/ctrlProps/ctrlProp49.xml><?xml version="1.0" encoding="utf-8"?>
<formControlPr xmlns="http://schemas.microsoft.com/office/spreadsheetml/2009/9/main" objectType="Drop" dropStyle="combo" dx="16" fmlaLink="'Format (2)'!$A$7" fmlaRange="'Format (2)'!$A$2:$A$6" noThreeD="1" sel="2" val="0"/>
</file>

<file path=xl/ctrlProps/ctrlProp5.xml><?xml version="1.0" encoding="utf-8"?>
<formControlPr xmlns="http://schemas.microsoft.com/office/spreadsheetml/2009/9/main" objectType="Drop" dropStyle="combo" dx="16" fmlaLink="Format!$E$8" fmlaRange="Format!$E$2:$E$7" noThreeD="1" sel="4" val="0"/>
</file>

<file path=xl/ctrlProps/ctrlProp50.xml><?xml version="1.0" encoding="utf-8"?>
<formControlPr xmlns="http://schemas.microsoft.com/office/spreadsheetml/2009/9/main" objectType="Drop" dropStyle="combo" dx="16" fmlaLink="'Format (2)'!$B$5" fmlaRange="'Format (2)'!$B$2:$B$4" noThreeD="1" sel="1" val="0"/>
</file>

<file path=xl/ctrlProps/ctrlProp51.xml><?xml version="1.0" encoding="utf-8"?>
<formControlPr xmlns="http://schemas.microsoft.com/office/spreadsheetml/2009/9/main" objectType="Drop" dropStyle="combo" dx="16" fmlaLink="'Format (2)'!$C$8" fmlaRange="'Format (2)'!$C$2:$C$7" noThreeD="1" sel="1" val="0"/>
</file>

<file path=xl/ctrlProps/ctrlProp52.xml><?xml version="1.0" encoding="utf-8"?>
<formControlPr xmlns="http://schemas.microsoft.com/office/spreadsheetml/2009/9/main" objectType="Drop" dropStyle="combo" dx="16" fmlaLink="'Format (2)'!$D$4" fmlaRange="'Format (2)'!$D$2:$D$3" noThreeD="1" sel="1" val="0"/>
</file>

<file path=xl/ctrlProps/ctrlProp53.xml><?xml version="1.0" encoding="utf-8"?>
<formControlPr xmlns="http://schemas.microsoft.com/office/spreadsheetml/2009/9/main" objectType="Drop" dropStyle="combo" dx="16" fmlaLink="'Format (2)'!$E$8" fmlaRange="'Format (2)'!$E$2:$E$7" noThreeD="1" sel="1" val="0"/>
</file>

<file path=xl/ctrlProps/ctrlProp54.xml><?xml version="1.0" encoding="utf-8"?>
<formControlPr xmlns="http://schemas.microsoft.com/office/spreadsheetml/2009/9/main" objectType="Drop" dropStyle="combo" dx="16" fmlaLink="'Format (2)'!$G$4" fmlaRange="'Format (2)'!$G$2:$G$3" noThreeD="1" sel="1" val="0"/>
</file>

<file path=xl/ctrlProps/ctrlProp55.xml><?xml version="1.0" encoding="utf-8"?>
<formControlPr xmlns="http://schemas.microsoft.com/office/spreadsheetml/2009/9/main" objectType="Drop" dropStyle="combo" dx="16" fmlaLink="'Format (2)'!$H$4" fmlaRange="'Format (2)'!$H$2:$H$3" noThreeD="1" sel="2" val="0"/>
</file>

<file path=xl/ctrlProps/ctrlProp56.xml><?xml version="1.0" encoding="utf-8"?>
<formControlPr xmlns="http://schemas.microsoft.com/office/spreadsheetml/2009/9/main" objectType="Drop" dropStyle="combo" dx="16" fmlaLink="'Format (2)'!$I$5" fmlaRange="'Format (2)'!$I$2:$I$4" noThreeD="1" sel="2" val="0"/>
</file>

<file path=xl/ctrlProps/ctrlProp57.xml><?xml version="1.0" encoding="utf-8"?>
<formControlPr xmlns="http://schemas.microsoft.com/office/spreadsheetml/2009/9/main" objectType="Drop" dropStyle="combo" dx="16" fmlaLink="'Format (2)'!$F$4" fmlaRange="'Format (2)'!$F$2:$F$3" noThreeD="1" sel="1" val="0"/>
</file>

<file path=xl/ctrlProps/ctrlProp58.xml><?xml version="1.0" encoding="utf-8"?>
<formControlPr xmlns="http://schemas.microsoft.com/office/spreadsheetml/2009/9/main" objectType="Drop" dropStyle="combo" dx="16" fmlaLink="'Format (2)'!$J$8" fmlaRange="'Format (2)'!$J$3:$J$7" noThreeD="1" sel="3" val="0"/>
</file>

<file path=xl/ctrlProps/ctrlProp59.xml><?xml version="1.0" encoding="utf-8"?>
<formControlPr xmlns="http://schemas.microsoft.com/office/spreadsheetml/2009/9/main" objectType="Drop" dropStyle="combo" dx="16" fmlaLink="'Format (2)'!$K$14" fmlaRange="'Format (2)'!$K$3:$K$13" noThreeD="1" sel="6" val="3"/>
</file>

<file path=xl/ctrlProps/ctrlProp6.xml><?xml version="1.0" encoding="utf-8"?>
<formControlPr xmlns="http://schemas.microsoft.com/office/spreadsheetml/2009/9/main" objectType="Drop" dropStyle="combo" dx="16" fmlaLink="Format!$G$4" fmlaRange="Format!$G$2:$G$3" noThreeD="1" sel="1" val="0"/>
</file>

<file path=xl/ctrlProps/ctrlProp60.xml><?xml version="1.0" encoding="utf-8"?>
<formControlPr xmlns="http://schemas.microsoft.com/office/spreadsheetml/2009/9/main" objectType="Drop" dropStyle="combo" dx="16" fmlaLink="'Format (2)'!$L$14" fmlaRange="'Format (2)'!$L$3:$L$13" noThreeD="1" sel="6" val="3"/>
</file>

<file path=xl/ctrlProps/ctrlProp61.xml><?xml version="1.0" encoding="utf-8"?>
<formControlPr xmlns="http://schemas.microsoft.com/office/spreadsheetml/2009/9/main" objectType="Drop" dropStyle="combo" dx="16" fmlaLink="'Format (2)'!$N$8" fmlaRange="'Format (2)'!$N$2:$N$7" noThreeD="1" sel="1" val="0"/>
</file>

<file path=xl/ctrlProps/ctrlProp62.xml><?xml version="1.0" encoding="utf-8"?>
<formControlPr xmlns="http://schemas.microsoft.com/office/spreadsheetml/2009/9/main" objectType="Drop" dropStyle="combo" dx="16" fmlaLink="'Format (2)'!$O$4" fmlaRange="'Format (2)'!$O$2:$O$3" noThreeD="1" sel="1" val="0"/>
</file>

<file path=xl/ctrlProps/ctrlProp63.xml><?xml version="1.0" encoding="utf-8"?>
<formControlPr xmlns="http://schemas.microsoft.com/office/spreadsheetml/2009/9/main" objectType="Drop" dropStyle="combo" dx="16" fmlaLink="'Format (2)'!$P$5" fmlaRange="'Format (2)'!$P$2:$P$4" noThreeD="1" sel="1" val="0"/>
</file>

<file path=xl/ctrlProps/ctrlProp64.xml><?xml version="1.0" encoding="utf-8"?>
<formControlPr xmlns="http://schemas.microsoft.com/office/spreadsheetml/2009/9/main" objectType="Drop" dropStyle="combo" dx="16" fmlaLink="'Format (2)'!$M$8" fmlaRange="'Format (2)'!$M$3:$M$7" noThreeD="1" sel="3" val="0"/>
</file>

<file path=xl/ctrlProps/ctrlProp7.xml><?xml version="1.0" encoding="utf-8"?>
<formControlPr xmlns="http://schemas.microsoft.com/office/spreadsheetml/2009/9/main" objectType="Drop" dropStyle="combo" dx="16" fmlaLink="Format!$H$4" fmlaRange="Format!$H$2:$H$3" noThreeD="1" sel="2" val="0"/>
</file>

<file path=xl/ctrlProps/ctrlProp8.xml><?xml version="1.0" encoding="utf-8"?>
<formControlPr xmlns="http://schemas.microsoft.com/office/spreadsheetml/2009/9/main" objectType="Drop" dropStyle="combo" dx="16" fmlaLink="Format!$I$5" fmlaRange="Format!$I$2:$I$4" noThreeD="1" sel="2" val="0"/>
</file>

<file path=xl/ctrlProps/ctrlProp9.xml><?xml version="1.0" encoding="utf-8"?>
<formControlPr xmlns="http://schemas.microsoft.com/office/spreadsheetml/2009/9/main" objectType="Drop" dropStyle="combo" dx="16" fmlaLink="Format!$F$4" fmlaRange="Format!$F$2:$F$3" noThreeD="1" sel="1" val="0"/>
</file>

<file path=xl/drawings/_rels/drawing1.xml.rels><?xml version="1.0" encoding="UTF-8" standalone="yes"?><Relationships xmlns="http://schemas.openxmlformats.org/package/2006/relationships"><Relationship Id="rId3" Type="http://schemas.openxmlformats.org/officeDocument/2006/relationships/hyperlink" Target="#&#1578;&#1587;&#1593;&#1610;&#1585;!A59"/><Relationship Id="rId2" Type="http://schemas.openxmlformats.org/officeDocument/2006/relationships/hyperlink" Target="#&#1578;&#1587;&#1593;&#1610;&#1585;!A1"/><Relationship Id="rId1" Type="http://schemas.openxmlformats.org/officeDocument/2006/relationships/hyperlink" Target="#&#1578;&#1587;&#1593;&#1610;&#1585;!A34"/><Relationship Id="rId6" Type="http://schemas.openxmlformats.org/officeDocument/2006/relationships/hyperlink" Target="#&#1578;&#1587;&#1593;&#1610;&#1585;!A98"/><Relationship Id="rId5" Type="http://schemas.openxmlformats.org/officeDocument/2006/relationships/image" Target="../media/image1.jpeg"/><Relationship Id="rId4" Type="http://schemas.openxmlformats.org/officeDocument/2006/relationships/hyperlink" Target="#&#1578;&#1587;&#1593;&#1610;&#1585;!A78"/><Relationship Id="rId7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673553</xdr:colOff>
      <xdr:row>6</xdr:row>
      <xdr:rowOff>197306</xdr:rowOff>
    </xdr:from>
    <xdr:to>
      <xdr:col>19</xdr:col>
      <xdr:colOff>1251857</xdr:colOff>
      <xdr:row>8</xdr:row>
      <xdr:rowOff>500062</xdr:rowOff>
    </xdr:to>
    <xdr:sp macro="" textlink="">
      <xdr:nvSpPr>
        <xdr:cNvPr id="5" name="U-Turn Arrow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 rot="16200000">
          <a:off x="10027920342" y="3688557"/>
          <a:ext cx="1255256" cy="223565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7</xdr:col>
      <xdr:colOff>2503</xdr:colOff>
      <xdr:row>52</xdr:row>
      <xdr:rowOff>125328</xdr:rowOff>
    </xdr:from>
    <xdr:to>
      <xdr:col>7</xdr:col>
      <xdr:colOff>210909</xdr:colOff>
      <xdr:row>53</xdr:row>
      <xdr:rowOff>250657</xdr:rowOff>
    </xdr:to>
    <xdr:sp macro="" textlink="">
      <xdr:nvSpPr>
        <xdr:cNvPr id="15" name="U-Turn Arrow 1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>
        <a:xfrm rot="16200000">
          <a:off x="10044686079" y="28544490"/>
          <a:ext cx="658729" cy="20840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26</xdr:row>
      <xdr:rowOff>299362</xdr:rowOff>
    </xdr:from>
    <xdr:to>
      <xdr:col>19</xdr:col>
      <xdr:colOff>979711</xdr:colOff>
      <xdr:row>28</xdr:row>
      <xdr:rowOff>312968</xdr:rowOff>
    </xdr:to>
    <xdr:sp macro="" textlink="">
      <xdr:nvSpPr>
        <xdr:cNvPr id="9" name="U-Turn Arrow 8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 rot="16200000">
          <a:off x="10028228206" y="143847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31</xdr:col>
      <xdr:colOff>877661</xdr:colOff>
      <xdr:row>5</xdr:row>
      <xdr:rowOff>292555</xdr:rowOff>
    </xdr:from>
    <xdr:to>
      <xdr:col>32</xdr:col>
      <xdr:colOff>1251854</xdr:colOff>
      <xdr:row>7</xdr:row>
      <xdr:rowOff>476253</xdr:rowOff>
    </xdr:to>
    <xdr:sp macro="" textlink="">
      <xdr:nvSpPr>
        <xdr:cNvPr id="17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 rot="16200000">
          <a:off x="10005360719" y="3178632"/>
          <a:ext cx="1136198" cy="191724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25</xdr:row>
      <xdr:rowOff>346984</xdr:rowOff>
    </xdr:from>
    <xdr:to>
      <xdr:col>42</xdr:col>
      <xdr:colOff>449036</xdr:colOff>
      <xdr:row>28</xdr:row>
      <xdr:rowOff>353786</xdr:rowOff>
    </xdr:to>
    <xdr:sp macro="" textlink="">
      <xdr:nvSpPr>
        <xdr:cNvPr id="19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>
        <a:xfrm rot="16200000">
          <a:off x="9991331075" y="13360173"/>
          <a:ext cx="1549852" cy="371747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26</xdr:col>
      <xdr:colOff>1504950</xdr:colOff>
      <xdr:row>11</xdr:row>
      <xdr:rowOff>228600</xdr:rowOff>
    </xdr:from>
    <xdr:to>
      <xdr:col>28</xdr:col>
      <xdr:colOff>1257300</xdr:colOff>
      <xdr:row>12</xdr:row>
      <xdr:rowOff>685800</xdr:rowOff>
    </xdr:to>
    <xdr:cxnSp macro="">
      <xdr:nvCxnSpPr>
        <xdr:cNvPr id="25" name="Straight Arrow Connector 24">
          <a:extLs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CxnSpPr/>
      </xdr:nvCxnSpPr>
      <xdr:spPr>
        <a:xfrm flipH="1">
          <a:off x="9830910343" y="6814457"/>
          <a:ext cx="2895600" cy="116477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408214</xdr:colOff>
      <xdr:row>5</xdr:row>
      <xdr:rowOff>557893</xdr:rowOff>
    </xdr:from>
    <xdr:to>
      <xdr:col>20</xdr:col>
      <xdr:colOff>408214</xdr:colOff>
      <xdr:row>12</xdr:row>
      <xdr:rowOff>517071</xdr:rowOff>
    </xdr:to>
    <xdr:cxnSp macro="">
      <xdr:nvCxnSpPr>
        <xdr:cNvPr id="30" name="Straight Arrow Connector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CxnSpPr/>
      </xdr:nvCxnSpPr>
      <xdr:spPr>
        <a:xfrm>
          <a:off x="10026464036" y="3834493"/>
          <a:ext cx="0" cy="397872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1551214</xdr:colOff>
      <xdr:row>9</xdr:row>
      <xdr:rowOff>421822</xdr:rowOff>
    </xdr:from>
    <xdr:to>
      <xdr:col>20</xdr:col>
      <xdr:colOff>394607</xdr:colOff>
      <xdr:row>9</xdr:row>
      <xdr:rowOff>421822</xdr:rowOff>
    </xdr:to>
    <xdr:cxnSp macro="">
      <xdr:nvCxnSpPr>
        <xdr:cNvPr id="35" name="Straight Connector 34">
          <a:extLst>
            <a:ext uri="{FF2B5EF4-FFF2-40B4-BE49-F238E27FC236}">
              <a16:creationId xmlns:a16="http://schemas.microsoft.com/office/drawing/2014/main" id="{00000000-0008-0000-0100-000023000000}"/>
            </a:ext>
          </a:extLst>
        </xdr:cNvPr>
        <xdr:cNvCxnSpPr/>
      </xdr:nvCxnSpPr>
      <xdr:spPr>
        <a:xfrm flipH="1">
          <a:off x="10026477643" y="6060622"/>
          <a:ext cx="653143" cy="0"/>
        </a:xfrm>
        <a:prstGeom prst="line">
          <a:avLst/>
        </a:prstGeom>
        <a:ln w="76200">
          <a:solidFill>
            <a:schemeClr val="bg2">
              <a:lumMod val="1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28</xdr:col>
      <xdr:colOff>1000124</xdr:colOff>
      <xdr:row>23</xdr:row>
      <xdr:rowOff>261937</xdr:rowOff>
    </xdr:from>
    <xdr:to>
      <xdr:col>28</xdr:col>
      <xdr:colOff>1000125</xdr:colOff>
      <xdr:row>35</xdr:row>
      <xdr:rowOff>-1</xdr:rowOff>
    </xdr:to>
    <xdr:cxnSp macro="">
      <xdr:nvCxnSpPr>
        <xdr:cNvPr id="38" name="Straight Arrow Connector 37">
          <a:extLst>
            <a:ext uri="{FF2B5EF4-FFF2-40B4-BE49-F238E27FC236}">
              <a16:creationId xmlns:a16="http://schemas.microsoft.com/office/drawing/2014/main" id="{00000000-0008-0000-0100-000026000000}"/>
            </a:ext>
          </a:extLst>
        </xdr:cNvPr>
        <xdr:cNvCxnSpPr/>
      </xdr:nvCxnSpPr>
      <xdr:spPr>
        <a:xfrm flipH="1">
          <a:off x="10012537125" y="13330237"/>
          <a:ext cx="1" cy="5929312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1524000</xdr:colOff>
      <xdr:row>33</xdr:row>
      <xdr:rowOff>95250</xdr:rowOff>
    </xdr:from>
    <xdr:to>
      <xdr:col>28</xdr:col>
      <xdr:colOff>285750</xdr:colOff>
      <xdr:row>34</xdr:row>
      <xdr:rowOff>381001</xdr:rowOff>
    </xdr:to>
    <xdr:cxnSp macro="">
      <xdr:nvCxnSpPr>
        <xdr:cNvPr id="40" name="Straight Arrow Connector 39">
          <a:extLst>
            <a:ext uri="{FF2B5EF4-FFF2-40B4-BE49-F238E27FC236}">
              <a16:creationId xmlns:a16="http://schemas.microsoft.com/office/drawing/2014/main" id="{00000000-0008-0000-0100-000028000000}"/>
            </a:ext>
          </a:extLst>
        </xdr:cNvPr>
        <xdr:cNvCxnSpPr/>
      </xdr:nvCxnSpPr>
      <xdr:spPr>
        <a:xfrm flipV="1">
          <a:off x="9779936625" y="18073688"/>
          <a:ext cx="1905000" cy="809626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406977</xdr:colOff>
      <xdr:row>30</xdr:row>
      <xdr:rowOff>467594</xdr:rowOff>
    </xdr:from>
    <xdr:to>
      <xdr:col>26</xdr:col>
      <xdr:colOff>1143000</xdr:colOff>
      <xdr:row>31</xdr:row>
      <xdr:rowOff>0</xdr:rowOff>
    </xdr:to>
    <xdr:cxnSp macro="">
      <xdr:nvCxnSpPr>
        <xdr:cNvPr id="42" name="Straight Arrow Connector 41">
          <a:extLst>
            <a:ext uri="{FF2B5EF4-FFF2-40B4-BE49-F238E27FC236}">
              <a16:creationId xmlns:a16="http://schemas.microsoft.com/office/drawing/2014/main" id="{00000000-0008-0000-0100-00002A000000}"/>
            </a:ext>
          </a:extLst>
        </xdr:cNvPr>
        <xdr:cNvCxnSpPr/>
      </xdr:nvCxnSpPr>
      <xdr:spPr>
        <a:xfrm flipV="1">
          <a:off x="9782222625" y="16945844"/>
          <a:ext cx="7403523" cy="32469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1404933</xdr:colOff>
      <xdr:row>25</xdr:row>
      <xdr:rowOff>476231</xdr:rowOff>
    </xdr:from>
    <xdr:to>
      <xdr:col>20</xdr:col>
      <xdr:colOff>1404937</xdr:colOff>
      <xdr:row>34</xdr:row>
      <xdr:rowOff>357187</xdr:rowOff>
    </xdr:to>
    <xdr:cxnSp macro="">
      <xdr:nvCxnSpPr>
        <xdr:cNvPr id="45" name="Straight Arrow Connector 44">
          <a:extLst>
            <a:ext uri="{FF2B5EF4-FFF2-40B4-BE49-F238E27FC236}">
              <a16:creationId xmlns:a16="http://schemas.microsoft.com/office/drawing/2014/main" id="{00000000-0008-0000-0100-00002D000000}"/>
            </a:ext>
          </a:extLst>
        </xdr:cNvPr>
        <xdr:cNvCxnSpPr/>
      </xdr:nvCxnSpPr>
      <xdr:spPr>
        <a:xfrm flipH="1">
          <a:off x="9792200063" y="14454169"/>
          <a:ext cx="4" cy="4405331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928687</xdr:colOff>
      <xdr:row>11</xdr:row>
      <xdr:rowOff>666749</xdr:rowOff>
    </xdr:from>
    <xdr:to>
      <xdr:col>53</xdr:col>
      <xdr:colOff>1166812</xdr:colOff>
      <xdr:row>12</xdr:row>
      <xdr:rowOff>119062</xdr:rowOff>
    </xdr:to>
    <xdr:cxnSp macro="">
      <xdr:nvCxnSpPr>
        <xdr:cNvPr id="55" name="Straight Arrow Connector 54">
          <a:extLst>
            <a:ext uri="{FF2B5EF4-FFF2-40B4-BE49-F238E27FC236}">
              <a16:creationId xmlns:a16="http://schemas.microsoft.com/office/drawing/2014/main" id="{00000000-0008-0000-0100-000037000000}"/>
            </a:ext>
          </a:extLst>
        </xdr:cNvPr>
        <xdr:cNvCxnSpPr/>
      </xdr:nvCxnSpPr>
      <xdr:spPr>
        <a:xfrm flipH="1">
          <a:off x="9970174688" y="7258049"/>
          <a:ext cx="11572875" cy="157163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46</xdr:col>
      <xdr:colOff>1004452</xdr:colOff>
      <xdr:row>9</xdr:row>
      <xdr:rowOff>606137</xdr:rowOff>
    </xdr:from>
    <xdr:to>
      <xdr:col>48</xdr:col>
      <xdr:colOff>277091</xdr:colOff>
      <xdr:row>11</xdr:row>
      <xdr:rowOff>450275</xdr:rowOff>
    </xdr:to>
    <xdr:cxnSp macro="">
      <xdr:nvCxnSpPr>
        <xdr:cNvPr id="59" name="Straight Arrow Connector 58">
          <a:extLst>
            <a:ext uri="{FF2B5EF4-FFF2-40B4-BE49-F238E27FC236}">
              <a16:creationId xmlns:a16="http://schemas.microsoft.com/office/drawing/2014/main" id="{00000000-0008-0000-0100-00003B000000}"/>
            </a:ext>
          </a:extLst>
        </xdr:cNvPr>
        <xdr:cNvCxnSpPr/>
      </xdr:nvCxnSpPr>
      <xdr:spPr>
        <a:xfrm flipH="1" flipV="1">
          <a:off x="9922764000" y="6251864"/>
          <a:ext cx="2528457" cy="796638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1524000</xdr:colOff>
      <xdr:row>11</xdr:row>
      <xdr:rowOff>647700</xdr:rowOff>
    </xdr:from>
    <xdr:to>
      <xdr:col>64</xdr:col>
      <xdr:colOff>1333500</xdr:colOff>
      <xdr:row>12</xdr:row>
      <xdr:rowOff>0</xdr:rowOff>
    </xdr:to>
    <xdr:cxnSp macro="">
      <xdr:nvCxnSpPr>
        <xdr:cNvPr id="39" name="Straight Arrow Connector 38">
          <a:extLst>
            <a:ext uri="{FF2B5EF4-FFF2-40B4-BE49-F238E27FC236}">
              <a16:creationId xmlns:a16="http://schemas.microsoft.com/office/drawing/2014/main" id="{00000000-0008-0000-0100-000027000000}"/>
            </a:ext>
          </a:extLst>
        </xdr:cNvPr>
        <xdr:cNvCxnSpPr/>
      </xdr:nvCxnSpPr>
      <xdr:spPr>
        <a:xfrm flipH="1">
          <a:off x="9949395900" y="7239000"/>
          <a:ext cx="11277600" cy="57150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57</xdr:col>
      <xdr:colOff>1506683</xdr:colOff>
      <xdr:row>10</xdr:row>
      <xdr:rowOff>34636</xdr:rowOff>
    </xdr:from>
    <xdr:to>
      <xdr:col>58</xdr:col>
      <xdr:colOff>1593273</xdr:colOff>
      <xdr:row>11</xdr:row>
      <xdr:rowOff>519546</xdr:rowOff>
    </xdr:to>
    <xdr:cxnSp macro="">
      <xdr:nvCxnSpPr>
        <xdr:cNvPr id="43" name="Straight Arrow Connector 42">
          <a:extLst>
            <a:ext uri="{FF2B5EF4-FFF2-40B4-BE49-F238E27FC236}">
              <a16:creationId xmlns:a16="http://schemas.microsoft.com/office/drawing/2014/main" id="{00000000-0008-0000-0100-00002B000000}"/>
            </a:ext>
          </a:extLst>
        </xdr:cNvPr>
        <xdr:cNvCxnSpPr/>
      </xdr:nvCxnSpPr>
      <xdr:spPr>
        <a:xfrm>
          <a:off x="9902501727" y="6390409"/>
          <a:ext cx="1731818" cy="727364"/>
        </a:xfrm>
        <a:prstGeom prst="straightConnector1">
          <a:avLst/>
        </a:prstGeom>
        <a:ln w="38100">
          <a:solidFill>
            <a:schemeClr val="tx2">
              <a:lumMod val="50000"/>
            </a:schemeClr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0</xdr:row>
      <xdr:rowOff>432090</xdr:rowOff>
    </xdr:from>
    <xdr:to>
      <xdr:col>49</xdr:col>
      <xdr:colOff>52056</xdr:colOff>
      <xdr:row>2</xdr:row>
      <xdr:rowOff>425288</xdr:rowOff>
    </xdr:to>
    <xdr:sp macro="" textlink="">
      <xdr:nvSpPr>
        <xdr:cNvPr id="53" name="U-Turn Arrow 52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5000000}"/>
            </a:ext>
          </a:extLst>
        </xdr:cNvPr>
        <xdr:cNvSpPr/>
      </xdr:nvSpPr>
      <xdr:spPr>
        <a:xfrm rot="16200000">
          <a:off x="9978129258" y="69276"/>
          <a:ext cx="115524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58</xdr:col>
      <xdr:colOff>1250474</xdr:colOff>
      <xdr:row>0</xdr:row>
      <xdr:rowOff>432090</xdr:rowOff>
    </xdr:from>
    <xdr:to>
      <xdr:col>59</xdr:col>
      <xdr:colOff>1524224</xdr:colOff>
      <xdr:row>2</xdr:row>
      <xdr:rowOff>425288</xdr:rowOff>
    </xdr:to>
    <xdr:sp macro="" textlink="">
      <xdr:nvSpPr>
        <xdr:cNvPr id="54" name="U-Turn Arrow 5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36000000}"/>
            </a:ext>
          </a:extLst>
        </xdr:cNvPr>
        <xdr:cNvSpPr/>
      </xdr:nvSpPr>
      <xdr:spPr>
        <a:xfrm rot="16200000">
          <a:off x="9957775077" y="53689"/>
          <a:ext cx="1155248" cy="1912050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18</xdr:col>
      <xdr:colOff>542922</xdr:colOff>
      <xdr:row>47</xdr:row>
      <xdr:rowOff>299362</xdr:rowOff>
    </xdr:from>
    <xdr:to>
      <xdr:col>19</xdr:col>
      <xdr:colOff>979711</xdr:colOff>
      <xdr:row>49</xdr:row>
      <xdr:rowOff>312968</xdr:rowOff>
    </xdr:to>
    <xdr:sp macro="" textlink="">
      <xdr:nvSpPr>
        <xdr:cNvPr id="52" name="U-Turn Arrow 51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34000000}"/>
            </a:ext>
          </a:extLst>
        </xdr:cNvPr>
        <xdr:cNvSpPr/>
      </xdr:nvSpPr>
      <xdr:spPr>
        <a:xfrm rot="16200000">
          <a:off x="10028209156" y="25319495"/>
          <a:ext cx="10804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 editAs="oneCell">
    <xdr:from>
      <xdr:col>25</xdr:col>
      <xdr:colOff>1197013</xdr:colOff>
      <xdr:row>41</xdr:row>
      <xdr:rowOff>10634</xdr:rowOff>
    </xdr:from>
    <xdr:to>
      <xdr:col>28</xdr:col>
      <xdr:colOff>1266825</xdr:colOff>
      <xdr:row>43</xdr:row>
      <xdr:rowOff>512165</xdr:rowOff>
    </xdr:to>
    <xdr:pic>
      <xdr:nvPicPr>
        <xdr:cNvPr id="56" name="Picture 5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22060535"/>
          <a:ext cx="4871720" cy="1568450"/>
        </a:xfrm>
        <a:prstGeom prst="rect">
          <a:avLst/>
        </a:prstGeom>
      </xdr:spPr>
    </xdr:pic>
    <xdr:clientData/>
  </xdr:twoCellAnchor>
  <xdr:twoCellAnchor>
    <xdr:from>
      <xdr:col>20</xdr:col>
      <xdr:colOff>809625</xdr:colOff>
      <xdr:row>54</xdr:row>
      <xdr:rowOff>190501</xdr:rowOff>
    </xdr:from>
    <xdr:to>
      <xdr:col>27</xdr:col>
      <xdr:colOff>762000</xdr:colOff>
      <xdr:row>56</xdr:row>
      <xdr:rowOff>47625</xdr:rowOff>
    </xdr:to>
    <xdr:cxnSp macro="">
      <xdr:nvCxnSpPr>
        <xdr:cNvPr id="24" name="Straight Arrow Connector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CxnSpPr/>
      </xdr:nvCxnSpPr>
      <xdr:spPr>
        <a:xfrm flipV="1">
          <a:off x="9780841500" y="29027439"/>
          <a:ext cx="11953875" cy="90487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762000</xdr:colOff>
      <xdr:row>53</xdr:row>
      <xdr:rowOff>71437</xdr:rowOff>
    </xdr:from>
    <xdr:to>
      <xdr:col>27</xdr:col>
      <xdr:colOff>1357312</xdr:colOff>
      <xdr:row>56</xdr:row>
      <xdr:rowOff>119062</xdr:rowOff>
    </xdr:to>
    <xdr:cxnSp macro="">
      <xdr:nvCxnSpPr>
        <xdr:cNvPr id="57" name="Straight Arrow Connector 56">
          <a:extLst>
            <a:ext uri="{FF2B5EF4-FFF2-40B4-BE49-F238E27FC236}">
              <a16:creationId xmlns:a16="http://schemas.microsoft.com/office/drawing/2014/main" id="{00000000-0008-0000-0100-000039000000}"/>
            </a:ext>
          </a:extLst>
        </xdr:cNvPr>
        <xdr:cNvCxnSpPr/>
      </xdr:nvCxnSpPr>
      <xdr:spPr>
        <a:xfrm flipH="1" flipV="1">
          <a:off x="9780246188" y="28384500"/>
          <a:ext cx="595312" cy="1619250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542922</xdr:colOff>
      <xdr:row>65</xdr:row>
      <xdr:rowOff>299362</xdr:rowOff>
    </xdr:from>
    <xdr:to>
      <xdr:col>19</xdr:col>
      <xdr:colOff>979711</xdr:colOff>
      <xdr:row>67</xdr:row>
      <xdr:rowOff>312968</xdr:rowOff>
    </xdr:to>
    <xdr:sp macro="" textlink="">
      <xdr:nvSpPr>
        <xdr:cNvPr id="66" name="U-Turn Arrow 6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100-000042000000}"/>
            </a:ext>
          </a:extLst>
        </xdr:cNvPr>
        <xdr:cNvSpPr/>
      </xdr:nvSpPr>
      <xdr:spPr>
        <a:xfrm rot="16200000">
          <a:off x="10028228206" y="34768295"/>
          <a:ext cx="1042306" cy="2094139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oneCellAnchor>
    <xdr:from>
      <xdr:col>25</xdr:col>
      <xdr:colOff>1197013</xdr:colOff>
      <xdr:row>59</xdr:row>
      <xdr:rowOff>10634</xdr:rowOff>
    </xdr:from>
    <xdr:ext cx="4843483" cy="1530231"/>
    <xdr:pic>
      <xdr:nvPicPr>
        <xdr:cNvPr id="67" name="Picture 6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429825" y="31623635"/>
          <a:ext cx="4843145" cy="1530350"/>
        </a:xfrm>
        <a:prstGeom prst="rect">
          <a:avLst/>
        </a:prstGeom>
      </xdr:spPr>
    </xdr:pic>
    <xdr:clientData/>
  </xdr:oneCellAnchor>
  <xdr:twoCellAnchor>
    <xdr:from>
      <xdr:col>20</xdr:col>
      <xdr:colOff>666750</xdr:colOff>
      <xdr:row>71</xdr:row>
      <xdr:rowOff>142875</xdr:rowOff>
    </xdr:from>
    <xdr:to>
      <xdr:col>27</xdr:col>
      <xdr:colOff>381000</xdr:colOff>
      <xdr:row>75</xdr:row>
      <xdr:rowOff>285751</xdr:rowOff>
    </xdr:to>
    <xdr:cxnSp macro="">
      <xdr:nvCxnSpPr>
        <xdr:cNvPr id="69" name="Straight Arrow Connector 68">
          <a:extLst>
            <a:ext uri="{FF2B5EF4-FFF2-40B4-BE49-F238E27FC236}">
              <a16:creationId xmlns:a16="http://schemas.microsoft.com/office/drawing/2014/main" id="{00000000-0008-0000-0100-000045000000}"/>
            </a:ext>
          </a:extLst>
        </xdr:cNvPr>
        <xdr:cNvCxnSpPr/>
      </xdr:nvCxnSpPr>
      <xdr:spPr>
        <a:xfrm flipV="1">
          <a:off x="9781222500" y="37861875"/>
          <a:ext cx="11715750" cy="219075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452437</xdr:colOff>
      <xdr:row>70</xdr:row>
      <xdr:rowOff>381000</xdr:rowOff>
    </xdr:from>
    <xdr:to>
      <xdr:col>27</xdr:col>
      <xdr:colOff>1285875</xdr:colOff>
      <xdr:row>75</xdr:row>
      <xdr:rowOff>238125</xdr:rowOff>
    </xdr:to>
    <xdr:cxnSp macro="">
      <xdr:nvCxnSpPr>
        <xdr:cNvPr id="70" name="Straight Arrow Connector 69">
          <a:extLst>
            <a:ext uri="{FF2B5EF4-FFF2-40B4-BE49-F238E27FC236}">
              <a16:creationId xmlns:a16="http://schemas.microsoft.com/office/drawing/2014/main" id="{00000000-0008-0000-0100-000046000000}"/>
            </a:ext>
          </a:extLst>
        </xdr:cNvPr>
        <xdr:cNvCxnSpPr/>
      </xdr:nvCxnSpPr>
      <xdr:spPr>
        <a:xfrm flipH="1" flipV="1">
          <a:off x="9780317625" y="37576125"/>
          <a:ext cx="833438" cy="2428875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20</xdr:row>
      <xdr:rowOff>432090</xdr:rowOff>
    </xdr:from>
    <xdr:to>
      <xdr:col>49</xdr:col>
      <xdr:colOff>52056</xdr:colOff>
      <xdr:row>22</xdr:row>
      <xdr:rowOff>425288</xdr:rowOff>
    </xdr:to>
    <xdr:sp macro="" textlink="">
      <xdr:nvSpPr>
        <xdr:cNvPr id="82" name="U-Turn Arrow 81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2000000}"/>
            </a:ext>
          </a:extLst>
        </xdr:cNvPr>
        <xdr:cNvSpPr/>
      </xdr:nvSpPr>
      <xdr:spPr>
        <a:xfrm rot="16200000">
          <a:off x="9978195933" y="11527851"/>
          <a:ext cx="10218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47</xdr:col>
      <xdr:colOff>214312</xdr:colOff>
      <xdr:row>25</xdr:row>
      <xdr:rowOff>23812</xdr:rowOff>
    </xdr:from>
    <xdr:to>
      <xdr:col>52</xdr:col>
      <xdr:colOff>23812</xdr:colOff>
      <xdr:row>25</xdr:row>
      <xdr:rowOff>23813</xdr:rowOff>
    </xdr:to>
    <xdr:cxnSp macro="">
      <xdr:nvCxnSpPr>
        <xdr:cNvPr id="71" name="Straight Arrow Connector 70">
          <a:extLst>
            <a:ext uri="{FF2B5EF4-FFF2-40B4-BE49-F238E27FC236}">
              <a16:creationId xmlns:a16="http://schemas.microsoft.com/office/drawing/2014/main" id="{00000000-0008-0000-0100-000047000000}"/>
            </a:ext>
          </a:extLst>
        </xdr:cNvPr>
        <xdr:cNvCxnSpPr/>
      </xdr:nvCxnSpPr>
      <xdr:spPr>
        <a:xfrm>
          <a:off x="9972936938" y="14120812"/>
          <a:ext cx="7905750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51</xdr:col>
      <xdr:colOff>346363</xdr:colOff>
      <xdr:row>34</xdr:row>
      <xdr:rowOff>329045</xdr:rowOff>
    </xdr:from>
    <xdr:to>
      <xdr:col>52</xdr:col>
      <xdr:colOff>138546</xdr:colOff>
      <xdr:row>34</xdr:row>
      <xdr:rowOff>432954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100-000048000000}"/>
            </a:ext>
          </a:extLst>
        </xdr:cNvPr>
        <xdr:cNvCxnSpPr/>
      </xdr:nvCxnSpPr>
      <xdr:spPr>
        <a:xfrm flipH="1">
          <a:off x="9916390909" y="18859500"/>
          <a:ext cx="1420092" cy="103909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20</xdr:row>
      <xdr:rowOff>432090</xdr:rowOff>
    </xdr:from>
    <xdr:to>
      <xdr:col>60</xdr:col>
      <xdr:colOff>52056</xdr:colOff>
      <xdr:row>22</xdr:row>
      <xdr:rowOff>425288</xdr:rowOff>
    </xdr:to>
    <xdr:sp macro="" textlink="">
      <xdr:nvSpPr>
        <xdr:cNvPr id="88" name="U-Turn Arrow 87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100-000058000000}"/>
            </a:ext>
          </a:extLst>
        </xdr:cNvPr>
        <xdr:cNvSpPr/>
      </xdr:nvSpPr>
      <xdr:spPr>
        <a:xfrm rot="16200000">
          <a:off x="9957679083" y="11508801"/>
          <a:ext cx="10218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57</xdr:col>
      <xdr:colOff>1262061</xdr:colOff>
      <xdr:row>23</xdr:row>
      <xdr:rowOff>476251</xdr:rowOff>
    </xdr:from>
    <xdr:to>
      <xdr:col>64</xdr:col>
      <xdr:colOff>809625</xdr:colOff>
      <xdr:row>23</xdr:row>
      <xdr:rowOff>476252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100-00005A000000}"/>
            </a:ext>
          </a:extLst>
        </xdr:cNvPr>
        <xdr:cNvCxnSpPr/>
      </xdr:nvCxnSpPr>
      <xdr:spPr>
        <a:xfrm flipV="1">
          <a:off x="9949919775" y="13544551"/>
          <a:ext cx="11015664" cy="1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63</xdr:col>
      <xdr:colOff>800100</xdr:colOff>
      <xdr:row>36</xdr:row>
      <xdr:rowOff>285750</xdr:rowOff>
    </xdr:from>
    <xdr:to>
      <xdr:col>64</xdr:col>
      <xdr:colOff>785812</xdr:colOff>
      <xdr:row>36</xdr:row>
      <xdr:rowOff>500062</xdr:rowOff>
    </xdr:to>
    <xdr:cxnSp macro="">
      <xdr:nvCxnSpPr>
        <xdr:cNvPr id="91" name="Straight Arrow Connector 90">
          <a:extLst>
            <a:ext uri="{FF2B5EF4-FFF2-40B4-BE49-F238E27FC236}">
              <a16:creationId xmlns:a16="http://schemas.microsoft.com/office/drawing/2014/main" id="{00000000-0008-0000-0100-00005B000000}"/>
            </a:ext>
          </a:extLst>
        </xdr:cNvPr>
        <xdr:cNvCxnSpPr/>
      </xdr:nvCxnSpPr>
      <xdr:spPr>
        <a:xfrm flipH="1">
          <a:off x="9949943588" y="20078700"/>
          <a:ext cx="1624012" cy="2143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47</xdr:col>
      <xdr:colOff>1409680</xdr:colOff>
      <xdr:row>40</xdr:row>
      <xdr:rowOff>432090</xdr:rowOff>
    </xdr:from>
    <xdr:to>
      <xdr:col>49</xdr:col>
      <xdr:colOff>52056</xdr:colOff>
      <xdr:row>42</xdr:row>
      <xdr:rowOff>425288</xdr:rowOff>
    </xdr:to>
    <xdr:sp macro="" textlink="">
      <xdr:nvSpPr>
        <xdr:cNvPr id="78" name="U-Turn Arrow 77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4E000000}"/>
            </a:ext>
          </a:extLst>
        </xdr:cNvPr>
        <xdr:cNvSpPr/>
      </xdr:nvSpPr>
      <xdr:spPr>
        <a:xfrm rot="16200000">
          <a:off x="9978176883" y="21814851"/>
          <a:ext cx="1059998" cy="18808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49</xdr:col>
      <xdr:colOff>1309686</xdr:colOff>
      <xdr:row>46</xdr:row>
      <xdr:rowOff>-1</xdr:rowOff>
    </xdr:from>
    <xdr:to>
      <xdr:col>49</xdr:col>
      <xdr:colOff>1333500</xdr:colOff>
      <xdr:row>55</xdr:row>
      <xdr:rowOff>214312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100-000054000000}"/>
            </a:ext>
          </a:extLst>
        </xdr:cNvPr>
        <xdr:cNvCxnSpPr/>
      </xdr:nvCxnSpPr>
      <xdr:spPr>
        <a:xfrm flipV="1">
          <a:off x="9976485000" y="24993599"/>
          <a:ext cx="23814" cy="5014913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50</xdr:col>
      <xdr:colOff>119062</xdr:colOff>
      <xdr:row>45</xdr:row>
      <xdr:rowOff>190499</xdr:rowOff>
    </xdr:from>
    <xdr:to>
      <xdr:col>52</xdr:col>
      <xdr:colOff>809625</xdr:colOff>
      <xdr:row>45</xdr:row>
      <xdr:rowOff>214313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100-000056000000}"/>
            </a:ext>
          </a:extLst>
        </xdr:cNvPr>
        <xdr:cNvCxnSpPr/>
      </xdr:nvCxnSpPr>
      <xdr:spPr>
        <a:xfrm flipH="1" flipV="1">
          <a:off x="9972151125" y="24650699"/>
          <a:ext cx="3929063" cy="23814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58</xdr:col>
      <xdr:colOff>1409680</xdr:colOff>
      <xdr:row>40</xdr:row>
      <xdr:rowOff>432090</xdr:rowOff>
    </xdr:from>
    <xdr:to>
      <xdr:col>60</xdr:col>
      <xdr:colOff>52056</xdr:colOff>
      <xdr:row>42</xdr:row>
      <xdr:rowOff>425288</xdr:rowOff>
    </xdr:to>
    <xdr:sp macro="" textlink="">
      <xdr:nvSpPr>
        <xdr:cNvPr id="93" name="U-Turn Arrow 9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00000000-0008-0000-0100-00005D000000}"/>
            </a:ext>
          </a:extLst>
        </xdr:cNvPr>
        <xdr:cNvSpPr/>
      </xdr:nvSpPr>
      <xdr:spPr>
        <a:xfrm rot="16200000">
          <a:off x="9957660033" y="21795801"/>
          <a:ext cx="1059998" cy="1918976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60</xdr:col>
      <xdr:colOff>1285875</xdr:colOff>
      <xdr:row>45</xdr:row>
      <xdr:rowOff>476249</xdr:rowOff>
    </xdr:from>
    <xdr:to>
      <xdr:col>60</xdr:col>
      <xdr:colOff>1381124</xdr:colOff>
      <xdr:row>54</xdr:row>
      <xdr:rowOff>452437</xdr:rowOff>
    </xdr:to>
    <xdr:cxnSp macro="">
      <xdr:nvCxnSpPr>
        <xdr:cNvPr id="95" name="Straight Arrow Connector 94">
          <a:extLst>
            <a:ext uri="{FF2B5EF4-FFF2-40B4-BE49-F238E27FC236}">
              <a16:creationId xmlns:a16="http://schemas.microsoft.com/office/drawing/2014/main" id="{00000000-0008-0000-0100-00005F000000}"/>
            </a:ext>
          </a:extLst>
        </xdr:cNvPr>
        <xdr:cNvCxnSpPr/>
      </xdr:nvCxnSpPr>
      <xdr:spPr>
        <a:xfrm flipH="1" flipV="1">
          <a:off x="9955901476" y="24936449"/>
          <a:ext cx="95249" cy="4776788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61</xdr:col>
      <xdr:colOff>238125</xdr:colOff>
      <xdr:row>45</xdr:row>
      <xdr:rowOff>214312</xdr:rowOff>
    </xdr:from>
    <xdr:to>
      <xdr:col>63</xdr:col>
      <xdr:colOff>1500187</xdr:colOff>
      <xdr:row>45</xdr:row>
      <xdr:rowOff>238124</xdr:rowOff>
    </xdr:to>
    <xdr:cxnSp macro="">
      <xdr:nvCxnSpPr>
        <xdr:cNvPr id="96" name="Straight Arrow Connector 95">
          <a:extLst>
            <a:ext uri="{FF2B5EF4-FFF2-40B4-BE49-F238E27FC236}">
              <a16:creationId xmlns:a16="http://schemas.microsoft.com/office/drawing/2014/main" id="{00000000-0008-0000-0100-000060000000}"/>
            </a:ext>
          </a:extLst>
        </xdr:cNvPr>
        <xdr:cNvCxnSpPr/>
      </xdr:nvCxnSpPr>
      <xdr:spPr>
        <a:xfrm flipH="1" flipV="1">
          <a:off x="9950867513" y="24674512"/>
          <a:ext cx="4538662" cy="23812"/>
        </a:xfrm>
        <a:prstGeom prst="straightConnector1">
          <a:avLst/>
        </a:prstGeom>
        <a:ln w="76200">
          <a:solidFill>
            <a:schemeClr val="tx1"/>
          </a:solidFill>
          <a:headEnd type="arrow"/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31</xdr:col>
      <xdr:colOff>877661</xdr:colOff>
      <xdr:row>15</xdr:row>
      <xdr:rowOff>292555</xdr:rowOff>
    </xdr:from>
    <xdr:to>
      <xdr:col>32</xdr:col>
      <xdr:colOff>1251854</xdr:colOff>
      <xdr:row>17</xdr:row>
      <xdr:rowOff>476253</xdr:rowOff>
    </xdr:to>
    <xdr:sp macro="" textlink="">
      <xdr:nvSpPr>
        <xdr:cNvPr id="2" name="U-Turn Arrow 1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 rot="16200000">
          <a:off x="9768469207" y="3173870"/>
          <a:ext cx="1136198" cy="1898193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37</xdr:row>
      <xdr:rowOff>346984</xdr:rowOff>
    </xdr:from>
    <xdr:to>
      <xdr:col>42</xdr:col>
      <xdr:colOff>449036</xdr:colOff>
      <xdr:row>40</xdr:row>
      <xdr:rowOff>353786</xdr:rowOff>
    </xdr:to>
    <xdr:sp macro="" textlink="">
      <xdr:nvSpPr>
        <xdr:cNvPr id="3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  <xdr:twoCellAnchor>
    <xdr:from>
      <xdr:col>39</xdr:col>
      <xdr:colOff>1360712</xdr:colOff>
      <xdr:row>49</xdr:row>
      <xdr:rowOff>346984</xdr:rowOff>
    </xdr:from>
    <xdr:to>
      <xdr:col>42</xdr:col>
      <xdr:colOff>449036</xdr:colOff>
      <xdr:row>52</xdr:row>
      <xdr:rowOff>353786</xdr:rowOff>
    </xdr:to>
    <xdr:sp macro="" textlink="">
      <xdr:nvSpPr>
        <xdr:cNvPr id="4" name="U-Turn Arrow 1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 rot="16200000">
          <a:off x="9988949825" y="12693423"/>
          <a:ext cx="1492702" cy="3774624"/>
        </a:xfrm>
        <a:prstGeom prst="uturnArrow">
          <a:avLst/>
        </a:prstGeom>
        <a:solidFill>
          <a:schemeClr val="tx2">
            <a:lumMod val="50000"/>
          </a:schemeClr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r" rtl="1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5" name="Drop Down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9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6" name="Drop Down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9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7" name="Drop Down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9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8" name="Drop Down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9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9" name="Drop Dow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9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30" name="Drop Down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9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31" name="Drop Down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9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32" name="Drop Down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9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33" name="Drop Down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9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34" name="Drop Down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9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35" name="Drop Down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9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36" name="Drop Down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9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37" name="Drop Down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9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38" name="Drop Down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9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39" name="Drop Down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9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9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A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A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A00-00000A000000}"/>
            </a:ext>
          </a:extLst>
        </xdr:cNvPr>
        <xdr:cNvSpPr>
          <a:spLocks noChangeArrowheads="1"/>
        </xdr:cNvSpPr>
      </xdr:nvSpPr>
      <xdr:spPr>
        <a:xfrm flipH="1">
          <a:off x="10034076785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A00-00000B000000}"/>
            </a:ext>
          </a:extLst>
        </xdr:cNvPr>
        <xdr:cNvSpPr>
          <a:spLocks noChangeArrowheads="1"/>
        </xdr:cNvSpPr>
      </xdr:nvSpPr>
      <xdr:spPr>
        <a:xfrm flipH="1">
          <a:off x="10030684055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A00-00000C000000}"/>
            </a:ext>
          </a:extLst>
        </xdr:cNvPr>
        <xdr:cNvSpPr>
          <a:spLocks noChangeArrowheads="1"/>
        </xdr:cNvSpPr>
      </xdr:nvSpPr>
      <xdr:spPr>
        <a:xfrm flipH="1">
          <a:off x="10034076785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A00-00000D000000}"/>
            </a:ext>
          </a:extLst>
        </xdr:cNvPr>
        <xdr:cNvSpPr>
          <a:spLocks noChangeArrowheads="1"/>
        </xdr:cNvSpPr>
      </xdr:nvSpPr>
      <xdr:spPr>
        <a:xfrm flipH="1">
          <a:off x="10034081364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A00-00000E000000}"/>
            </a:ext>
          </a:extLst>
        </xdr:cNvPr>
        <xdr:cNvSpPr>
          <a:spLocks noChangeArrowheads="1"/>
        </xdr:cNvSpPr>
      </xdr:nvSpPr>
      <xdr:spPr>
        <a:xfrm flipH="1">
          <a:off x="10034081364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A00-00000F000000}"/>
            </a:ext>
          </a:extLst>
        </xdr:cNvPr>
        <xdr:cNvSpPr>
          <a:spLocks noChangeArrowheads="1"/>
        </xdr:cNvSpPr>
      </xdr:nvSpPr>
      <xdr:spPr>
        <a:xfrm flipH="1">
          <a:off x="10034081365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A00-000010000000}"/>
            </a:ext>
          </a:extLst>
        </xdr:cNvPr>
        <xdr:cNvSpPr>
          <a:spLocks noChangeArrowheads="1"/>
        </xdr:cNvSpPr>
      </xdr:nvSpPr>
      <xdr:spPr>
        <a:xfrm flipH="1">
          <a:off x="10034081364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A00-000011000000}"/>
            </a:ext>
          </a:extLst>
        </xdr:cNvPr>
        <xdr:cNvSpPr>
          <a:spLocks noChangeArrowheads="1"/>
        </xdr:cNvSpPr>
      </xdr:nvSpPr>
      <xdr:spPr>
        <a:xfrm flipH="1">
          <a:off x="10034081364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A00-000012000000}"/>
            </a:ext>
          </a:extLst>
        </xdr:cNvPr>
        <xdr:cNvSpPr>
          <a:spLocks noChangeArrowheads="1"/>
        </xdr:cNvSpPr>
      </xdr:nvSpPr>
      <xdr:spPr>
        <a:xfrm flipH="1">
          <a:off x="10034081365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A00-000013000000}"/>
            </a:ext>
          </a:extLst>
        </xdr:cNvPr>
        <xdr:cNvSpPr>
          <a:spLocks noChangeArrowheads="1"/>
        </xdr:cNvSpPr>
      </xdr:nvSpPr>
      <xdr:spPr>
        <a:xfrm flipH="1">
          <a:off x="10034076785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A00-000014000000}"/>
            </a:ext>
          </a:extLst>
        </xdr:cNvPr>
        <xdr:cNvSpPr>
          <a:spLocks noChangeArrowheads="1"/>
        </xdr:cNvSpPr>
      </xdr:nvSpPr>
      <xdr:spPr>
        <a:xfrm flipH="1">
          <a:off x="10034076785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A00-000015000000}"/>
            </a:ext>
          </a:extLst>
        </xdr:cNvPr>
        <xdr:cNvSpPr>
          <a:spLocks noChangeArrowheads="1"/>
        </xdr:cNvSpPr>
      </xdr:nvSpPr>
      <xdr:spPr>
        <a:xfrm flipH="1">
          <a:off x="10034081364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A00-000016000000}"/>
            </a:ext>
          </a:extLst>
        </xdr:cNvPr>
        <xdr:cNvSpPr>
          <a:spLocks noChangeArrowheads="1"/>
        </xdr:cNvSpPr>
      </xdr:nvSpPr>
      <xdr:spPr>
        <a:xfrm flipH="1">
          <a:off x="10034076785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A00-000017000000}"/>
            </a:ext>
          </a:extLst>
        </xdr:cNvPr>
        <xdr:cNvSpPr>
          <a:spLocks noChangeArrowheads="1"/>
        </xdr:cNvSpPr>
      </xdr:nvSpPr>
      <xdr:spPr>
        <a:xfrm flipH="1">
          <a:off x="10034081364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A00-000018000000}"/>
            </a:ext>
          </a:extLst>
        </xdr:cNvPr>
        <xdr:cNvSpPr>
          <a:spLocks noChangeArrowheads="1"/>
        </xdr:cNvSpPr>
      </xdr:nvSpPr>
      <xdr:spPr>
        <a:xfrm flipH="1">
          <a:off x="10034081365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A00-000019000000}"/>
            </a:ext>
          </a:extLst>
        </xdr:cNvPr>
        <xdr:cNvSpPr>
          <a:spLocks noChangeArrowheads="1"/>
        </xdr:cNvSpPr>
      </xdr:nvSpPr>
      <xdr:spPr>
        <a:xfrm flipH="1">
          <a:off x="10034076785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A00-00001A000000}"/>
            </a:ext>
          </a:extLst>
        </xdr:cNvPr>
        <xdr:cNvSpPr>
          <a:spLocks noChangeArrowheads="1"/>
        </xdr:cNvSpPr>
      </xdr:nvSpPr>
      <xdr:spPr>
        <a:xfrm flipH="1">
          <a:off x="10030679475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A00-00001B000000}"/>
            </a:ext>
          </a:extLst>
        </xdr:cNvPr>
        <xdr:cNvSpPr>
          <a:spLocks noChangeArrowheads="1"/>
        </xdr:cNvSpPr>
      </xdr:nvSpPr>
      <xdr:spPr>
        <a:xfrm flipH="1">
          <a:off x="10030684055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A00-00001C000000}"/>
            </a:ext>
          </a:extLst>
        </xdr:cNvPr>
        <xdr:cNvSpPr>
          <a:spLocks noChangeArrowheads="1"/>
        </xdr:cNvSpPr>
      </xdr:nvSpPr>
      <xdr:spPr>
        <a:xfrm flipH="1">
          <a:off x="10030688634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A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A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A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2149100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A00-000020000000}"/>
            </a:ext>
          </a:extLst>
        </xdr:cNvPr>
        <xdr:cNvSpPr>
          <a:spLocks noChangeArrowheads="1"/>
        </xdr:cNvSpPr>
      </xdr:nvSpPr>
      <xdr:spPr>
        <a:xfrm flipH="1">
          <a:off x="10030688634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A00-000021000000}"/>
            </a:ext>
          </a:extLst>
        </xdr:cNvPr>
        <xdr:cNvSpPr>
          <a:spLocks noChangeArrowheads="1"/>
        </xdr:cNvSpPr>
      </xdr:nvSpPr>
      <xdr:spPr>
        <a:xfrm flipH="1">
          <a:off x="10030688634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A00-000022000000}"/>
            </a:ext>
          </a:extLst>
        </xdr:cNvPr>
        <xdr:cNvSpPr>
          <a:spLocks noChangeArrowheads="1"/>
        </xdr:cNvSpPr>
      </xdr:nvSpPr>
      <xdr:spPr>
        <a:xfrm flipH="1">
          <a:off x="10030688634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A00-000023000000}"/>
            </a:ext>
          </a:extLst>
        </xdr:cNvPr>
        <xdr:cNvSpPr>
          <a:spLocks noChangeArrowheads="1"/>
        </xdr:cNvSpPr>
      </xdr:nvSpPr>
      <xdr:spPr>
        <a:xfrm flipH="1">
          <a:off x="10030688634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A00-000024000000}"/>
            </a:ext>
          </a:extLst>
        </xdr:cNvPr>
        <xdr:cNvSpPr>
          <a:spLocks noChangeArrowheads="1"/>
        </xdr:cNvSpPr>
      </xdr:nvSpPr>
      <xdr:spPr>
        <a:xfrm flipH="1">
          <a:off x="10030688634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A00-000025000000}"/>
            </a:ext>
          </a:extLst>
        </xdr:cNvPr>
        <xdr:cNvSpPr>
          <a:spLocks noChangeArrowheads="1"/>
        </xdr:cNvSpPr>
      </xdr:nvSpPr>
      <xdr:spPr>
        <a:xfrm flipH="1">
          <a:off x="10030688634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A00-000026000000}"/>
            </a:ext>
          </a:extLst>
        </xdr:cNvPr>
        <xdr:cNvSpPr>
          <a:spLocks noChangeArrowheads="1"/>
        </xdr:cNvSpPr>
      </xdr:nvSpPr>
      <xdr:spPr>
        <a:xfrm flipH="1">
          <a:off x="10030688634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A00-000027000000}"/>
            </a:ext>
          </a:extLst>
        </xdr:cNvPr>
        <xdr:cNvSpPr>
          <a:spLocks noChangeArrowheads="1"/>
        </xdr:cNvSpPr>
      </xdr:nvSpPr>
      <xdr:spPr>
        <a:xfrm flipH="1">
          <a:off x="10030688634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A00-000028000000}"/>
            </a:ext>
          </a:extLst>
        </xdr:cNvPr>
        <xdr:cNvSpPr>
          <a:spLocks noChangeArrowheads="1"/>
        </xdr:cNvSpPr>
      </xdr:nvSpPr>
      <xdr:spPr>
        <a:xfrm flipH="1">
          <a:off x="10030688634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A00-000029000000}"/>
            </a:ext>
          </a:extLst>
        </xdr:cNvPr>
        <xdr:cNvSpPr>
          <a:spLocks noChangeArrowheads="1"/>
        </xdr:cNvSpPr>
      </xdr:nvSpPr>
      <xdr:spPr>
        <a:xfrm flipH="1">
          <a:off x="10030688634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A00-00002A000000}"/>
            </a:ext>
          </a:extLst>
        </xdr:cNvPr>
        <xdr:cNvSpPr>
          <a:spLocks noChangeArrowheads="1"/>
        </xdr:cNvSpPr>
      </xdr:nvSpPr>
      <xdr:spPr>
        <a:xfrm flipH="1">
          <a:off x="10030688634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1</xdr:col>
          <xdr:colOff>1771650</xdr:colOff>
          <xdr:row>104</xdr:row>
          <xdr:rowOff>144780</xdr:rowOff>
        </xdr:to>
        <xdr:sp macro="" textlink="">
          <xdr:nvSpPr>
            <xdr:cNvPr id="57345" name="Drop Down 1" hidden="1">
              <a:extLst>
                <a:ext uri="{63B3BB69-23CF-44E3-9099-C40C66FF867C}">
                  <a14:compatExt spid="_x0000_s57345"/>
                </a:ext>
                <a:ext uri="{FF2B5EF4-FFF2-40B4-BE49-F238E27FC236}">
                  <a16:creationId xmlns:a16="http://schemas.microsoft.com/office/drawing/2014/main" id="{00000000-0008-0000-0B00-00000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105</xdr:row>
          <xdr:rowOff>22860</xdr:rowOff>
        </xdr:from>
        <xdr:to>
          <xdr:col>1</xdr:col>
          <xdr:colOff>1771650</xdr:colOff>
          <xdr:row>106</xdr:row>
          <xdr:rowOff>45720</xdr:rowOff>
        </xdr:to>
        <xdr:sp macro="" textlink="">
          <xdr:nvSpPr>
            <xdr:cNvPr id="57346" name="Drop Down 2" hidden="1">
              <a:extLst>
                <a:ext uri="{63B3BB69-23CF-44E3-9099-C40C66FF867C}">
                  <a14:compatExt spid="_x0000_s57346"/>
                </a:ext>
                <a:ext uri="{FF2B5EF4-FFF2-40B4-BE49-F238E27FC236}">
                  <a16:creationId xmlns:a16="http://schemas.microsoft.com/office/drawing/2014/main" id="{00000000-0008-0000-0B00-00000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106</xdr:row>
          <xdr:rowOff>22860</xdr:rowOff>
        </xdr:from>
        <xdr:to>
          <xdr:col>1</xdr:col>
          <xdr:colOff>1771650</xdr:colOff>
          <xdr:row>107</xdr:row>
          <xdr:rowOff>45720</xdr:rowOff>
        </xdr:to>
        <xdr:sp macro="" textlink="">
          <xdr:nvSpPr>
            <xdr:cNvPr id="57347" name="Drop Down 3" hidden="1">
              <a:extLst>
                <a:ext uri="{63B3BB69-23CF-44E3-9099-C40C66FF867C}">
                  <a14:compatExt spid="_x0000_s57347"/>
                </a:ext>
                <a:ext uri="{FF2B5EF4-FFF2-40B4-BE49-F238E27FC236}">
                  <a16:creationId xmlns:a16="http://schemas.microsoft.com/office/drawing/2014/main" id="{00000000-0008-0000-0B00-00000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110</xdr:row>
          <xdr:rowOff>7620</xdr:rowOff>
        </xdr:from>
        <xdr:to>
          <xdr:col>1</xdr:col>
          <xdr:colOff>1781175</xdr:colOff>
          <xdr:row>110</xdr:row>
          <xdr:rowOff>144780</xdr:rowOff>
        </xdr:to>
        <xdr:sp macro="" textlink="">
          <xdr:nvSpPr>
            <xdr:cNvPr id="57348" name="Drop Down 4" hidden="1">
              <a:extLst>
                <a:ext uri="{63B3BB69-23CF-44E3-9099-C40C66FF867C}">
                  <a14:compatExt spid="_x0000_s57348"/>
                </a:ext>
                <a:ext uri="{FF2B5EF4-FFF2-40B4-BE49-F238E27FC236}">
                  <a16:creationId xmlns:a16="http://schemas.microsoft.com/office/drawing/2014/main" id="{00000000-0008-0000-0B00-00000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111</xdr:row>
          <xdr:rowOff>7620</xdr:rowOff>
        </xdr:from>
        <xdr:to>
          <xdr:col>1</xdr:col>
          <xdr:colOff>1781175</xdr:colOff>
          <xdr:row>111</xdr:row>
          <xdr:rowOff>144780</xdr:rowOff>
        </xdr:to>
        <xdr:sp macro="" textlink="">
          <xdr:nvSpPr>
            <xdr:cNvPr id="57349" name="Drop Down 5" hidden="1">
              <a:extLst>
                <a:ext uri="{63B3BB69-23CF-44E3-9099-C40C66FF867C}">
                  <a14:compatExt spid="_x0000_s57349"/>
                </a:ext>
                <a:ext uri="{FF2B5EF4-FFF2-40B4-BE49-F238E27FC236}">
                  <a16:creationId xmlns:a16="http://schemas.microsoft.com/office/drawing/2014/main" id="{00000000-0008-0000-0B00-00000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114</xdr:row>
          <xdr:rowOff>22860</xdr:rowOff>
        </xdr:from>
        <xdr:to>
          <xdr:col>1</xdr:col>
          <xdr:colOff>1781175</xdr:colOff>
          <xdr:row>115</xdr:row>
          <xdr:rowOff>99059</xdr:rowOff>
        </xdr:to>
        <xdr:sp macro="" textlink="">
          <xdr:nvSpPr>
            <xdr:cNvPr id="57350" name="Drop Down 6" hidden="1">
              <a:extLst>
                <a:ext uri="{63B3BB69-23CF-44E3-9099-C40C66FF867C}">
                  <a14:compatExt spid="_x0000_s57350"/>
                </a:ext>
                <a:ext uri="{FF2B5EF4-FFF2-40B4-BE49-F238E27FC236}">
                  <a16:creationId xmlns:a16="http://schemas.microsoft.com/office/drawing/2014/main" id="{00000000-0008-0000-0B00-00000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115</xdr:row>
          <xdr:rowOff>22860</xdr:rowOff>
        </xdr:from>
        <xdr:to>
          <xdr:col>1</xdr:col>
          <xdr:colOff>1781175</xdr:colOff>
          <xdr:row>116</xdr:row>
          <xdr:rowOff>99059</xdr:rowOff>
        </xdr:to>
        <xdr:sp macro="" textlink="">
          <xdr:nvSpPr>
            <xdr:cNvPr id="57351" name="Drop Down 7" hidden="1">
              <a:extLst>
                <a:ext uri="{63B3BB69-23CF-44E3-9099-C40C66FF867C}">
                  <a14:compatExt spid="_x0000_s57351"/>
                </a:ext>
                <a:ext uri="{FF2B5EF4-FFF2-40B4-BE49-F238E27FC236}">
                  <a16:creationId xmlns:a16="http://schemas.microsoft.com/office/drawing/2014/main" id="{00000000-0008-0000-0B00-00000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1781175</xdr:colOff>
          <xdr:row>116</xdr:row>
          <xdr:rowOff>144780</xdr:rowOff>
        </xdr:to>
        <xdr:sp macro="" textlink="">
          <xdr:nvSpPr>
            <xdr:cNvPr id="57352" name="Drop Down 8" hidden="1">
              <a:extLst>
                <a:ext uri="{63B3BB69-23CF-44E3-9099-C40C66FF867C}">
                  <a14:compatExt spid="_x0000_s57352"/>
                </a:ext>
                <a:ext uri="{FF2B5EF4-FFF2-40B4-BE49-F238E27FC236}">
                  <a16:creationId xmlns:a16="http://schemas.microsoft.com/office/drawing/2014/main" id="{00000000-0008-0000-0B00-00000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113</xdr:row>
          <xdr:rowOff>22860</xdr:rowOff>
        </xdr:from>
        <xdr:to>
          <xdr:col>1</xdr:col>
          <xdr:colOff>1781175</xdr:colOff>
          <xdr:row>114</xdr:row>
          <xdr:rowOff>99059</xdr:rowOff>
        </xdr:to>
        <xdr:sp macro="" textlink="">
          <xdr:nvSpPr>
            <xdr:cNvPr id="57353" name="Drop Down 9" hidden="1">
              <a:extLst>
                <a:ext uri="{63B3BB69-23CF-44E3-9099-C40C66FF867C}">
                  <a14:compatExt spid="_x0000_s57353"/>
                </a:ext>
                <a:ext uri="{FF2B5EF4-FFF2-40B4-BE49-F238E27FC236}">
                  <a16:creationId xmlns:a16="http://schemas.microsoft.com/office/drawing/2014/main" id="{00000000-0008-0000-0B00-00000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128</xdr:row>
          <xdr:rowOff>22860</xdr:rowOff>
        </xdr:from>
        <xdr:to>
          <xdr:col>1</xdr:col>
          <xdr:colOff>1771650</xdr:colOff>
          <xdr:row>129</xdr:row>
          <xdr:rowOff>99059</xdr:rowOff>
        </xdr:to>
        <xdr:sp macro="" textlink="">
          <xdr:nvSpPr>
            <xdr:cNvPr id="57354" name="Drop Down 10" hidden="1">
              <a:extLst>
                <a:ext uri="{63B3BB69-23CF-44E3-9099-C40C66FF867C}">
                  <a14:compatExt spid="_x0000_s57354"/>
                </a:ext>
                <a:ext uri="{FF2B5EF4-FFF2-40B4-BE49-F238E27FC236}">
                  <a16:creationId xmlns:a16="http://schemas.microsoft.com/office/drawing/2014/main" id="{00000000-0008-0000-0B00-00000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129</xdr:row>
          <xdr:rowOff>7620</xdr:rowOff>
        </xdr:from>
        <xdr:to>
          <xdr:col>1</xdr:col>
          <xdr:colOff>1771650</xdr:colOff>
          <xdr:row>129</xdr:row>
          <xdr:rowOff>144780</xdr:rowOff>
        </xdr:to>
        <xdr:sp macro="" textlink="">
          <xdr:nvSpPr>
            <xdr:cNvPr id="57355" name="Drop Down 11" hidden="1">
              <a:extLst>
                <a:ext uri="{63B3BB69-23CF-44E3-9099-C40C66FF867C}">
                  <a14:compatExt spid="_x0000_s57355"/>
                </a:ext>
                <a:ext uri="{FF2B5EF4-FFF2-40B4-BE49-F238E27FC236}">
                  <a16:creationId xmlns:a16="http://schemas.microsoft.com/office/drawing/2014/main" id="{00000000-0008-0000-0B00-00000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130</xdr:row>
          <xdr:rowOff>7620</xdr:rowOff>
        </xdr:from>
        <xdr:to>
          <xdr:col>1</xdr:col>
          <xdr:colOff>1771650</xdr:colOff>
          <xdr:row>130</xdr:row>
          <xdr:rowOff>144780</xdr:rowOff>
        </xdr:to>
        <xdr:sp macro="" textlink="">
          <xdr:nvSpPr>
            <xdr:cNvPr id="57356" name="Drop Down 12" hidden="1">
              <a:extLst>
                <a:ext uri="{63B3BB69-23CF-44E3-9099-C40C66FF867C}">
                  <a14:compatExt spid="_x0000_s57356"/>
                </a:ext>
                <a:ext uri="{FF2B5EF4-FFF2-40B4-BE49-F238E27FC236}">
                  <a16:creationId xmlns:a16="http://schemas.microsoft.com/office/drawing/2014/main" id="{00000000-0008-0000-0B00-00000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104</xdr:row>
          <xdr:rowOff>7620</xdr:rowOff>
        </xdr:from>
        <xdr:to>
          <xdr:col>0</xdr:col>
          <xdr:colOff>571500</xdr:colOff>
          <xdr:row>104</xdr:row>
          <xdr:rowOff>144780</xdr:rowOff>
        </xdr:to>
        <xdr:sp macro="" textlink="">
          <xdr:nvSpPr>
            <xdr:cNvPr id="57357" name="Drop Down 13" hidden="1">
              <a:extLst>
                <a:ext uri="{63B3BB69-23CF-44E3-9099-C40C66FF867C}">
                  <a14:compatExt spid="_x0000_s57357"/>
                </a:ext>
                <a:ext uri="{FF2B5EF4-FFF2-40B4-BE49-F238E27FC236}">
                  <a16:creationId xmlns:a16="http://schemas.microsoft.com/office/drawing/2014/main" id="{00000000-0008-0000-0B00-00000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116</xdr:row>
          <xdr:rowOff>7620</xdr:rowOff>
        </xdr:from>
        <xdr:to>
          <xdr:col>1</xdr:col>
          <xdr:colOff>657225</xdr:colOff>
          <xdr:row>116</xdr:row>
          <xdr:rowOff>144780</xdr:rowOff>
        </xdr:to>
        <xdr:sp macro="" textlink="">
          <xdr:nvSpPr>
            <xdr:cNvPr id="57358" name="Drop Down 14" hidden="1">
              <a:extLst>
                <a:ext uri="{63B3BB69-23CF-44E3-9099-C40C66FF867C}">
                  <a14:compatExt spid="_x0000_s57358"/>
                </a:ext>
                <a:ext uri="{FF2B5EF4-FFF2-40B4-BE49-F238E27FC236}">
                  <a16:creationId xmlns:a16="http://schemas.microsoft.com/office/drawing/2014/main" id="{00000000-0008-0000-0B00-00000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117</xdr:row>
          <xdr:rowOff>22860</xdr:rowOff>
        </xdr:from>
        <xdr:to>
          <xdr:col>1</xdr:col>
          <xdr:colOff>657225</xdr:colOff>
          <xdr:row>118</xdr:row>
          <xdr:rowOff>99059</xdr:rowOff>
        </xdr:to>
        <xdr:sp macro="" textlink="">
          <xdr:nvSpPr>
            <xdr:cNvPr id="57359" name="Drop Down 15" hidden="1">
              <a:extLst>
                <a:ext uri="{63B3BB69-23CF-44E3-9099-C40C66FF867C}">
                  <a14:compatExt spid="_x0000_s57359"/>
                </a:ext>
                <a:ext uri="{FF2B5EF4-FFF2-40B4-BE49-F238E27FC236}">
                  <a16:creationId xmlns:a16="http://schemas.microsoft.com/office/drawing/2014/main" id="{00000000-0008-0000-0B00-00000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131</xdr:row>
          <xdr:rowOff>7620</xdr:rowOff>
        </xdr:from>
        <xdr:to>
          <xdr:col>1</xdr:col>
          <xdr:colOff>1771650</xdr:colOff>
          <xdr:row>131</xdr:row>
          <xdr:rowOff>144780</xdr:rowOff>
        </xdr:to>
        <xdr:sp macro="" textlink="">
          <xdr:nvSpPr>
            <xdr:cNvPr id="57360" name="Drop Down 16" hidden="1">
              <a:extLst>
                <a:ext uri="{63B3BB69-23CF-44E3-9099-C40C66FF867C}">
                  <a14:compatExt spid="_x0000_s57360"/>
                </a:ext>
                <a:ext uri="{FF2B5EF4-FFF2-40B4-BE49-F238E27FC236}">
                  <a16:creationId xmlns:a16="http://schemas.microsoft.com/office/drawing/2014/main" id="{00000000-0008-0000-0B00-00001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105</xdr:row>
          <xdr:rowOff>7620</xdr:rowOff>
        </xdr:from>
        <xdr:to>
          <xdr:col>5</xdr:col>
          <xdr:colOff>0</xdr:colOff>
          <xdr:row>105</xdr:row>
          <xdr:rowOff>144780</xdr:rowOff>
        </xdr:to>
        <xdr:sp macro="" textlink="">
          <xdr:nvSpPr>
            <xdr:cNvPr id="57361" name="Drop Down 17" hidden="1">
              <a:extLst>
                <a:ext uri="{63B3BB69-23CF-44E3-9099-C40C66FF867C}">
                  <a14:compatExt spid="_x0000_s57361"/>
                </a:ext>
                <a:ext uri="{FF2B5EF4-FFF2-40B4-BE49-F238E27FC236}">
                  <a16:creationId xmlns:a16="http://schemas.microsoft.com/office/drawing/2014/main" id="{00000000-0008-0000-0B00-000011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106</xdr:row>
          <xdr:rowOff>22860</xdr:rowOff>
        </xdr:from>
        <xdr:to>
          <xdr:col>5</xdr:col>
          <xdr:colOff>0</xdr:colOff>
          <xdr:row>107</xdr:row>
          <xdr:rowOff>45720</xdr:rowOff>
        </xdr:to>
        <xdr:sp macro="" textlink="">
          <xdr:nvSpPr>
            <xdr:cNvPr id="57362" name="Drop Down 18" hidden="1">
              <a:extLst>
                <a:ext uri="{63B3BB69-23CF-44E3-9099-C40C66FF867C}">
                  <a14:compatExt spid="_x0000_s57362"/>
                </a:ext>
                <a:ext uri="{FF2B5EF4-FFF2-40B4-BE49-F238E27FC236}">
                  <a16:creationId xmlns:a16="http://schemas.microsoft.com/office/drawing/2014/main" id="{00000000-0008-0000-0B00-000012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107</xdr:row>
          <xdr:rowOff>22860</xdr:rowOff>
        </xdr:from>
        <xdr:to>
          <xdr:col>5</xdr:col>
          <xdr:colOff>0</xdr:colOff>
          <xdr:row>108</xdr:row>
          <xdr:rowOff>45720</xdr:rowOff>
        </xdr:to>
        <xdr:sp macro="" textlink="">
          <xdr:nvSpPr>
            <xdr:cNvPr id="57363" name="Drop Down 19" hidden="1">
              <a:extLst>
                <a:ext uri="{63B3BB69-23CF-44E3-9099-C40C66FF867C}">
                  <a14:compatExt spid="_x0000_s57363"/>
                </a:ext>
                <a:ext uri="{FF2B5EF4-FFF2-40B4-BE49-F238E27FC236}">
                  <a16:creationId xmlns:a16="http://schemas.microsoft.com/office/drawing/2014/main" id="{00000000-0008-0000-0B00-000013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111</xdr:row>
          <xdr:rowOff>7620</xdr:rowOff>
        </xdr:from>
        <xdr:to>
          <xdr:col>5</xdr:col>
          <xdr:colOff>0</xdr:colOff>
          <xdr:row>111</xdr:row>
          <xdr:rowOff>144780</xdr:rowOff>
        </xdr:to>
        <xdr:sp macro="" textlink="">
          <xdr:nvSpPr>
            <xdr:cNvPr id="57364" name="Drop Down 20" hidden="1">
              <a:extLst>
                <a:ext uri="{63B3BB69-23CF-44E3-9099-C40C66FF867C}">
                  <a14:compatExt spid="_x0000_s57364"/>
                </a:ext>
                <a:ext uri="{FF2B5EF4-FFF2-40B4-BE49-F238E27FC236}">
                  <a16:creationId xmlns:a16="http://schemas.microsoft.com/office/drawing/2014/main" id="{00000000-0008-0000-0B00-000014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112</xdr:row>
          <xdr:rowOff>7620</xdr:rowOff>
        </xdr:from>
        <xdr:to>
          <xdr:col>5</xdr:col>
          <xdr:colOff>0</xdr:colOff>
          <xdr:row>112</xdr:row>
          <xdr:rowOff>144780</xdr:rowOff>
        </xdr:to>
        <xdr:sp macro="" textlink="">
          <xdr:nvSpPr>
            <xdr:cNvPr id="57365" name="Drop Down 21" hidden="1">
              <a:extLst>
                <a:ext uri="{63B3BB69-23CF-44E3-9099-C40C66FF867C}">
                  <a14:compatExt spid="_x0000_s57365"/>
                </a:ext>
                <a:ext uri="{FF2B5EF4-FFF2-40B4-BE49-F238E27FC236}">
                  <a16:creationId xmlns:a16="http://schemas.microsoft.com/office/drawing/2014/main" id="{00000000-0008-0000-0B00-000015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115</xdr:row>
          <xdr:rowOff>22860</xdr:rowOff>
        </xdr:from>
        <xdr:to>
          <xdr:col>5</xdr:col>
          <xdr:colOff>0</xdr:colOff>
          <xdr:row>116</xdr:row>
          <xdr:rowOff>99059</xdr:rowOff>
        </xdr:to>
        <xdr:sp macro="" textlink="">
          <xdr:nvSpPr>
            <xdr:cNvPr id="57366" name="Drop Down 22" hidden="1">
              <a:extLst>
                <a:ext uri="{63B3BB69-23CF-44E3-9099-C40C66FF867C}">
                  <a14:compatExt spid="_x0000_s57366"/>
                </a:ext>
                <a:ext uri="{FF2B5EF4-FFF2-40B4-BE49-F238E27FC236}">
                  <a16:creationId xmlns:a16="http://schemas.microsoft.com/office/drawing/2014/main" id="{00000000-0008-0000-0B00-000016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116</xdr:row>
          <xdr:rowOff>22860</xdr:rowOff>
        </xdr:from>
        <xdr:to>
          <xdr:col>5</xdr:col>
          <xdr:colOff>0</xdr:colOff>
          <xdr:row>117</xdr:row>
          <xdr:rowOff>99059</xdr:rowOff>
        </xdr:to>
        <xdr:sp macro="" textlink="">
          <xdr:nvSpPr>
            <xdr:cNvPr id="57367" name="Drop Down 23" hidden="1">
              <a:extLst>
                <a:ext uri="{63B3BB69-23CF-44E3-9099-C40C66FF867C}">
                  <a14:compatExt spid="_x0000_s57367"/>
                </a:ext>
                <a:ext uri="{FF2B5EF4-FFF2-40B4-BE49-F238E27FC236}">
                  <a16:creationId xmlns:a16="http://schemas.microsoft.com/office/drawing/2014/main" id="{00000000-0008-0000-0B00-000017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117</xdr:row>
          <xdr:rowOff>7620</xdr:rowOff>
        </xdr:from>
        <xdr:to>
          <xdr:col>5</xdr:col>
          <xdr:colOff>0</xdr:colOff>
          <xdr:row>117</xdr:row>
          <xdr:rowOff>144780</xdr:rowOff>
        </xdr:to>
        <xdr:sp macro="" textlink="">
          <xdr:nvSpPr>
            <xdr:cNvPr id="57368" name="Drop Down 24" hidden="1">
              <a:extLst>
                <a:ext uri="{63B3BB69-23CF-44E3-9099-C40C66FF867C}">
                  <a14:compatExt spid="_x0000_s57368"/>
                </a:ext>
                <a:ext uri="{FF2B5EF4-FFF2-40B4-BE49-F238E27FC236}">
                  <a16:creationId xmlns:a16="http://schemas.microsoft.com/office/drawing/2014/main" id="{00000000-0008-0000-0B00-000018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114</xdr:row>
          <xdr:rowOff>22860</xdr:rowOff>
        </xdr:from>
        <xdr:to>
          <xdr:col>5</xdr:col>
          <xdr:colOff>0</xdr:colOff>
          <xdr:row>115</xdr:row>
          <xdr:rowOff>99059</xdr:rowOff>
        </xdr:to>
        <xdr:sp macro="" textlink="">
          <xdr:nvSpPr>
            <xdr:cNvPr id="57369" name="Drop Down 25" hidden="1">
              <a:extLst>
                <a:ext uri="{63B3BB69-23CF-44E3-9099-C40C66FF867C}">
                  <a14:compatExt spid="_x0000_s57369"/>
                </a:ext>
                <a:ext uri="{FF2B5EF4-FFF2-40B4-BE49-F238E27FC236}">
                  <a16:creationId xmlns:a16="http://schemas.microsoft.com/office/drawing/2014/main" id="{00000000-0008-0000-0B00-000019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129</xdr:row>
          <xdr:rowOff>22860</xdr:rowOff>
        </xdr:from>
        <xdr:to>
          <xdr:col>5</xdr:col>
          <xdr:colOff>0</xdr:colOff>
          <xdr:row>130</xdr:row>
          <xdr:rowOff>99059</xdr:rowOff>
        </xdr:to>
        <xdr:sp macro="" textlink="">
          <xdr:nvSpPr>
            <xdr:cNvPr id="57370" name="Drop Down 26" hidden="1">
              <a:extLst>
                <a:ext uri="{63B3BB69-23CF-44E3-9099-C40C66FF867C}">
                  <a14:compatExt spid="_x0000_s57370"/>
                </a:ext>
                <a:ext uri="{FF2B5EF4-FFF2-40B4-BE49-F238E27FC236}">
                  <a16:creationId xmlns:a16="http://schemas.microsoft.com/office/drawing/2014/main" id="{00000000-0008-0000-0B00-00001A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130</xdr:row>
          <xdr:rowOff>7620</xdr:rowOff>
        </xdr:from>
        <xdr:to>
          <xdr:col>5</xdr:col>
          <xdr:colOff>0</xdr:colOff>
          <xdr:row>130</xdr:row>
          <xdr:rowOff>144780</xdr:rowOff>
        </xdr:to>
        <xdr:sp macro="" textlink="">
          <xdr:nvSpPr>
            <xdr:cNvPr id="57371" name="Drop Down 27" hidden="1">
              <a:extLst>
                <a:ext uri="{63B3BB69-23CF-44E3-9099-C40C66FF867C}">
                  <a14:compatExt spid="_x0000_s57371"/>
                </a:ext>
                <a:ext uri="{FF2B5EF4-FFF2-40B4-BE49-F238E27FC236}">
                  <a16:creationId xmlns:a16="http://schemas.microsoft.com/office/drawing/2014/main" id="{00000000-0008-0000-0B00-00001B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131</xdr:row>
          <xdr:rowOff>7620</xdr:rowOff>
        </xdr:from>
        <xdr:to>
          <xdr:col>5</xdr:col>
          <xdr:colOff>0</xdr:colOff>
          <xdr:row>131</xdr:row>
          <xdr:rowOff>144780</xdr:rowOff>
        </xdr:to>
        <xdr:sp macro="" textlink="">
          <xdr:nvSpPr>
            <xdr:cNvPr id="57372" name="Drop Down 28" hidden="1">
              <a:extLst>
                <a:ext uri="{63B3BB69-23CF-44E3-9099-C40C66FF867C}">
                  <a14:compatExt spid="_x0000_s57372"/>
                </a:ext>
                <a:ext uri="{FF2B5EF4-FFF2-40B4-BE49-F238E27FC236}">
                  <a16:creationId xmlns:a16="http://schemas.microsoft.com/office/drawing/2014/main" id="{00000000-0008-0000-0B00-00001C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7620</xdr:colOff>
          <xdr:row>105</xdr:row>
          <xdr:rowOff>7620</xdr:rowOff>
        </xdr:from>
        <xdr:to>
          <xdr:col>8</xdr:col>
          <xdr:colOff>571500</xdr:colOff>
          <xdr:row>105</xdr:row>
          <xdr:rowOff>144780</xdr:rowOff>
        </xdr:to>
        <xdr:sp macro="" textlink="">
          <xdr:nvSpPr>
            <xdr:cNvPr id="57373" name="Drop Down 29" hidden="1">
              <a:extLst>
                <a:ext uri="{63B3BB69-23CF-44E3-9099-C40C66FF867C}">
                  <a14:compatExt spid="_x0000_s57373"/>
                </a:ext>
                <a:ext uri="{FF2B5EF4-FFF2-40B4-BE49-F238E27FC236}">
                  <a16:creationId xmlns:a16="http://schemas.microsoft.com/office/drawing/2014/main" id="{00000000-0008-0000-0B00-00001D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117</xdr:row>
          <xdr:rowOff>7620</xdr:rowOff>
        </xdr:from>
        <xdr:to>
          <xdr:col>7</xdr:col>
          <xdr:colOff>647700</xdr:colOff>
          <xdr:row>117</xdr:row>
          <xdr:rowOff>144780</xdr:rowOff>
        </xdr:to>
        <xdr:sp macro="" textlink="">
          <xdr:nvSpPr>
            <xdr:cNvPr id="57374" name="Drop Down 30" hidden="1">
              <a:extLst>
                <a:ext uri="{63B3BB69-23CF-44E3-9099-C40C66FF867C}">
                  <a14:compatExt spid="_x0000_s57374"/>
                </a:ext>
                <a:ext uri="{FF2B5EF4-FFF2-40B4-BE49-F238E27FC236}">
                  <a16:creationId xmlns:a16="http://schemas.microsoft.com/office/drawing/2014/main" id="{00000000-0008-0000-0B00-00001E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76200</xdr:colOff>
          <xdr:row>118</xdr:row>
          <xdr:rowOff>22860</xdr:rowOff>
        </xdr:from>
        <xdr:to>
          <xdr:col>7</xdr:col>
          <xdr:colOff>647700</xdr:colOff>
          <xdr:row>119</xdr:row>
          <xdr:rowOff>99059</xdr:rowOff>
        </xdr:to>
        <xdr:sp macro="" textlink="">
          <xdr:nvSpPr>
            <xdr:cNvPr id="57375" name="Drop Down 31" hidden="1">
              <a:extLst>
                <a:ext uri="{63B3BB69-23CF-44E3-9099-C40C66FF867C}">
                  <a14:compatExt spid="_x0000_s57375"/>
                </a:ext>
                <a:ext uri="{FF2B5EF4-FFF2-40B4-BE49-F238E27FC236}">
                  <a16:creationId xmlns:a16="http://schemas.microsoft.com/office/drawing/2014/main" id="{00000000-0008-0000-0B00-00001F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</xdr:colOff>
          <xdr:row>132</xdr:row>
          <xdr:rowOff>7620</xdr:rowOff>
        </xdr:from>
        <xdr:to>
          <xdr:col>5</xdr:col>
          <xdr:colOff>0</xdr:colOff>
          <xdr:row>132</xdr:row>
          <xdr:rowOff>144780</xdr:rowOff>
        </xdr:to>
        <xdr:sp macro="" textlink="">
          <xdr:nvSpPr>
            <xdr:cNvPr id="57376" name="Drop Down 32" hidden="1">
              <a:extLst>
                <a:ext uri="{63B3BB69-23CF-44E3-9099-C40C66FF867C}">
                  <a14:compatExt spid="_x0000_s57376"/>
                </a:ext>
                <a:ext uri="{FF2B5EF4-FFF2-40B4-BE49-F238E27FC236}">
                  <a16:creationId xmlns:a16="http://schemas.microsoft.com/office/drawing/2014/main" id="{00000000-0008-0000-0B00-000020E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</xdr:row>
          <xdr:rowOff>7620</xdr:rowOff>
        </xdr:from>
        <xdr:to>
          <xdr:col>5</xdr:col>
          <xdr:colOff>0</xdr:colOff>
          <xdr:row>2</xdr:row>
          <xdr:rowOff>144780</xdr:rowOff>
        </xdr:to>
        <xdr:sp macro="" textlink="">
          <xdr:nvSpPr>
            <xdr:cNvPr id="10241" name="Drop Down 1" hidden="1">
              <a:extLst>
                <a:ext uri="{63B3BB69-23CF-44E3-9099-C40C66FF867C}">
                  <a14:compatExt spid="_x0000_s10241"/>
                </a:ext>
                <a:ext uri="{FF2B5EF4-FFF2-40B4-BE49-F238E27FC236}">
                  <a16:creationId xmlns:a16="http://schemas.microsoft.com/office/drawing/2014/main" id="{00000000-0008-0000-0C00-000001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3</xdr:row>
          <xdr:rowOff>22860</xdr:rowOff>
        </xdr:from>
        <xdr:to>
          <xdr:col>5</xdr:col>
          <xdr:colOff>0</xdr:colOff>
          <xdr:row>4</xdr:row>
          <xdr:rowOff>0</xdr:rowOff>
        </xdr:to>
        <xdr:sp macro="" textlink="">
          <xdr:nvSpPr>
            <xdr:cNvPr id="10242" name="Drop Down 2" hidden="1">
              <a:extLst>
                <a:ext uri="{63B3BB69-23CF-44E3-9099-C40C66FF867C}">
                  <a14:compatExt spid="_x0000_s10242"/>
                </a:ext>
                <a:ext uri="{FF2B5EF4-FFF2-40B4-BE49-F238E27FC236}">
                  <a16:creationId xmlns:a16="http://schemas.microsoft.com/office/drawing/2014/main" id="{00000000-0008-0000-0C00-000002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4</xdr:row>
          <xdr:rowOff>22860</xdr:rowOff>
        </xdr:from>
        <xdr:to>
          <xdr:col>5</xdr:col>
          <xdr:colOff>0</xdr:colOff>
          <xdr:row>5</xdr:row>
          <xdr:rowOff>0</xdr:rowOff>
        </xdr:to>
        <xdr:sp macro="" textlink="">
          <xdr:nvSpPr>
            <xdr:cNvPr id="10243" name="Drop Down 3" hidden="1">
              <a:extLst>
                <a:ext uri="{63B3BB69-23CF-44E3-9099-C40C66FF867C}">
                  <a14:compatExt spid="_x0000_s10243"/>
                </a:ext>
                <a:ext uri="{FF2B5EF4-FFF2-40B4-BE49-F238E27FC236}">
                  <a16:creationId xmlns:a16="http://schemas.microsoft.com/office/drawing/2014/main" id="{00000000-0008-0000-0C00-000003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8</xdr:row>
          <xdr:rowOff>7620</xdr:rowOff>
        </xdr:from>
        <xdr:to>
          <xdr:col>5</xdr:col>
          <xdr:colOff>0</xdr:colOff>
          <xdr:row>8</xdr:row>
          <xdr:rowOff>144780</xdr:rowOff>
        </xdr:to>
        <xdr:sp macro="" textlink="">
          <xdr:nvSpPr>
            <xdr:cNvPr id="10244" name="Drop Down 4" hidden="1">
              <a:extLst>
                <a:ext uri="{63B3BB69-23CF-44E3-9099-C40C66FF867C}">
                  <a14:compatExt spid="_x0000_s10244"/>
                </a:ext>
                <a:ext uri="{FF2B5EF4-FFF2-40B4-BE49-F238E27FC236}">
                  <a16:creationId xmlns:a16="http://schemas.microsoft.com/office/drawing/2014/main" id="{00000000-0008-0000-0C00-000004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9</xdr:row>
          <xdr:rowOff>7620</xdr:rowOff>
        </xdr:from>
        <xdr:to>
          <xdr:col>5</xdr:col>
          <xdr:colOff>0</xdr:colOff>
          <xdr:row>9</xdr:row>
          <xdr:rowOff>144780</xdr:rowOff>
        </xdr:to>
        <xdr:sp macro="" textlink="">
          <xdr:nvSpPr>
            <xdr:cNvPr id="10245" name="Drop Down 5" hidden="1">
              <a:extLst>
                <a:ext uri="{63B3BB69-23CF-44E3-9099-C40C66FF867C}">
                  <a14:compatExt spid="_x0000_s10245"/>
                </a:ext>
                <a:ext uri="{FF2B5EF4-FFF2-40B4-BE49-F238E27FC236}">
                  <a16:creationId xmlns:a16="http://schemas.microsoft.com/office/drawing/2014/main" id="{00000000-0008-0000-0C00-000005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12</xdr:row>
          <xdr:rowOff>22860</xdr:rowOff>
        </xdr:from>
        <xdr:to>
          <xdr:col>5</xdr:col>
          <xdr:colOff>0</xdr:colOff>
          <xdr:row>13</xdr:row>
          <xdr:rowOff>0</xdr:rowOff>
        </xdr:to>
        <xdr:sp macro="" textlink="">
          <xdr:nvSpPr>
            <xdr:cNvPr id="10246" name="Drop Down 6" hidden="1">
              <a:extLst>
                <a:ext uri="{63B3BB69-23CF-44E3-9099-C40C66FF867C}">
                  <a14:compatExt spid="_x0000_s10246"/>
                </a:ext>
                <a:ext uri="{FF2B5EF4-FFF2-40B4-BE49-F238E27FC236}">
                  <a16:creationId xmlns:a16="http://schemas.microsoft.com/office/drawing/2014/main" id="{00000000-0008-0000-0C00-000006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13</xdr:row>
          <xdr:rowOff>22860</xdr:rowOff>
        </xdr:from>
        <xdr:to>
          <xdr:col>5</xdr:col>
          <xdr:colOff>0</xdr:colOff>
          <xdr:row>14</xdr:row>
          <xdr:rowOff>0</xdr:rowOff>
        </xdr:to>
        <xdr:sp macro="" textlink="">
          <xdr:nvSpPr>
            <xdr:cNvPr id="10247" name="Drop Down 7" hidden="1">
              <a:extLst>
                <a:ext uri="{63B3BB69-23CF-44E3-9099-C40C66FF867C}">
                  <a14:compatExt spid="_x0000_s10247"/>
                </a:ext>
                <a:ext uri="{FF2B5EF4-FFF2-40B4-BE49-F238E27FC236}">
                  <a16:creationId xmlns:a16="http://schemas.microsoft.com/office/drawing/2014/main" id="{00000000-0008-0000-0C00-000007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14</xdr:row>
          <xdr:rowOff>7620</xdr:rowOff>
        </xdr:from>
        <xdr:to>
          <xdr:col>5</xdr:col>
          <xdr:colOff>0</xdr:colOff>
          <xdr:row>14</xdr:row>
          <xdr:rowOff>144780</xdr:rowOff>
        </xdr:to>
        <xdr:sp macro="" textlink="">
          <xdr:nvSpPr>
            <xdr:cNvPr id="10248" name="Drop Down 8" hidden="1">
              <a:extLst>
                <a:ext uri="{63B3BB69-23CF-44E3-9099-C40C66FF867C}">
                  <a14:compatExt spid="_x0000_s10248"/>
                </a:ext>
                <a:ext uri="{FF2B5EF4-FFF2-40B4-BE49-F238E27FC236}">
                  <a16:creationId xmlns:a16="http://schemas.microsoft.com/office/drawing/2014/main" id="{00000000-0008-0000-0C00-000008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11</xdr:row>
          <xdr:rowOff>22860</xdr:rowOff>
        </xdr:from>
        <xdr:to>
          <xdr:col>5</xdr:col>
          <xdr:colOff>0</xdr:colOff>
          <xdr:row>12</xdr:row>
          <xdr:rowOff>0</xdr:rowOff>
        </xdr:to>
        <xdr:sp macro="" textlink="">
          <xdr:nvSpPr>
            <xdr:cNvPr id="10249" name="Drop Down 9" hidden="1">
              <a:extLst>
                <a:ext uri="{63B3BB69-23CF-44E3-9099-C40C66FF867C}">
                  <a14:compatExt spid="_x0000_s10249"/>
                </a:ext>
                <a:ext uri="{FF2B5EF4-FFF2-40B4-BE49-F238E27FC236}">
                  <a16:creationId xmlns:a16="http://schemas.microsoft.com/office/drawing/2014/main" id="{00000000-0008-0000-0C00-000009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26</xdr:row>
          <xdr:rowOff>22860</xdr:rowOff>
        </xdr:from>
        <xdr:to>
          <xdr:col>5</xdr:col>
          <xdr:colOff>0</xdr:colOff>
          <xdr:row>27</xdr:row>
          <xdr:rowOff>0</xdr:rowOff>
        </xdr:to>
        <xdr:sp macro="" textlink="">
          <xdr:nvSpPr>
            <xdr:cNvPr id="10250" name="Drop Down 10" hidden="1">
              <a:extLst>
                <a:ext uri="{63B3BB69-23CF-44E3-9099-C40C66FF867C}">
                  <a14:compatExt spid="_x0000_s10250"/>
                </a:ext>
                <a:ext uri="{FF2B5EF4-FFF2-40B4-BE49-F238E27FC236}">
                  <a16:creationId xmlns:a16="http://schemas.microsoft.com/office/drawing/2014/main" id="{00000000-0008-0000-0C00-00000A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27</xdr:row>
          <xdr:rowOff>7620</xdr:rowOff>
        </xdr:from>
        <xdr:to>
          <xdr:col>5</xdr:col>
          <xdr:colOff>0</xdr:colOff>
          <xdr:row>27</xdr:row>
          <xdr:rowOff>144780</xdr:rowOff>
        </xdr:to>
        <xdr:sp macro="" textlink="">
          <xdr:nvSpPr>
            <xdr:cNvPr id="10251" name="Drop Down 11" hidden="1">
              <a:extLst>
                <a:ext uri="{63B3BB69-23CF-44E3-9099-C40C66FF867C}">
                  <a14:compatExt spid="_x0000_s10251"/>
                </a:ext>
                <a:ext uri="{FF2B5EF4-FFF2-40B4-BE49-F238E27FC236}">
                  <a16:creationId xmlns:a16="http://schemas.microsoft.com/office/drawing/2014/main" id="{00000000-0008-0000-0C00-00000B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28</xdr:row>
          <xdr:rowOff>7620</xdr:rowOff>
        </xdr:from>
        <xdr:to>
          <xdr:col>5</xdr:col>
          <xdr:colOff>0</xdr:colOff>
          <xdr:row>28</xdr:row>
          <xdr:rowOff>144780</xdr:rowOff>
        </xdr:to>
        <xdr:sp macro="" textlink="">
          <xdr:nvSpPr>
            <xdr:cNvPr id="10252" name="Drop Down 12" hidden="1">
              <a:extLst>
                <a:ext uri="{63B3BB69-23CF-44E3-9099-C40C66FF867C}">
                  <a14:compatExt spid="_x0000_s10252"/>
                </a:ext>
                <a:ext uri="{FF2B5EF4-FFF2-40B4-BE49-F238E27FC236}">
                  <a16:creationId xmlns:a16="http://schemas.microsoft.com/office/drawing/2014/main" id="{00000000-0008-0000-0C00-00000C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7620</xdr:colOff>
          <xdr:row>2</xdr:row>
          <xdr:rowOff>7620</xdr:rowOff>
        </xdr:from>
        <xdr:to>
          <xdr:col>8</xdr:col>
          <xdr:colOff>381000</xdr:colOff>
          <xdr:row>2</xdr:row>
          <xdr:rowOff>144780</xdr:rowOff>
        </xdr:to>
        <xdr:sp macro="" textlink="">
          <xdr:nvSpPr>
            <xdr:cNvPr id="10253" name="Drop Down 13" hidden="1">
              <a:extLst>
                <a:ext uri="{63B3BB69-23CF-44E3-9099-C40C66FF867C}">
                  <a14:compatExt spid="_x0000_s10253"/>
                </a:ext>
                <a:ext uri="{FF2B5EF4-FFF2-40B4-BE49-F238E27FC236}">
                  <a16:creationId xmlns:a16="http://schemas.microsoft.com/office/drawing/2014/main" id="{00000000-0008-0000-0C00-00000D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14</xdr:row>
          <xdr:rowOff>7620</xdr:rowOff>
        </xdr:from>
        <xdr:to>
          <xdr:col>8</xdr:col>
          <xdr:colOff>257175</xdr:colOff>
          <xdr:row>14</xdr:row>
          <xdr:rowOff>144780</xdr:rowOff>
        </xdr:to>
        <xdr:sp macro="" textlink="">
          <xdr:nvSpPr>
            <xdr:cNvPr id="10254" name="Drop Down 14" hidden="1">
              <a:extLst>
                <a:ext uri="{63B3BB69-23CF-44E3-9099-C40C66FF867C}">
                  <a14:compatExt spid="_x0000_s10254"/>
                </a:ext>
                <a:ext uri="{FF2B5EF4-FFF2-40B4-BE49-F238E27FC236}">
                  <a16:creationId xmlns:a16="http://schemas.microsoft.com/office/drawing/2014/main" id="{00000000-0008-0000-0C00-00000E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</xdr:colOff>
          <xdr:row>15</xdr:row>
          <xdr:rowOff>22860</xdr:rowOff>
        </xdr:from>
        <xdr:to>
          <xdr:col>8</xdr:col>
          <xdr:colOff>257175</xdr:colOff>
          <xdr:row>16</xdr:row>
          <xdr:rowOff>0</xdr:rowOff>
        </xdr:to>
        <xdr:sp macro="" textlink="">
          <xdr:nvSpPr>
            <xdr:cNvPr id="10255" name="Drop Down 15" hidden="1">
              <a:extLst>
                <a:ext uri="{63B3BB69-23CF-44E3-9099-C40C66FF867C}">
                  <a14:compatExt spid="_x0000_s10255"/>
                </a:ext>
                <a:ext uri="{FF2B5EF4-FFF2-40B4-BE49-F238E27FC236}">
                  <a16:creationId xmlns:a16="http://schemas.microsoft.com/office/drawing/2014/main" id="{00000000-0008-0000-0C00-00000F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</xdr:colOff>
          <xdr:row>29</xdr:row>
          <xdr:rowOff>7620</xdr:rowOff>
        </xdr:from>
        <xdr:to>
          <xdr:col>5</xdr:col>
          <xdr:colOff>0</xdr:colOff>
          <xdr:row>29</xdr:row>
          <xdr:rowOff>144780</xdr:rowOff>
        </xdr:to>
        <xdr:sp macro="" textlink="">
          <xdr:nvSpPr>
            <xdr:cNvPr id="10256" name="Drop Down 16" hidden="1">
              <a:extLst>
                <a:ext uri="{63B3BB69-23CF-44E3-9099-C40C66FF867C}">
                  <a14:compatExt spid="_x0000_s10256"/>
                </a:ext>
                <a:ext uri="{FF2B5EF4-FFF2-40B4-BE49-F238E27FC236}">
                  <a16:creationId xmlns:a16="http://schemas.microsoft.com/office/drawing/2014/main" id="{00000000-0008-0000-0C00-0000102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2" name="Rectangle 75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3" name="Rectangle 76">
          <a:extLst>
            <a:ext uri="{FF2B5EF4-FFF2-40B4-BE49-F238E27FC236}">
              <a16:creationId xmlns:a16="http://schemas.microsoft.com/office/drawing/2014/main" id="{00000000-0008-0000-0D00-000003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" name="Rectangle 77">
          <a:extLst>
            <a:ext uri="{FF2B5EF4-FFF2-40B4-BE49-F238E27FC236}">
              <a16:creationId xmlns:a16="http://schemas.microsoft.com/office/drawing/2014/main" id="{00000000-0008-0000-0D00-000004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5" name="Rectangle 78">
          <a:extLst>
            <a:ext uri="{FF2B5EF4-FFF2-40B4-BE49-F238E27FC236}">
              <a16:creationId xmlns:a16="http://schemas.microsoft.com/office/drawing/2014/main" id="{00000000-0008-0000-0D00-000005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6" name="Rectangle 79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7" name="Rectangle 80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8" name="Rectangle 81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9" name="Rectangle 83">
          <a:extLst>
            <a:ext uri="{FF2B5EF4-FFF2-40B4-BE49-F238E27FC236}">
              <a16:creationId xmlns:a16="http://schemas.microsoft.com/office/drawing/2014/main" id="{00000000-0008-0000-0D00-000009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10" name="Rectangle 90">
          <a:extLst>
            <a:ext uri="{FF2B5EF4-FFF2-40B4-BE49-F238E27FC236}">
              <a16:creationId xmlns:a16="http://schemas.microsoft.com/office/drawing/2014/main" id="{00000000-0008-0000-0D00-00000A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11" name="Rectangle 91">
          <a:extLst>
            <a:ext uri="{FF2B5EF4-FFF2-40B4-BE49-F238E27FC236}">
              <a16:creationId xmlns:a16="http://schemas.microsoft.com/office/drawing/2014/main" id="{00000000-0008-0000-0D00-00000B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12" name="Rectangle 92">
          <a:extLst>
            <a:ext uri="{FF2B5EF4-FFF2-40B4-BE49-F238E27FC236}">
              <a16:creationId xmlns:a16="http://schemas.microsoft.com/office/drawing/2014/main" id="{00000000-0008-0000-0D00-00000C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13" name="Rectangle 93">
          <a:extLst>
            <a:ext uri="{FF2B5EF4-FFF2-40B4-BE49-F238E27FC236}">
              <a16:creationId xmlns:a16="http://schemas.microsoft.com/office/drawing/2014/main" id="{00000000-0008-0000-0D00-00000D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14" name="Rectangle 94">
          <a:extLst>
            <a:ext uri="{FF2B5EF4-FFF2-40B4-BE49-F238E27FC236}">
              <a16:creationId xmlns:a16="http://schemas.microsoft.com/office/drawing/2014/main" id="{00000000-0008-0000-0D00-00000E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15" name="Rectangle 95">
          <a:extLst>
            <a:ext uri="{FF2B5EF4-FFF2-40B4-BE49-F238E27FC236}">
              <a16:creationId xmlns:a16="http://schemas.microsoft.com/office/drawing/2014/main" id="{00000000-0008-0000-0D00-00000F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16" name="Rectangle 96">
          <a:extLst>
            <a:ext uri="{FF2B5EF4-FFF2-40B4-BE49-F238E27FC236}">
              <a16:creationId xmlns:a16="http://schemas.microsoft.com/office/drawing/2014/main" id="{00000000-0008-0000-0D00-000010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17" name="Rectangle 97">
          <a:extLst>
            <a:ext uri="{FF2B5EF4-FFF2-40B4-BE49-F238E27FC236}">
              <a16:creationId xmlns:a16="http://schemas.microsoft.com/office/drawing/2014/main" id="{00000000-0008-0000-0D00-000011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18" name="Rectangle 98">
          <a:extLst>
            <a:ext uri="{FF2B5EF4-FFF2-40B4-BE49-F238E27FC236}">
              <a16:creationId xmlns:a16="http://schemas.microsoft.com/office/drawing/2014/main" id="{00000000-0008-0000-0D00-000012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19" name="Rectangle 99">
          <a:extLst>
            <a:ext uri="{FF2B5EF4-FFF2-40B4-BE49-F238E27FC236}">
              <a16:creationId xmlns:a16="http://schemas.microsoft.com/office/drawing/2014/main" id="{00000000-0008-0000-0D00-000013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20" name="Rectangle 100">
          <a:extLst>
            <a:ext uri="{FF2B5EF4-FFF2-40B4-BE49-F238E27FC236}">
              <a16:creationId xmlns:a16="http://schemas.microsoft.com/office/drawing/2014/main" id="{00000000-0008-0000-0D00-000014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21" name="Rectangle 101">
          <a:extLst>
            <a:ext uri="{FF2B5EF4-FFF2-40B4-BE49-F238E27FC236}">
              <a16:creationId xmlns:a16="http://schemas.microsoft.com/office/drawing/2014/main" id="{00000000-0008-0000-0D00-000015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22" name="Rectangle 102">
          <a:extLst>
            <a:ext uri="{FF2B5EF4-FFF2-40B4-BE49-F238E27FC236}">
              <a16:creationId xmlns:a16="http://schemas.microsoft.com/office/drawing/2014/main" id="{00000000-0008-0000-0D00-000016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23" name="Rectangle 103">
          <a:extLst>
            <a:ext uri="{FF2B5EF4-FFF2-40B4-BE49-F238E27FC236}">
              <a16:creationId xmlns:a16="http://schemas.microsoft.com/office/drawing/2014/main" id="{00000000-0008-0000-0D00-000017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24" name="Rectangle 104">
          <a:extLst>
            <a:ext uri="{FF2B5EF4-FFF2-40B4-BE49-F238E27FC236}">
              <a16:creationId xmlns:a16="http://schemas.microsoft.com/office/drawing/2014/main" id="{00000000-0008-0000-0D00-000018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25" name="Rectangle 105">
          <a:extLst>
            <a:ext uri="{FF2B5EF4-FFF2-40B4-BE49-F238E27FC236}">
              <a16:creationId xmlns:a16="http://schemas.microsoft.com/office/drawing/2014/main" id="{00000000-0008-0000-0D00-000019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26" name="Rectangle 111">
          <a:extLst>
            <a:ext uri="{FF2B5EF4-FFF2-40B4-BE49-F238E27FC236}">
              <a16:creationId xmlns:a16="http://schemas.microsoft.com/office/drawing/2014/main" id="{00000000-0008-0000-0D00-00001A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27" name="Rectangle 112">
          <a:extLst>
            <a:ext uri="{FF2B5EF4-FFF2-40B4-BE49-F238E27FC236}">
              <a16:creationId xmlns:a16="http://schemas.microsoft.com/office/drawing/2014/main" id="{00000000-0008-0000-0D00-00001B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28" name="Rectangle 113">
          <a:extLst>
            <a:ext uri="{FF2B5EF4-FFF2-40B4-BE49-F238E27FC236}">
              <a16:creationId xmlns:a16="http://schemas.microsoft.com/office/drawing/2014/main" id="{00000000-0008-0000-0D00-00001C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29" name="Rectangle 83">
          <a:extLst>
            <a:ext uri="{FF2B5EF4-FFF2-40B4-BE49-F238E27FC236}">
              <a16:creationId xmlns:a16="http://schemas.microsoft.com/office/drawing/2014/main" id="{00000000-0008-0000-0D00-00001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30" name="Rectangle 83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31" name="Rectangle 83">
          <a:extLst>
            <a:ext uri="{FF2B5EF4-FFF2-40B4-BE49-F238E27FC236}">
              <a16:creationId xmlns:a16="http://schemas.microsoft.com/office/drawing/2014/main" id="{00000000-0008-0000-0D00-00001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32" name="Rectangle 113">
          <a:extLst>
            <a:ext uri="{FF2B5EF4-FFF2-40B4-BE49-F238E27FC236}">
              <a16:creationId xmlns:a16="http://schemas.microsoft.com/office/drawing/2014/main" id="{00000000-0008-0000-0D00-000020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33" name="Rectangle 113">
          <a:extLst>
            <a:ext uri="{FF2B5EF4-FFF2-40B4-BE49-F238E27FC236}">
              <a16:creationId xmlns:a16="http://schemas.microsoft.com/office/drawing/2014/main" id="{00000000-0008-0000-0D00-000021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34" name="Rectangle 113">
          <a:extLst>
            <a:ext uri="{FF2B5EF4-FFF2-40B4-BE49-F238E27FC236}">
              <a16:creationId xmlns:a16="http://schemas.microsoft.com/office/drawing/2014/main" id="{00000000-0008-0000-0D00-000022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35" name="Rectangle 113">
          <a:extLst>
            <a:ext uri="{FF2B5EF4-FFF2-40B4-BE49-F238E27FC236}">
              <a16:creationId xmlns:a16="http://schemas.microsoft.com/office/drawing/2014/main" id="{00000000-0008-0000-0D00-000023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36" name="Rectangle 113">
          <a:extLst>
            <a:ext uri="{FF2B5EF4-FFF2-40B4-BE49-F238E27FC236}">
              <a16:creationId xmlns:a16="http://schemas.microsoft.com/office/drawing/2014/main" id="{00000000-0008-0000-0D00-000024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37" name="Rectangle 113">
          <a:extLst>
            <a:ext uri="{FF2B5EF4-FFF2-40B4-BE49-F238E27FC236}">
              <a16:creationId xmlns:a16="http://schemas.microsoft.com/office/drawing/2014/main" id="{00000000-0008-0000-0D00-000025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38" name="Rectangle 113">
          <a:extLst>
            <a:ext uri="{FF2B5EF4-FFF2-40B4-BE49-F238E27FC236}">
              <a16:creationId xmlns:a16="http://schemas.microsoft.com/office/drawing/2014/main" id="{00000000-0008-0000-0D00-000026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39" name="Rectangle 113">
          <a:extLst>
            <a:ext uri="{FF2B5EF4-FFF2-40B4-BE49-F238E27FC236}">
              <a16:creationId xmlns:a16="http://schemas.microsoft.com/office/drawing/2014/main" id="{00000000-0008-0000-0D00-000027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40" name="Rectangle 113">
          <a:extLst>
            <a:ext uri="{FF2B5EF4-FFF2-40B4-BE49-F238E27FC236}">
              <a16:creationId xmlns:a16="http://schemas.microsoft.com/office/drawing/2014/main" id="{00000000-0008-0000-0D00-000028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41" name="Rectangle 113">
          <a:extLst>
            <a:ext uri="{FF2B5EF4-FFF2-40B4-BE49-F238E27FC236}">
              <a16:creationId xmlns:a16="http://schemas.microsoft.com/office/drawing/2014/main" id="{00000000-0008-0000-0D00-000029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42" name="Rectangle 113">
          <a:extLst>
            <a:ext uri="{FF2B5EF4-FFF2-40B4-BE49-F238E27FC236}">
              <a16:creationId xmlns:a16="http://schemas.microsoft.com/office/drawing/2014/main" id="{00000000-0008-0000-0D00-00002A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10</xdr:row>
      <xdr:rowOff>28575</xdr:rowOff>
    </xdr:from>
    <xdr:to>
      <xdr:col>10</xdr:col>
      <xdr:colOff>438150</xdr:colOff>
      <xdr:row>10</xdr:row>
      <xdr:rowOff>228600</xdr:rowOff>
    </xdr:to>
    <xdr:sp macro="" textlink="">
      <xdr:nvSpPr>
        <xdr:cNvPr id="43" name="Rectangle 75">
          <a:extLst>
            <a:ext uri="{FF2B5EF4-FFF2-40B4-BE49-F238E27FC236}">
              <a16:creationId xmlns:a16="http://schemas.microsoft.com/office/drawing/2014/main" id="{00000000-0008-0000-0D00-00002B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654754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11</xdr:row>
      <xdr:rowOff>28575</xdr:rowOff>
    </xdr:from>
    <xdr:to>
      <xdr:col>10</xdr:col>
      <xdr:colOff>438150</xdr:colOff>
      <xdr:row>11</xdr:row>
      <xdr:rowOff>228600</xdr:rowOff>
    </xdr:to>
    <xdr:sp macro="" textlink="">
      <xdr:nvSpPr>
        <xdr:cNvPr id="44" name="Rectangle 76">
          <a:extLst>
            <a:ext uri="{FF2B5EF4-FFF2-40B4-BE49-F238E27FC236}">
              <a16:creationId xmlns:a16="http://schemas.microsoft.com/office/drawing/2014/main" id="{00000000-0008-0000-0D00-00002C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2899682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12</xdr:row>
      <xdr:rowOff>28575</xdr:rowOff>
    </xdr:from>
    <xdr:to>
      <xdr:col>10</xdr:col>
      <xdr:colOff>438150</xdr:colOff>
      <xdr:row>12</xdr:row>
      <xdr:rowOff>228600</xdr:rowOff>
    </xdr:to>
    <xdr:sp macro="" textlink="">
      <xdr:nvSpPr>
        <xdr:cNvPr id="45" name="Rectangle 77">
          <a:extLst>
            <a:ext uri="{FF2B5EF4-FFF2-40B4-BE49-F238E27FC236}">
              <a16:creationId xmlns:a16="http://schemas.microsoft.com/office/drawing/2014/main" id="{00000000-0008-0000-0D00-00002D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144611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13</xdr:row>
      <xdr:rowOff>28575</xdr:rowOff>
    </xdr:from>
    <xdr:to>
      <xdr:col>10</xdr:col>
      <xdr:colOff>438150</xdr:colOff>
      <xdr:row>13</xdr:row>
      <xdr:rowOff>228600</xdr:rowOff>
    </xdr:to>
    <xdr:sp macro="" textlink="">
      <xdr:nvSpPr>
        <xdr:cNvPr id="46" name="Rectangle 78">
          <a:extLst>
            <a:ext uri="{FF2B5EF4-FFF2-40B4-BE49-F238E27FC236}">
              <a16:creationId xmlns:a16="http://schemas.microsoft.com/office/drawing/2014/main" id="{00000000-0008-0000-0D00-00002E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3895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14</xdr:row>
      <xdr:rowOff>28575</xdr:rowOff>
    </xdr:from>
    <xdr:to>
      <xdr:col>10</xdr:col>
      <xdr:colOff>438150</xdr:colOff>
      <xdr:row>14</xdr:row>
      <xdr:rowOff>228600</xdr:rowOff>
    </xdr:to>
    <xdr:sp macro="" textlink="">
      <xdr:nvSpPr>
        <xdr:cNvPr id="47" name="Rectangle 79">
          <a:extLst>
            <a:ext uri="{FF2B5EF4-FFF2-40B4-BE49-F238E27FC236}">
              <a16:creationId xmlns:a16="http://schemas.microsoft.com/office/drawing/2014/main" id="{00000000-0008-0000-0D00-00002F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634468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15</xdr:row>
      <xdr:rowOff>28575</xdr:rowOff>
    </xdr:from>
    <xdr:to>
      <xdr:col>10</xdr:col>
      <xdr:colOff>438150</xdr:colOff>
      <xdr:row>15</xdr:row>
      <xdr:rowOff>228600</xdr:rowOff>
    </xdr:to>
    <xdr:sp macro="" textlink="">
      <xdr:nvSpPr>
        <xdr:cNvPr id="48" name="Rectangle 80">
          <a:extLst>
            <a:ext uri="{FF2B5EF4-FFF2-40B4-BE49-F238E27FC236}">
              <a16:creationId xmlns:a16="http://schemas.microsoft.com/office/drawing/2014/main" id="{00000000-0008-0000-0D00-000030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387939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16</xdr:row>
      <xdr:rowOff>28575</xdr:rowOff>
    </xdr:from>
    <xdr:to>
      <xdr:col>10</xdr:col>
      <xdr:colOff>438150</xdr:colOff>
      <xdr:row>16</xdr:row>
      <xdr:rowOff>228600</xdr:rowOff>
    </xdr:to>
    <xdr:sp macro="" textlink="">
      <xdr:nvSpPr>
        <xdr:cNvPr id="49" name="Rectangle 81">
          <a:extLst>
            <a:ext uri="{FF2B5EF4-FFF2-40B4-BE49-F238E27FC236}">
              <a16:creationId xmlns:a16="http://schemas.microsoft.com/office/drawing/2014/main" id="{00000000-0008-0000-0D00-000031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124325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17</xdr:row>
      <xdr:rowOff>19050</xdr:rowOff>
    </xdr:from>
    <xdr:to>
      <xdr:col>10</xdr:col>
      <xdr:colOff>438150</xdr:colOff>
      <xdr:row>17</xdr:row>
      <xdr:rowOff>219075</xdr:rowOff>
    </xdr:to>
    <xdr:sp macro="" textlink="">
      <xdr:nvSpPr>
        <xdr:cNvPr id="50" name="Rectangle 83">
          <a:extLst>
            <a:ext uri="{FF2B5EF4-FFF2-40B4-BE49-F238E27FC236}">
              <a16:creationId xmlns:a16="http://schemas.microsoft.com/office/drawing/2014/main" id="{00000000-0008-0000-0D00-000032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35972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23</xdr:row>
      <xdr:rowOff>28811</xdr:rowOff>
    </xdr:from>
    <xdr:to>
      <xdr:col>6</xdr:col>
      <xdr:colOff>415465</xdr:colOff>
      <xdr:row>23</xdr:row>
      <xdr:rowOff>200261</xdr:rowOff>
    </xdr:to>
    <xdr:sp macro="" textlink="">
      <xdr:nvSpPr>
        <xdr:cNvPr id="51" name="Rectangle 90">
          <a:extLst>
            <a:ext uri="{FF2B5EF4-FFF2-40B4-BE49-F238E27FC236}">
              <a16:creationId xmlns:a16="http://schemas.microsoft.com/office/drawing/2014/main" id="{00000000-0008-0000-0D00-000033000000}"/>
            </a:ext>
          </a:extLst>
        </xdr:cNvPr>
        <xdr:cNvSpPr>
          <a:spLocks noChangeArrowheads="1"/>
        </xdr:cNvSpPr>
      </xdr:nvSpPr>
      <xdr:spPr>
        <a:xfrm flipH="1">
          <a:off x="10033845463" y="583906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23</xdr:row>
      <xdr:rowOff>33520</xdr:rowOff>
    </xdr:from>
    <xdr:to>
      <xdr:col>13</xdr:col>
      <xdr:colOff>406409</xdr:colOff>
      <xdr:row>23</xdr:row>
      <xdr:rowOff>204970</xdr:rowOff>
    </xdr:to>
    <xdr:sp macro="" textlink="">
      <xdr:nvSpPr>
        <xdr:cNvPr id="52" name="Rectangle 91">
          <a:extLst>
            <a:ext uri="{FF2B5EF4-FFF2-40B4-BE49-F238E27FC236}">
              <a16:creationId xmlns:a16="http://schemas.microsoft.com/office/drawing/2014/main" id="{00000000-0008-0000-0D00-000034000000}"/>
            </a:ext>
          </a:extLst>
        </xdr:cNvPr>
        <xdr:cNvSpPr>
          <a:spLocks noChangeArrowheads="1"/>
        </xdr:cNvSpPr>
      </xdr:nvSpPr>
      <xdr:spPr>
        <a:xfrm flipH="1">
          <a:off x="10030452733" y="584377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24</xdr:row>
      <xdr:rowOff>60867</xdr:rowOff>
    </xdr:from>
    <xdr:to>
      <xdr:col>6</xdr:col>
      <xdr:colOff>415465</xdr:colOff>
      <xdr:row>24</xdr:row>
      <xdr:rowOff>232317</xdr:rowOff>
    </xdr:to>
    <xdr:sp macro="" textlink="">
      <xdr:nvSpPr>
        <xdr:cNvPr id="53" name="Rectangle 92">
          <a:extLst>
            <a:ext uri="{FF2B5EF4-FFF2-40B4-BE49-F238E27FC236}">
              <a16:creationId xmlns:a16="http://schemas.microsoft.com/office/drawing/2014/main" id="{00000000-0008-0000-0D00-000035000000}"/>
            </a:ext>
          </a:extLst>
        </xdr:cNvPr>
        <xdr:cNvSpPr>
          <a:spLocks noChangeArrowheads="1"/>
        </xdr:cNvSpPr>
      </xdr:nvSpPr>
      <xdr:spPr>
        <a:xfrm flipH="1">
          <a:off x="10033845463" y="611604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25</xdr:row>
      <xdr:rowOff>74604</xdr:rowOff>
    </xdr:from>
    <xdr:to>
      <xdr:col>6</xdr:col>
      <xdr:colOff>410886</xdr:colOff>
      <xdr:row>26</xdr:row>
      <xdr:rowOff>1125</xdr:rowOff>
    </xdr:to>
    <xdr:sp macro="" textlink="">
      <xdr:nvSpPr>
        <xdr:cNvPr id="54" name="Rectangle 93">
          <a:extLst>
            <a:ext uri="{FF2B5EF4-FFF2-40B4-BE49-F238E27FC236}">
              <a16:creationId xmlns:a16="http://schemas.microsoft.com/office/drawing/2014/main" id="{00000000-0008-0000-0D00-000036000000}"/>
            </a:ext>
          </a:extLst>
        </xdr:cNvPr>
        <xdr:cNvSpPr>
          <a:spLocks noChangeArrowheads="1"/>
        </xdr:cNvSpPr>
      </xdr:nvSpPr>
      <xdr:spPr>
        <a:xfrm flipH="1">
          <a:off x="10033850042" y="637471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26</xdr:row>
      <xdr:rowOff>65446</xdr:rowOff>
    </xdr:from>
    <xdr:to>
      <xdr:col>6</xdr:col>
      <xdr:colOff>410886</xdr:colOff>
      <xdr:row>26</xdr:row>
      <xdr:rowOff>236896</xdr:rowOff>
    </xdr:to>
    <xdr:sp macro="" textlink="">
      <xdr:nvSpPr>
        <xdr:cNvPr id="55" name="Rectangle 94">
          <a:extLst>
            <a:ext uri="{FF2B5EF4-FFF2-40B4-BE49-F238E27FC236}">
              <a16:creationId xmlns:a16="http://schemas.microsoft.com/office/drawing/2014/main" id="{00000000-0008-0000-0D00-000037000000}"/>
            </a:ext>
          </a:extLst>
        </xdr:cNvPr>
        <xdr:cNvSpPr>
          <a:spLocks noChangeArrowheads="1"/>
        </xdr:cNvSpPr>
      </xdr:nvSpPr>
      <xdr:spPr>
        <a:xfrm flipH="1">
          <a:off x="10033850042" y="6610482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27</xdr:row>
      <xdr:rowOff>47129</xdr:rowOff>
    </xdr:from>
    <xdr:to>
      <xdr:col>6</xdr:col>
      <xdr:colOff>410885</xdr:colOff>
      <xdr:row>27</xdr:row>
      <xdr:rowOff>218579</xdr:rowOff>
    </xdr:to>
    <xdr:sp macro="" textlink="">
      <xdr:nvSpPr>
        <xdr:cNvPr id="56" name="Rectangle 95">
          <a:extLst>
            <a:ext uri="{FF2B5EF4-FFF2-40B4-BE49-F238E27FC236}">
              <a16:creationId xmlns:a16="http://schemas.microsoft.com/office/drawing/2014/main" id="{00000000-0008-0000-0D00-000038000000}"/>
            </a:ext>
          </a:extLst>
        </xdr:cNvPr>
        <xdr:cNvSpPr>
          <a:spLocks noChangeArrowheads="1"/>
        </xdr:cNvSpPr>
      </xdr:nvSpPr>
      <xdr:spPr>
        <a:xfrm flipH="1">
          <a:off x="10033850043" y="683709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28</xdr:row>
      <xdr:rowOff>51708</xdr:rowOff>
    </xdr:from>
    <xdr:to>
      <xdr:col>6</xdr:col>
      <xdr:colOff>410886</xdr:colOff>
      <xdr:row>28</xdr:row>
      <xdr:rowOff>223158</xdr:rowOff>
    </xdr:to>
    <xdr:sp macro="" textlink="">
      <xdr:nvSpPr>
        <xdr:cNvPr id="57" name="Rectangle 96">
          <a:extLst>
            <a:ext uri="{FF2B5EF4-FFF2-40B4-BE49-F238E27FC236}">
              <a16:creationId xmlns:a16="http://schemas.microsoft.com/office/drawing/2014/main" id="{00000000-0008-0000-0D00-000039000000}"/>
            </a:ext>
          </a:extLst>
        </xdr:cNvPr>
        <xdr:cNvSpPr>
          <a:spLocks noChangeArrowheads="1"/>
        </xdr:cNvSpPr>
      </xdr:nvSpPr>
      <xdr:spPr>
        <a:xfrm flipH="1">
          <a:off x="10033850042" y="708660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29</xdr:row>
      <xdr:rowOff>47129</xdr:rowOff>
    </xdr:from>
    <xdr:to>
      <xdr:col>6</xdr:col>
      <xdr:colOff>410886</xdr:colOff>
      <xdr:row>29</xdr:row>
      <xdr:rowOff>218579</xdr:rowOff>
    </xdr:to>
    <xdr:sp macro="" textlink="">
      <xdr:nvSpPr>
        <xdr:cNvPr id="58" name="Rectangle 97">
          <a:extLst>
            <a:ext uri="{FF2B5EF4-FFF2-40B4-BE49-F238E27FC236}">
              <a16:creationId xmlns:a16="http://schemas.microsoft.com/office/drawing/2014/main" id="{00000000-0008-0000-0D00-00003A000000}"/>
            </a:ext>
          </a:extLst>
        </xdr:cNvPr>
        <xdr:cNvSpPr>
          <a:spLocks noChangeArrowheads="1"/>
        </xdr:cNvSpPr>
      </xdr:nvSpPr>
      <xdr:spPr>
        <a:xfrm flipH="1">
          <a:off x="10033850042" y="732695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30</xdr:row>
      <xdr:rowOff>51709</xdr:rowOff>
    </xdr:from>
    <xdr:to>
      <xdr:col>6</xdr:col>
      <xdr:colOff>410885</xdr:colOff>
      <xdr:row>30</xdr:row>
      <xdr:rowOff>223159</xdr:rowOff>
    </xdr:to>
    <xdr:sp macro="" textlink="">
      <xdr:nvSpPr>
        <xdr:cNvPr id="59" name="Rectangle 98">
          <a:extLst>
            <a:ext uri="{FF2B5EF4-FFF2-40B4-BE49-F238E27FC236}">
              <a16:creationId xmlns:a16="http://schemas.microsoft.com/office/drawing/2014/main" id="{00000000-0008-0000-0D00-00003B000000}"/>
            </a:ext>
          </a:extLst>
        </xdr:cNvPr>
        <xdr:cNvSpPr>
          <a:spLocks noChangeArrowheads="1"/>
        </xdr:cNvSpPr>
      </xdr:nvSpPr>
      <xdr:spPr>
        <a:xfrm flipH="1">
          <a:off x="10033850043" y="7576459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31</xdr:row>
      <xdr:rowOff>56287</xdr:rowOff>
    </xdr:from>
    <xdr:to>
      <xdr:col>6</xdr:col>
      <xdr:colOff>415465</xdr:colOff>
      <xdr:row>31</xdr:row>
      <xdr:rowOff>227737</xdr:rowOff>
    </xdr:to>
    <xdr:sp macro="" textlink="">
      <xdr:nvSpPr>
        <xdr:cNvPr id="60" name="Rectangle 99">
          <a:extLst>
            <a:ext uri="{FF2B5EF4-FFF2-40B4-BE49-F238E27FC236}">
              <a16:creationId xmlns:a16="http://schemas.microsoft.com/office/drawing/2014/main" id="{00000000-0008-0000-0D00-00003C000000}"/>
            </a:ext>
          </a:extLst>
        </xdr:cNvPr>
        <xdr:cNvSpPr>
          <a:spLocks noChangeArrowheads="1"/>
        </xdr:cNvSpPr>
      </xdr:nvSpPr>
      <xdr:spPr>
        <a:xfrm flipH="1">
          <a:off x="10033845463" y="782596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32</xdr:row>
      <xdr:rowOff>47129</xdr:rowOff>
    </xdr:from>
    <xdr:to>
      <xdr:col>6</xdr:col>
      <xdr:colOff>415465</xdr:colOff>
      <xdr:row>32</xdr:row>
      <xdr:rowOff>218579</xdr:rowOff>
    </xdr:to>
    <xdr:sp macro="" textlink="">
      <xdr:nvSpPr>
        <xdr:cNvPr id="61" name="Rectangle 100">
          <a:extLst>
            <a:ext uri="{FF2B5EF4-FFF2-40B4-BE49-F238E27FC236}">
              <a16:creationId xmlns:a16="http://schemas.microsoft.com/office/drawing/2014/main" id="{00000000-0008-0000-0D00-00003D000000}"/>
            </a:ext>
          </a:extLst>
        </xdr:cNvPr>
        <xdr:cNvSpPr>
          <a:spLocks noChangeArrowheads="1"/>
        </xdr:cNvSpPr>
      </xdr:nvSpPr>
      <xdr:spPr>
        <a:xfrm flipH="1">
          <a:off x="10033845463" y="806173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33</xdr:row>
      <xdr:rowOff>56288</xdr:rowOff>
    </xdr:from>
    <xdr:to>
      <xdr:col>6</xdr:col>
      <xdr:colOff>410886</xdr:colOff>
      <xdr:row>33</xdr:row>
      <xdr:rowOff>227738</xdr:rowOff>
    </xdr:to>
    <xdr:sp macro="" textlink="">
      <xdr:nvSpPr>
        <xdr:cNvPr id="62" name="Rectangle 101">
          <a:extLst>
            <a:ext uri="{FF2B5EF4-FFF2-40B4-BE49-F238E27FC236}">
              <a16:creationId xmlns:a16="http://schemas.microsoft.com/office/drawing/2014/main" id="{00000000-0008-0000-0D00-00003E000000}"/>
            </a:ext>
          </a:extLst>
        </xdr:cNvPr>
        <xdr:cNvSpPr>
          <a:spLocks noChangeArrowheads="1"/>
        </xdr:cNvSpPr>
      </xdr:nvSpPr>
      <xdr:spPr>
        <a:xfrm flipH="1">
          <a:off x="10033850042" y="83158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34</xdr:row>
      <xdr:rowOff>51707</xdr:rowOff>
    </xdr:from>
    <xdr:to>
      <xdr:col>6</xdr:col>
      <xdr:colOff>415465</xdr:colOff>
      <xdr:row>34</xdr:row>
      <xdr:rowOff>223157</xdr:rowOff>
    </xdr:to>
    <xdr:sp macro="" textlink="">
      <xdr:nvSpPr>
        <xdr:cNvPr id="63" name="Rectangle 102">
          <a:extLst>
            <a:ext uri="{FF2B5EF4-FFF2-40B4-BE49-F238E27FC236}">
              <a16:creationId xmlns:a16="http://schemas.microsoft.com/office/drawing/2014/main" id="{00000000-0008-0000-0D00-00003F000000}"/>
            </a:ext>
          </a:extLst>
        </xdr:cNvPr>
        <xdr:cNvSpPr>
          <a:spLocks noChangeArrowheads="1"/>
        </xdr:cNvSpPr>
      </xdr:nvSpPr>
      <xdr:spPr>
        <a:xfrm flipH="1">
          <a:off x="10033845463" y="855617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191811</xdr:colOff>
      <xdr:row>35</xdr:row>
      <xdr:rowOff>70025</xdr:rowOff>
    </xdr:from>
    <xdr:to>
      <xdr:col>6</xdr:col>
      <xdr:colOff>410886</xdr:colOff>
      <xdr:row>35</xdr:row>
      <xdr:rowOff>241475</xdr:rowOff>
    </xdr:to>
    <xdr:sp macro="" textlink="">
      <xdr:nvSpPr>
        <xdr:cNvPr id="64" name="Rectangle 103">
          <a:extLst>
            <a:ext uri="{FF2B5EF4-FFF2-40B4-BE49-F238E27FC236}">
              <a16:creationId xmlns:a16="http://schemas.microsoft.com/office/drawing/2014/main" id="{00000000-0008-0000-0D00-000040000000}"/>
            </a:ext>
          </a:extLst>
        </xdr:cNvPr>
        <xdr:cNvSpPr>
          <a:spLocks noChangeArrowheads="1"/>
        </xdr:cNvSpPr>
      </xdr:nvSpPr>
      <xdr:spPr>
        <a:xfrm flipH="1">
          <a:off x="10033850042" y="881941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191810</xdr:colOff>
      <xdr:row>36</xdr:row>
      <xdr:rowOff>51709</xdr:rowOff>
    </xdr:from>
    <xdr:to>
      <xdr:col>6</xdr:col>
      <xdr:colOff>410885</xdr:colOff>
      <xdr:row>36</xdr:row>
      <xdr:rowOff>223159</xdr:rowOff>
    </xdr:to>
    <xdr:sp macro="" textlink="">
      <xdr:nvSpPr>
        <xdr:cNvPr id="65" name="Rectangle 104">
          <a:extLst>
            <a:ext uri="{FF2B5EF4-FFF2-40B4-BE49-F238E27FC236}">
              <a16:creationId xmlns:a16="http://schemas.microsoft.com/office/drawing/2014/main" id="{00000000-0008-0000-0D00-000041000000}"/>
            </a:ext>
          </a:extLst>
        </xdr:cNvPr>
        <xdr:cNvSpPr>
          <a:spLocks noChangeArrowheads="1"/>
        </xdr:cNvSpPr>
      </xdr:nvSpPr>
      <xdr:spPr>
        <a:xfrm flipH="1">
          <a:off x="10033850043" y="904603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6</xdr:col>
      <xdr:colOff>196390</xdr:colOff>
      <xdr:row>37</xdr:row>
      <xdr:rowOff>74604</xdr:rowOff>
    </xdr:from>
    <xdr:to>
      <xdr:col>6</xdr:col>
      <xdr:colOff>415465</xdr:colOff>
      <xdr:row>38</xdr:row>
      <xdr:rowOff>672</xdr:rowOff>
    </xdr:to>
    <xdr:sp macro="" textlink="">
      <xdr:nvSpPr>
        <xdr:cNvPr id="66" name="Rectangle 105">
          <a:extLst>
            <a:ext uri="{FF2B5EF4-FFF2-40B4-BE49-F238E27FC236}">
              <a16:creationId xmlns:a16="http://schemas.microsoft.com/office/drawing/2014/main" id="{00000000-0008-0000-0D00-000042000000}"/>
            </a:ext>
          </a:extLst>
        </xdr:cNvPr>
        <xdr:cNvSpPr>
          <a:spLocks noChangeArrowheads="1"/>
        </xdr:cNvSpPr>
      </xdr:nvSpPr>
      <xdr:spPr>
        <a:xfrm flipH="1">
          <a:off x="10033845463" y="9313854"/>
          <a:ext cx="219075" cy="157389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191914</xdr:colOff>
      <xdr:row>24</xdr:row>
      <xdr:rowOff>38101</xdr:rowOff>
    </xdr:from>
    <xdr:to>
      <xdr:col>13</xdr:col>
      <xdr:colOff>410989</xdr:colOff>
      <xdr:row>24</xdr:row>
      <xdr:rowOff>209551</xdr:rowOff>
    </xdr:to>
    <xdr:sp macro="" textlink="">
      <xdr:nvSpPr>
        <xdr:cNvPr id="67" name="Rectangle 111">
          <a:extLst>
            <a:ext uri="{FF2B5EF4-FFF2-40B4-BE49-F238E27FC236}">
              <a16:creationId xmlns:a16="http://schemas.microsoft.com/office/drawing/2014/main" id="{00000000-0008-0000-0D00-000043000000}"/>
            </a:ext>
          </a:extLst>
        </xdr:cNvPr>
        <xdr:cNvSpPr>
          <a:spLocks noChangeArrowheads="1"/>
        </xdr:cNvSpPr>
      </xdr:nvSpPr>
      <xdr:spPr>
        <a:xfrm flipH="1">
          <a:off x="10030448153" y="609328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187334</xdr:colOff>
      <xdr:row>25</xdr:row>
      <xdr:rowOff>42679</xdr:rowOff>
    </xdr:from>
    <xdr:to>
      <xdr:col>13</xdr:col>
      <xdr:colOff>406409</xdr:colOff>
      <xdr:row>25</xdr:row>
      <xdr:rowOff>214129</xdr:rowOff>
    </xdr:to>
    <xdr:sp macro="" textlink="">
      <xdr:nvSpPr>
        <xdr:cNvPr id="68" name="Rectangle 112">
          <a:extLst>
            <a:ext uri="{FF2B5EF4-FFF2-40B4-BE49-F238E27FC236}">
              <a16:creationId xmlns:a16="http://schemas.microsoft.com/office/drawing/2014/main" id="{00000000-0008-0000-0D00-000044000000}"/>
            </a:ext>
          </a:extLst>
        </xdr:cNvPr>
        <xdr:cNvSpPr>
          <a:spLocks noChangeArrowheads="1"/>
        </xdr:cNvSpPr>
      </xdr:nvSpPr>
      <xdr:spPr>
        <a:xfrm flipH="1">
          <a:off x="10030452733" y="634278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26</xdr:row>
      <xdr:rowOff>56417</xdr:rowOff>
    </xdr:from>
    <xdr:to>
      <xdr:col>13</xdr:col>
      <xdr:colOff>401830</xdr:colOff>
      <xdr:row>26</xdr:row>
      <xdr:rowOff>227867</xdr:rowOff>
    </xdr:to>
    <xdr:sp macro="" textlink="">
      <xdr:nvSpPr>
        <xdr:cNvPr id="69" name="Rectangle 113">
          <a:extLst>
            <a:ext uri="{FF2B5EF4-FFF2-40B4-BE49-F238E27FC236}">
              <a16:creationId xmlns:a16="http://schemas.microsoft.com/office/drawing/2014/main" id="{00000000-0008-0000-0D00-000045000000}"/>
            </a:ext>
          </a:extLst>
        </xdr:cNvPr>
        <xdr:cNvSpPr>
          <a:spLocks noChangeArrowheads="1"/>
        </xdr:cNvSpPr>
      </xdr:nvSpPr>
      <xdr:spPr>
        <a:xfrm flipH="1">
          <a:off x="10030457312" y="66014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18</xdr:row>
      <xdr:rowOff>47625</xdr:rowOff>
    </xdr:from>
    <xdr:to>
      <xdr:col>10</xdr:col>
      <xdr:colOff>438150</xdr:colOff>
      <xdr:row>19</xdr:row>
      <xdr:rowOff>0</xdr:rowOff>
    </xdr:to>
    <xdr:sp macro="" textlink="">
      <xdr:nvSpPr>
        <xdr:cNvPr id="70" name="Rectangle 83">
          <a:extLst>
            <a:ext uri="{FF2B5EF4-FFF2-40B4-BE49-F238E27FC236}">
              <a16:creationId xmlns:a16="http://schemas.microsoft.com/office/drawing/2014/main" id="{00000000-0008-0000-0D00-000046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633232"/>
          <a:ext cx="361950" cy="197304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19</xdr:row>
      <xdr:rowOff>38100</xdr:rowOff>
    </xdr:from>
    <xdr:to>
      <xdr:col>10</xdr:col>
      <xdr:colOff>438150</xdr:colOff>
      <xdr:row>19</xdr:row>
      <xdr:rowOff>238125</xdr:rowOff>
    </xdr:to>
    <xdr:sp macro="" textlink="">
      <xdr:nvSpPr>
        <xdr:cNvPr id="71" name="Rectangle 83">
          <a:extLst>
            <a:ext uri="{FF2B5EF4-FFF2-40B4-BE49-F238E27FC236}">
              <a16:creationId xmlns:a16="http://schemas.microsoft.com/office/drawing/2014/main" id="{00000000-0008-0000-0D00-000047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4868636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10</xdr:col>
      <xdr:colOff>76200</xdr:colOff>
      <xdr:row>20</xdr:row>
      <xdr:rowOff>28575</xdr:rowOff>
    </xdr:from>
    <xdr:to>
      <xdr:col>10</xdr:col>
      <xdr:colOff>438150</xdr:colOff>
      <xdr:row>20</xdr:row>
      <xdr:rowOff>228600</xdr:rowOff>
    </xdr:to>
    <xdr:sp macro="" textlink="">
      <xdr:nvSpPr>
        <xdr:cNvPr id="72" name="Rectangle 83">
          <a:extLst>
            <a:ext uri="{FF2B5EF4-FFF2-40B4-BE49-F238E27FC236}">
              <a16:creationId xmlns:a16="http://schemas.microsoft.com/office/drawing/2014/main" id="{00000000-0008-0000-0D00-000048000000}"/>
            </a:ext>
          </a:extLst>
        </xdr:cNvPr>
        <xdr:cNvSpPr>
          <a:spLocks noChangeAspect="1" noChangeArrowheads="1"/>
        </xdr:cNvSpPr>
      </xdr:nvSpPr>
      <xdr:spPr>
        <a:xfrm flipH="1">
          <a:off x="10031917778" y="5104039"/>
          <a:ext cx="361950" cy="200025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27</xdr:row>
      <xdr:rowOff>56417</xdr:rowOff>
    </xdr:from>
    <xdr:to>
      <xdr:col>13</xdr:col>
      <xdr:colOff>401830</xdr:colOff>
      <xdr:row>27</xdr:row>
      <xdr:rowOff>227867</xdr:rowOff>
    </xdr:to>
    <xdr:sp macro="" textlink="">
      <xdr:nvSpPr>
        <xdr:cNvPr id="73" name="Rectangle 113">
          <a:extLst>
            <a:ext uri="{FF2B5EF4-FFF2-40B4-BE49-F238E27FC236}">
              <a16:creationId xmlns:a16="http://schemas.microsoft.com/office/drawing/2014/main" id="{00000000-0008-0000-0D00-000049000000}"/>
            </a:ext>
          </a:extLst>
        </xdr:cNvPr>
        <xdr:cNvSpPr>
          <a:spLocks noChangeArrowheads="1"/>
        </xdr:cNvSpPr>
      </xdr:nvSpPr>
      <xdr:spPr>
        <a:xfrm flipH="1">
          <a:off x="10030457312" y="68463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28</xdr:row>
      <xdr:rowOff>56417</xdr:rowOff>
    </xdr:from>
    <xdr:to>
      <xdr:col>13</xdr:col>
      <xdr:colOff>401830</xdr:colOff>
      <xdr:row>28</xdr:row>
      <xdr:rowOff>227867</xdr:rowOff>
    </xdr:to>
    <xdr:sp macro="" textlink="">
      <xdr:nvSpPr>
        <xdr:cNvPr id="74" name="Rectangle 113">
          <a:extLst>
            <a:ext uri="{FF2B5EF4-FFF2-40B4-BE49-F238E27FC236}">
              <a16:creationId xmlns:a16="http://schemas.microsoft.com/office/drawing/2014/main" id="{00000000-0008-0000-0D00-00004A000000}"/>
            </a:ext>
          </a:extLst>
        </xdr:cNvPr>
        <xdr:cNvSpPr>
          <a:spLocks noChangeArrowheads="1"/>
        </xdr:cNvSpPr>
      </xdr:nvSpPr>
      <xdr:spPr>
        <a:xfrm flipH="1">
          <a:off x="10030457312" y="70913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29</xdr:row>
      <xdr:rowOff>56417</xdr:rowOff>
    </xdr:from>
    <xdr:to>
      <xdr:col>13</xdr:col>
      <xdr:colOff>401830</xdr:colOff>
      <xdr:row>29</xdr:row>
      <xdr:rowOff>227867</xdr:rowOff>
    </xdr:to>
    <xdr:sp macro="" textlink="">
      <xdr:nvSpPr>
        <xdr:cNvPr id="75" name="Rectangle 113">
          <a:extLst>
            <a:ext uri="{FF2B5EF4-FFF2-40B4-BE49-F238E27FC236}">
              <a16:creationId xmlns:a16="http://schemas.microsoft.com/office/drawing/2014/main" id="{00000000-0008-0000-0D00-00004B000000}"/>
            </a:ext>
          </a:extLst>
        </xdr:cNvPr>
        <xdr:cNvSpPr>
          <a:spLocks noChangeArrowheads="1"/>
        </xdr:cNvSpPr>
      </xdr:nvSpPr>
      <xdr:spPr>
        <a:xfrm flipH="1">
          <a:off x="10030457312" y="73362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30</xdr:row>
      <xdr:rowOff>56417</xdr:rowOff>
    </xdr:from>
    <xdr:to>
      <xdr:col>13</xdr:col>
      <xdr:colOff>401830</xdr:colOff>
      <xdr:row>30</xdr:row>
      <xdr:rowOff>227867</xdr:rowOff>
    </xdr:to>
    <xdr:sp macro="" textlink="">
      <xdr:nvSpPr>
        <xdr:cNvPr id="76" name="Rectangle 113">
          <a:extLst>
            <a:ext uri="{FF2B5EF4-FFF2-40B4-BE49-F238E27FC236}">
              <a16:creationId xmlns:a16="http://schemas.microsoft.com/office/drawing/2014/main" id="{00000000-0008-0000-0D00-00004C000000}"/>
            </a:ext>
          </a:extLst>
        </xdr:cNvPr>
        <xdr:cNvSpPr>
          <a:spLocks noChangeArrowheads="1"/>
        </xdr:cNvSpPr>
      </xdr:nvSpPr>
      <xdr:spPr>
        <a:xfrm flipH="1">
          <a:off x="10030457312" y="75811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31</xdr:row>
      <xdr:rowOff>56417</xdr:rowOff>
    </xdr:from>
    <xdr:to>
      <xdr:col>13</xdr:col>
      <xdr:colOff>401830</xdr:colOff>
      <xdr:row>31</xdr:row>
      <xdr:rowOff>227867</xdr:rowOff>
    </xdr:to>
    <xdr:sp macro="" textlink="">
      <xdr:nvSpPr>
        <xdr:cNvPr id="77" name="Rectangle 113">
          <a:extLst>
            <a:ext uri="{FF2B5EF4-FFF2-40B4-BE49-F238E27FC236}">
              <a16:creationId xmlns:a16="http://schemas.microsoft.com/office/drawing/2014/main" id="{00000000-0008-0000-0D00-00004D000000}"/>
            </a:ext>
          </a:extLst>
        </xdr:cNvPr>
        <xdr:cNvSpPr>
          <a:spLocks noChangeArrowheads="1"/>
        </xdr:cNvSpPr>
      </xdr:nvSpPr>
      <xdr:spPr>
        <a:xfrm flipH="1">
          <a:off x="10030457312" y="7826096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32</xdr:row>
      <xdr:rowOff>56417</xdr:rowOff>
    </xdr:from>
    <xdr:to>
      <xdr:col>13</xdr:col>
      <xdr:colOff>401830</xdr:colOff>
      <xdr:row>32</xdr:row>
      <xdr:rowOff>227867</xdr:rowOff>
    </xdr:to>
    <xdr:sp macro="" textlink="">
      <xdr:nvSpPr>
        <xdr:cNvPr id="78" name="Rectangle 113">
          <a:extLst>
            <a:ext uri="{FF2B5EF4-FFF2-40B4-BE49-F238E27FC236}">
              <a16:creationId xmlns:a16="http://schemas.microsoft.com/office/drawing/2014/main" id="{00000000-0008-0000-0D00-00004E000000}"/>
            </a:ext>
          </a:extLst>
        </xdr:cNvPr>
        <xdr:cNvSpPr>
          <a:spLocks noChangeArrowheads="1"/>
        </xdr:cNvSpPr>
      </xdr:nvSpPr>
      <xdr:spPr>
        <a:xfrm flipH="1">
          <a:off x="10030457312" y="8071024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33</xdr:row>
      <xdr:rowOff>56417</xdr:rowOff>
    </xdr:from>
    <xdr:to>
      <xdr:col>13</xdr:col>
      <xdr:colOff>401830</xdr:colOff>
      <xdr:row>33</xdr:row>
      <xdr:rowOff>227867</xdr:rowOff>
    </xdr:to>
    <xdr:sp macro="" textlink="">
      <xdr:nvSpPr>
        <xdr:cNvPr id="79" name="Rectangle 113">
          <a:extLst>
            <a:ext uri="{FF2B5EF4-FFF2-40B4-BE49-F238E27FC236}">
              <a16:creationId xmlns:a16="http://schemas.microsoft.com/office/drawing/2014/main" id="{00000000-0008-0000-0D00-00004F000000}"/>
            </a:ext>
          </a:extLst>
        </xdr:cNvPr>
        <xdr:cNvSpPr>
          <a:spLocks noChangeArrowheads="1"/>
        </xdr:cNvSpPr>
      </xdr:nvSpPr>
      <xdr:spPr>
        <a:xfrm flipH="1">
          <a:off x="10030457312" y="8315953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34</xdr:row>
      <xdr:rowOff>56417</xdr:rowOff>
    </xdr:from>
    <xdr:to>
      <xdr:col>13</xdr:col>
      <xdr:colOff>401830</xdr:colOff>
      <xdr:row>34</xdr:row>
      <xdr:rowOff>227867</xdr:rowOff>
    </xdr:to>
    <xdr:sp macro="" textlink="">
      <xdr:nvSpPr>
        <xdr:cNvPr id="80" name="Rectangle 113">
          <a:extLst>
            <a:ext uri="{FF2B5EF4-FFF2-40B4-BE49-F238E27FC236}">
              <a16:creationId xmlns:a16="http://schemas.microsoft.com/office/drawing/2014/main" id="{00000000-0008-0000-0D00-000050000000}"/>
            </a:ext>
          </a:extLst>
        </xdr:cNvPr>
        <xdr:cNvSpPr>
          <a:spLocks noChangeArrowheads="1"/>
        </xdr:cNvSpPr>
      </xdr:nvSpPr>
      <xdr:spPr>
        <a:xfrm flipH="1">
          <a:off x="10030457312" y="8560881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35</xdr:row>
      <xdr:rowOff>56417</xdr:rowOff>
    </xdr:from>
    <xdr:to>
      <xdr:col>13</xdr:col>
      <xdr:colOff>401830</xdr:colOff>
      <xdr:row>35</xdr:row>
      <xdr:rowOff>227867</xdr:rowOff>
    </xdr:to>
    <xdr:sp macro="" textlink="">
      <xdr:nvSpPr>
        <xdr:cNvPr id="81" name="Rectangle 113">
          <a:extLst>
            <a:ext uri="{FF2B5EF4-FFF2-40B4-BE49-F238E27FC236}">
              <a16:creationId xmlns:a16="http://schemas.microsoft.com/office/drawing/2014/main" id="{00000000-0008-0000-0D00-000051000000}"/>
            </a:ext>
          </a:extLst>
        </xdr:cNvPr>
        <xdr:cNvSpPr>
          <a:spLocks noChangeArrowheads="1"/>
        </xdr:cNvSpPr>
      </xdr:nvSpPr>
      <xdr:spPr>
        <a:xfrm flipH="1">
          <a:off x="10030457312" y="8805810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36</xdr:row>
      <xdr:rowOff>56417</xdr:rowOff>
    </xdr:from>
    <xdr:to>
      <xdr:col>13</xdr:col>
      <xdr:colOff>401830</xdr:colOff>
      <xdr:row>36</xdr:row>
      <xdr:rowOff>227867</xdr:rowOff>
    </xdr:to>
    <xdr:sp macro="" textlink="">
      <xdr:nvSpPr>
        <xdr:cNvPr id="82" name="Rectangle 113">
          <a:extLst>
            <a:ext uri="{FF2B5EF4-FFF2-40B4-BE49-F238E27FC236}">
              <a16:creationId xmlns:a16="http://schemas.microsoft.com/office/drawing/2014/main" id="{00000000-0008-0000-0D00-000052000000}"/>
            </a:ext>
          </a:extLst>
        </xdr:cNvPr>
        <xdr:cNvSpPr>
          <a:spLocks noChangeArrowheads="1"/>
        </xdr:cNvSpPr>
      </xdr:nvSpPr>
      <xdr:spPr>
        <a:xfrm flipH="1">
          <a:off x="10030457312" y="9050738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  <xdr:twoCellAnchor>
    <xdr:from>
      <xdr:col>13</xdr:col>
      <xdr:colOff>182755</xdr:colOff>
      <xdr:row>37</xdr:row>
      <xdr:rowOff>56417</xdr:rowOff>
    </xdr:from>
    <xdr:to>
      <xdr:col>13</xdr:col>
      <xdr:colOff>401830</xdr:colOff>
      <xdr:row>37</xdr:row>
      <xdr:rowOff>227867</xdr:rowOff>
    </xdr:to>
    <xdr:sp macro="" textlink="">
      <xdr:nvSpPr>
        <xdr:cNvPr id="83" name="Rectangle 113">
          <a:extLst>
            <a:ext uri="{FF2B5EF4-FFF2-40B4-BE49-F238E27FC236}">
              <a16:creationId xmlns:a16="http://schemas.microsoft.com/office/drawing/2014/main" id="{00000000-0008-0000-0D00-000053000000}"/>
            </a:ext>
          </a:extLst>
        </xdr:cNvPr>
        <xdr:cNvSpPr>
          <a:spLocks noChangeArrowheads="1"/>
        </xdr:cNvSpPr>
      </xdr:nvSpPr>
      <xdr:spPr>
        <a:xfrm flipH="1">
          <a:off x="10030457312" y="9295667"/>
          <a:ext cx="219075" cy="171450"/>
        </a:xfrm>
        <a:prstGeom prst="rect">
          <a:avLst/>
        </a:prstGeom>
        <a:solidFill>
          <a:srgbClr val="FFFFFF"/>
        </a:solidFill>
        <a:ln w="25400">
          <a:solidFill>
            <a:srgbClr val="000000"/>
          </a:solidFill>
          <a:miter lim="800000"/>
        </a:ln>
      </xdr:spPr>
    </xdr:sp>
    <xdr:clientData/>
  </xdr:twoCellAnchor>
</xdr:wsDr>
</file>

<file path=xl/externalLinks/_rels/externalLink1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Z:\calculation%20sheet%208-9-2020\Royal%20pergola%208m.xlsx" TargetMode="External"/></Relationships>
</file>

<file path=xl/externalLinks/_rels/externalLink2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Csh%202025.xlsx" TargetMode="External"/></Relationships>
</file>

<file path=xl/externalLinks/_rels/externalLink3.xml.rels><?xml version="1.0" encoding="UTF-8" standalone="yes"?><Relationships xmlns="http://schemas.openxmlformats.org/package/2006/relationships"><Relationship Id="rId1" Type="http://schemas.openxmlformats.org/officeDocument/2006/relationships/externalLinkPath" Target="file:///D:\work\&#1578;&#1587;&#1593;&#1610;&#1585;2026.xlsx" TargetMode="External"/></Relationships>
</file>

<file path=xl/externalLinks/_rels/externalLink4.xml.rels><?xml version="1.0" encoding="UTF-8" standalone="yes"?><Relationships xmlns="http://schemas.openxmlformats.org/package/2006/relationships"><Relationship Id="rId1" Type="http://schemas.openxmlformats.org/officeDocument/2006/relationships/externalLinkPath" Target="/Users/ingaz/Desktop/&#1578;&#1587;&#1593;&#1610;&#1585;%20&#1575;&#1604;&#1576;&#1585;&#1580;&#1608;&#1604;&#1575;&#1578;%20&#1575;&#1604;&#1575;&#1604;&#1608;&#1605;&#1606;&#1610;&#1608;&#16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تسجيل"/>
      <sheetName val="تقطيع البرجولة"/>
      <sheetName val="caculation"/>
      <sheetName val="Format"/>
      <sheetName val="Format Οδηγων"/>
      <sheetName val="Format Φωτισμου"/>
      <sheetName val="Format διαστασης οδηγου"/>
      <sheetName val="Royal pergola 8m"/>
    </sheetNames>
    <definedNames/>
    <sheetDataSet>
      <sheetData sheetId="0">
        <row r="14">
          <cell r="L14">
            <v>12</v>
          </cell>
        </row>
      </sheetData>
      <sheetData sheetId="1">
        <row r="14">
          <cell r="L14">
            <v>12</v>
          </cell>
        </row>
      </sheetData>
      <sheetData sheetId="2">
        <row r="4">
          <cell r="H4">
            <v>2</v>
          </cell>
        </row>
      </sheetData>
      <sheetData sheetId="3">
        <row r="4">
          <cell r="H4">
            <v>2</v>
          </cell>
        </row>
      </sheetData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ntiliver"/>
      <sheetName val="Tensil"/>
      <sheetName val="Cutting Ro-1"/>
      <sheetName val="Cutting Ro-2"/>
      <sheetName val="Cutting Ro-3"/>
      <sheetName val="Lovers"/>
      <sheetName val="Royal"/>
      <sheetName val="wavy"/>
      <sheetName val="بيرسا"/>
      <sheetName val="لوفرز"/>
      <sheetName val="سلايدنج"/>
      <sheetName val="Sheet2"/>
    </sheetNames>
    <definedNames/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تسعير"/>
      <sheetName val="شماسي متنوعة"/>
      <sheetName val="Royal"/>
      <sheetName val="Royal2"/>
      <sheetName val="wavy1"/>
      <sheetName val="wavy2"/>
      <sheetName val="شماسي و كانتليفر"/>
      <sheetName val="بيرسا و لوفرز"/>
      <sheetName val="تسجيل1"/>
      <sheetName val="Cutting Ro-1"/>
      <sheetName val="PERG. CS."/>
      <sheetName val="تسجيل2"/>
      <sheetName val="Cutting Ro-2"/>
      <sheetName val="Format (2)"/>
      <sheetName val="Format Οδηγων (2)"/>
      <sheetName val="Format Φωτισμου (2)"/>
      <sheetName val="Format διαστασης οδηγου (2)"/>
      <sheetName val="Format"/>
      <sheetName val="Format Οδηγων"/>
      <sheetName val="Format Φωτισμου"/>
      <sheetName val="Format διαστασης οδηγου"/>
      <sheetName val="تسعير2026"/>
    </sheetNames>
    <definedNames/>
    <sheetDataSet>
      <sheetData sheetId="0">
        <row r="35">
          <cell r="B35">
            <v>750</v>
          </cell>
        </row>
        <row r="36">
          <cell r="B36">
            <v>750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EGOLAS"/>
      <sheetName val="PERG. CS."/>
      <sheetName val="UMB"/>
      <sheetName val="UMB CS."/>
      <sheetName val="تسعير البرجولات الالومنيوم"/>
    </sheetNames>
    <definedNames/>
    <sheetDataSet>
      <sheetData sheetId="0">
        <row r="29">
          <cell r="H29">
            <v>900</v>
          </cell>
        </row>
      </sheetData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0000000}" name="Table3" displayName="Table3" ref="A1:D7" totalsRowShown="0">
  <autoFilter ref="A1:D7" xr:uid="{00000000-0009-0000-0100-00000D000000}"/>
  <tableColumns count="4">
    <tableColumn id="1" xr3:uid="{00000000-0010-0000-0000-000001000000}" name="الارتفاع"/>
    <tableColumn id="3" xr3:uid="{00000000-0010-0000-0000-000003000000}" name="طريقة الدهان"/>
    <tableColumn id="5" xr3:uid="{00000000-0010-0000-0000-000005000000}" name="لون الالومنيوم"/>
    <tableColumn id="6" xr3:uid="{00000000-0010-0000-0000-000006000000}" name="Column3"/>
  </tableColumns>
  <tableStyleInfo name="TableStyleLight16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4000000}" name="Table1" displayName="Table1" ref="A5:L9" totalsRowCount="1">
  <autoFilter ref="A5:L8" xr:uid="{00000000-0009-0000-0100-000001000000}"/>
  <sortState xmlns:xlrd2="http://schemas.microsoft.com/office/spreadsheetml/2017/richdata2" ref="A5:L8">
    <sortCondition ref="A5:A33"/>
  </sortState>
  <tableColumns count="12">
    <tableColumn id="1" xr3:uid="{00000000-0010-0000-0400-000001000000}" name="م" dataDxfId="237" totalsRowDxfId="233"/>
    <tableColumn id="2" xr3:uid="{00000000-0010-0000-0400-000002000000}" name="عدد" dataDxfId="237" totalsRowDxfId="233">
      <calculatedColumnFormula>IF((Sheet2!H1="A1"),1,IF((Sheet2!H1="A2"),1.5,IF((Sheet2!H1="A3"),2,IF((Sheet2!H1="B1"),1,IF((Sheet2!H1="B2"),1.5,IF((Sheet2!H1="B3"),2,IF((Sheet2!H1="C1"),1,IF((Sheet2!H1="C2"),1.5,IF((Sheet2!H1="C3"),2,IF((Sheet2!H1="D1"),1,IF((Sheet2!H1="D2"),1.5,IF((Sheet2!H1="D3"),2,0))))))))))))</calculatedColumnFormula>
    </tableColumn>
    <tableColumn id="3" xr3:uid="{00000000-0010-0000-0400-000003000000}" name="بيان" totalsRowLabel="Total" dataDxfId="237" totalsRowDxfId="233"/>
    <tableColumn id="11" xr3:uid="{00000000-0010-0000-0400-00000B000000}" name="Column2" dataDxfId="237" totalsRowDxfId="233"/>
    <tableColumn id="10" xr3:uid="{00000000-0010-0000-0400-00000A000000}" name="Column1" dataDxfId="237" totalsRowDxfId="233"/>
    <tableColumn id="12" xr3:uid="{00000000-0010-0000-0400-00000C000000}" name="المسطح" totalsRowFunction="sum" dataDxfId="239" totalsRowDxfId="238">
      <calculatedColumnFormula>(Table1[[#This Row],[Column1]]+Table1[[#This Row],[Column2]])*12*Table1[[#This Row],[عدد]]</calculatedColumnFormula>
    </tableColumn>
    <tableColumn id="4" xr3:uid="{00000000-0010-0000-0400-000004000000}" name="الوحده" dataDxfId="237" totalsRowDxfId="233"/>
    <tableColumn id="5" xr3:uid="{00000000-0010-0000-0400-000005000000}" name="الوزن" totalsRowFunction="custom" totalsRowDxfId="233">
      <totalsRowFormula>(H6*B6)+(H8*B8)+(H7*B7)</totalsRowFormula>
    </tableColumn>
    <tableColumn id="6" xr3:uid="{00000000-0010-0000-0400-000006000000}" name="مسطح" dataDxfId="234" totalsRowDxfId="233"/>
    <tableColumn id="7" xr3:uid="{00000000-0010-0000-0400-000007000000}" name="سعر الشبك " dataDxfId="306" totalsRowDxfId="231">
      <calculatedColumnFormula>H6*$H$2/1000</calculatedColumnFormula>
    </tableColumn>
    <tableColumn id="8" xr3:uid="{00000000-0010-0000-0400-000008000000}" name="اجمالي" totalsRowFunction="sum" dataDxfId="230" totalsRowDxfId="229">
      <calculatedColumnFormula>B6*J6</calculatedColumnFormula>
    </tableColumn>
    <tableColumn id="9" xr3:uid="{00000000-0010-0000-0400-000009000000}" name="%" totalsRowFunction="custom" totalsRowDxfId="228">
      <calculatedColumnFormula>Table1[[#Totals],[اجمالي]]/$G$83</calculatedColumnFormula>
      <totalsRowFormula>Table1[[#Totals],[اجمالي]]/$G$83</totalsRowFormula>
    </tableColumn>
  </tableColumns>
  <tableStyleInfo name="TableStyleLight16" showFirstColumn="0" showLastColumn="0" showRowStripes="1" showColumnStripes="0"/>
</table>
</file>

<file path=xl/tables/table10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6" xr:uid="{00000000-000C-0000-FFFF-FFFF5E000000}" name="Table1613687787" displayName="Table1613687787" ref="BG45:BR48" totalsRowCount="1">
  <autoFilter ref="BG45:BR47" xr:uid="{00000000-0009-0000-0100-000056000000}"/>
  <tableColumns count="12">
    <tableColumn id="1" xr3:uid="{00000000-0010-0000-5E00-000001000000}" name="م" totalsRowLabel="Total" dataDxfId="252"/>
    <tableColumn id="2" xr3:uid="{00000000-0010-0000-5E00-000002000000}" name="عدد" dataDxfId="250">
      <calculatedColumnFormula>IF((BL62="الاسكندرية"),0.25,0.1)</calculatedColumnFormula>
    </tableColumn>
    <tableColumn id="3" xr3:uid="{00000000-0010-0000-5E00-000003000000}" name="بيان" totalsRowLabel="Total" dataDxfId="252"/>
    <tableColumn id="11" xr3:uid="{00000000-0010-0000-5E00-00000B000000}" name="Column2" dataDxfId="252"/>
    <tableColumn id="10" xr3:uid="{00000000-0010-0000-5E00-00000A000000}" name="Column1" dataDxfId="252"/>
    <tableColumn id="12" xr3:uid="{00000000-0010-0000-5E00-00000C000000}" name="Column12" totalsRowFunction="sum" dataDxfId="267"/>
    <tableColumn id="4" xr3:uid="{00000000-0010-0000-5E00-000004000000}" name="الوحده" dataDxfId="266"/>
    <tableColumn id="5" xr3:uid="{00000000-0010-0000-5E00-000005000000}" name="الوزن" dataDxfId="252"/>
    <tableColumn id="6" xr3:uid="{00000000-0010-0000-5E00-000006000000}" name="سعر الكيلو" dataDxfId="252"/>
    <tableColumn id="7" xr3:uid="{00000000-0010-0000-5E00-000007000000}" name="سعر الشبك " dataDxfId="263">
      <calculatedColumnFormula>BQ45</calculatedColumnFormula>
    </tableColumn>
    <tableColumn id="8" xr3:uid="{00000000-0010-0000-5E00-000008000000}" name="اجمالي" totalsRowFunction="sum" dataDxfId="230">
      <calculatedColumnFormula>BH46*Table1613687787[[#This Row],[سعر الشبك ]]</calculatedColumnFormula>
    </tableColumn>
    <tableColumn id="9" xr3:uid="{00000000-0010-0000-5E00-000009000000}" name="%" totalsRowFunction="custom">
      <calculatedColumnFormula>Table1613687787[[#Totals],[اجمالي]]/$R$68</calculatedColumnFormula>
      <totalsRowFormula>Table1613687787[[#Totals],[اجمالي]]/$R$68</totalsRowFormula>
    </tableColumn>
  </tableColumns>
  <tableStyleInfo name="TableStyleLight16" showFirstColumn="0" showLastColumn="0" showRowStripes="1" showColumnStripes="0"/>
</table>
</file>

<file path=xl/tables/table10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7" xr:uid="{00000000-000C-0000-FFFF-FFFF5F000000}" name="Table17697888" displayName="Table17697888" ref="BT1:BZ28" totalsRowShown="0">
  <autoFilter ref="BT1:BZ28" xr:uid="{00000000-0009-0000-0100-000057000000}"/>
  <tableColumns count="7">
    <tableColumn id="1" xr3:uid="{00000000-0010-0000-5F00-000001000000}" name="Column1" dataDxfId="255"/>
    <tableColumn id="2" xr3:uid="{00000000-0010-0000-5F00-000002000000}" name="خارجي" dataDxfId="255"/>
    <tableColumn id="3" xr3:uid="{00000000-0010-0000-5F00-000003000000}" name="داخلي" dataDxfId="255"/>
    <tableColumn id="4" xr3:uid="{00000000-0010-0000-5F00-000004000000}" name="بدل الوجبة" dataDxfId="255"/>
    <tableColumn id="5" xr3:uid="{00000000-0010-0000-5F00-000005000000}" name="دبابة" dataDxfId="255"/>
    <tableColumn id="6" xr3:uid="{00000000-0010-0000-5F00-000006000000}" name="جامبو" dataDxfId="255"/>
    <tableColumn id="7" xr3:uid="{00000000-0010-0000-5F00-000007000000}" name="الاقامة" dataDxfId="255"/>
  </tableColumns>
  <tableStyleInfo name="TableStyleLight16" showFirstColumn="0" showLastColumn="0" showRowStripes="1" showColumnStripes="0"/>
</table>
</file>

<file path=xl/tables/table10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8" xr:uid="{00000000-000C-0000-FFFF-FFFF60000000}" name="Table18707989" displayName="Table18707989" ref="BI66:BM68" totalsRowShown="0">
  <autoFilter ref="BI66:BM68" xr:uid="{00000000-0009-0000-0100-000058000000}"/>
  <tableColumns count="5">
    <tableColumn id="1" xr3:uid="{00000000-0010-0000-6000-000001000000}" name="Column1" dataDxfId="252"/>
    <tableColumn id="4" xr3:uid="{00000000-0010-0000-6000-000004000000}" name="Column22" dataDxfId="252"/>
    <tableColumn id="5" xr3:uid="{00000000-0010-0000-6000-000005000000}" name="Column23" dataDxfId="252"/>
    <tableColumn id="3" xr3:uid="{00000000-0010-0000-6000-000003000000}" name="Column3" dataDxfId="251">
      <calculatedColumnFormula>IF((BL62="المقطم"),0.3,IF((BL62="التجمع"),0.3,IF((BL62="الشيخ زايد"),0.3,IF((BL62="الاسكندرية"),0.5,0.35))))</calculatedColumnFormula>
    </tableColumn>
    <tableColumn id="2" xr3:uid="{00000000-0010-0000-6000-000002000000}" name="Column2" dataDxfId="250">
      <calculatedColumnFormula>BM66*(1+Table18707989[[#This Row],[Column3]])</calculatedColumnFormula>
    </tableColumn>
  </tableColumns>
  <tableStyleInfo name="TableStyleLight16" showFirstColumn="0" showLastColumn="0" showRowStripes="1" showColumnStripes="0"/>
</table>
</file>

<file path=xl/tables/table10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9" xr:uid="{00000000-000C-0000-FFFF-FFFF61000000}" name="Table1588090" displayName="Table1588090" ref="BG5:BR11" totalsRowCount="1">
  <autoFilter ref="BG5:BR10" xr:uid="{00000000-0009-0000-0100-000059000000}"/>
  <tableColumns count="12">
    <tableColumn id="1" xr3:uid="{00000000-0010-0000-6100-000001000000}" name="م" dataDxfId="237" totalsRowDxfId="233"/>
    <tableColumn id="2" xr3:uid="{00000000-0010-0000-6100-000002000000}" name="عدد" dataDxfId="237" totalsRowDxfId="233"/>
    <tableColumn id="3" xr3:uid="{00000000-0010-0000-6100-000003000000}" name="بيان" totalsRowLabel="Total" dataDxfId="237" totalsRowDxfId="233"/>
    <tableColumn id="11" xr3:uid="{00000000-0010-0000-6100-00000B000000}" name="Column2" dataDxfId="237" totalsRowDxfId="233"/>
    <tableColumn id="10" xr3:uid="{00000000-0010-0000-6100-00000A000000}" name="Column1" dataDxfId="237" totalsRowDxfId="233"/>
    <tableColumn id="12" xr3:uid="{00000000-0010-0000-6100-00000C000000}" name="المسطح" totalsRowFunction="sum" dataDxfId="239" totalsRowDxfId="238">
      <calculatedColumnFormula>(Table1588090[[#This Row],[Column1]]+Table1588090[[#This Row],[Column2]])*12*Table1588090[[#This Row],[عدد]]</calculatedColumnFormula>
    </tableColumn>
    <tableColumn id="4" xr3:uid="{00000000-0010-0000-6100-000004000000}" name="الوحده" dataDxfId="237" totalsRowDxfId="233"/>
    <tableColumn id="5" xr3:uid="{00000000-0010-0000-6100-000005000000}" name="الوزن" totalsRowFunction="custom" totalsRowDxfId="233">
      <totalsRowFormula>(BN6*BH6)+(BN7*BG7)+(BN8*BG8)+(BN9*BG9)</totalsRowFormula>
    </tableColumn>
    <tableColumn id="6" xr3:uid="{00000000-0010-0000-6100-000006000000}" name="اجمالي المسطح" totalsRowFunction="sum" dataDxfId="234" totalsRowDxfId="233">
      <calculatedColumnFormula>Table1588090[[#This Row],[المسطح]]*Table1588090[[#This Row],[عدد]]</calculatedColumnFormula>
    </tableColumn>
    <tableColumn id="7" xr3:uid="{00000000-0010-0000-6100-000007000000}" name="سعر الشبك " dataDxfId="232" totalsRowDxfId="231">
      <calculatedColumnFormula>BN6*$S$2/1000</calculatedColumnFormula>
    </tableColumn>
    <tableColumn id="8" xr3:uid="{00000000-0010-0000-6100-000008000000}" name="اجمالي" totalsRowFunction="sum" dataDxfId="230" totalsRowDxfId="229">
      <calculatedColumnFormula>BH6*BP6</calculatedColumnFormula>
    </tableColumn>
    <tableColumn id="9" xr3:uid="{00000000-0010-0000-6100-000009000000}" name="%" totalsRowFunction="custom" totalsRowDxfId="228">
      <calculatedColumnFormula>Table1588090[[#Totals],[اجمالي]]/$R$68</calculatedColumnFormula>
      <totalsRowFormula>Table1588090[[#Totals],[اجمالي]]/$R$68</totalsRowFormula>
    </tableColumn>
  </tableColumns>
  <tableStyleInfo name="TableStyleLight16" showFirstColumn="0" showLastColumn="0" showRowStripes="1" showColumnStripes="0"/>
</table>
</file>

<file path=xl/tables/table10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0" xr:uid="{00000000-000C-0000-FFFF-FFFF62000000}" name="Table8091" displayName="Table8091" ref="AV2:BA14" totalsRowCount="1">
  <autoFilter ref="AV2:BA13" xr:uid="{00000000-0009-0000-0100-00005A000000}"/>
  <tableColumns count="6">
    <tableColumn id="1" xr3:uid="{00000000-0010-0000-6200-000001000000}" name="Column1" totalsRowLabel="Total" dataDxfId="218" totalsRowDxfId="226"/>
    <tableColumn id="2" xr3:uid="{00000000-0010-0000-6200-000002000000}" name="عدد" totalsRowFunction="custom" totalsRowDxfId="225">
      <totalsRowFormula>(Table8091[[#Totals],[price]]*1.1)/(BA1*AY1/10000)</totalsRowFormula>
    </tableColumn>
    <tableColumn id="3" xr3:uid="{00000000-0010-0000-6200-000003000000}" name="طول" dataDxfId="218" totalsRowDxfId="217"/>
    <tableColumn id="4" xr3:uid="{00000000-0010-0000-6200-000004000000}" name="Column2" dataDxfId="218" totalsRowDxfId="217"/>
    <tableColumn id="5" xr3:uid="{00000000-0010-0000-6200-000005000000}" name="wt/m" dataDxfId="218" totalsRowDxfId="217"/>
    <tableColumn id="6" xr3:uid="{00000000-0010-0000-6200-000006000000}" name="price" totalsRowFunction="sum" dataDxfId="218" totalsRowDxfId="217">
      <calculatedColumnFormula>AZ3*AX3</calculatedColumnFormula>
    </tableColumn>
  </tableColumns>
  <tableStyleInfo name="TableStyleLight17" showFirstColumn="0" showLastColumn="0" showRowStripes="1" showColumnStripes="0"/>
</table>
</file>

<file path=xl/tables/table10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2" xr:uid="{00000000-000C-0000-FFFF-FFFF63000000}" name="Table13597192103" displayName="Table13597192103" ref="BG97:BR113" totalsRowCount="1">
  <autoFilter ref="BG97:BR112" xr:uid="{00000000-0009-0000-0100-000066000000}"/>
  <tableColumns count="12">
    <tableColumn id="1" xr3:uid="{00000000-0010-0000-6300-000001000000}" name="م" totalsRowLabel="Total" dataDxfId="237" totalsRowDxfId="233"/>
    <tableColumn id="2" xr3:uid="{00000000-0010-0000-6300-000002000000}" name="عدد" dataDxfId="234" totalsRowDxfId="233">
      <calculatedColumnFormula>IF(AND((CH73&gt;0),(CH73&lt;=5)),5,IF(AND((CH73&gt;5),(CH73&lt;=10)),10,IF(AND((CH73&gt;10),(CH73&lt;=15)),15,IF(AND((CH73&gt;15),(CH73&lt;=20)),20,IF(AND((CH73&gt;20),(CH73&lt;=25)),25,IF(AND((CH73&gt;25),(CH73&lt;=30)),30,IF(AND((CH73&gt;30),(CH73&lt;=35)),35,IF(AND((CH73&gt;35),(CH73&lt;=40)),40,IF(AND((CH73&gt;40),(CH73&lt;=45)),45,IF(AND((CH73&gt;45),(CH73&lt;=50)),50,IF(AND((CH73&gt;50),(CH73&lt;=55)),55,IF(AND((CH73&gt;55),(CH73&lt;=60)),60,0))))))))))))</calculatedColumnFormula>
    </tableColumn>
    <tableColumn id="3" xr3:uid="{00000000-0010-0000-6300-000003000000}" name="بيان" totalsRowLabel="Total" dataDxfId="237" totalsRowDxfId="233"/>
    <tableColumn id="11" xr3:uid="{00000000-0010-0000-6300-00000B000000}" name="Column2" dataDxfId="237" totalsRowDxfId="233"/>
    <tableColumn id="10" xr3:uid="{00000000-0010-0000-6300-00000A000000}" name="Column1" dataDxfId="237" totalsRowDxfId="233"/>
    <tableColumn id="12" xr3:uid="{00000000-0010-0000-6300-00000C000000}" name="Column12" dataDxfId="237" totalsRowDxfId="233"/>
    <tableColumn id="4" xr3:uid="{00000000-0010-0000-6300-000004000000}" name="الوحده" totalsRowLabel="total" dataDxfId="237" totalsRowDxfId="233"/>
    <tableColumn id="5" xr3:uid="{00000000-0010-0000-6300-000005000000}" name="الوزن" dataDxfId="237" totalsRowDxfId="233"/>
    <tableColumn id="6" xr3:uid="{00000000-0010-0000-6300-000006000000}" name="سعر الكيلو" dataDxfId="237" totalsRowDxfId="233"/>
    <tableColumn id="7" xr3:uid="{00000000-0010-0000-6300-000007000000}" name="سعر الشبك " dataDxfId="306" totalsRowDxfId="231">
      <calculatedColumnFormula>BP28</calculatedColumnFormula>
    </tableColumn>
    <tableColumn id="8" xr3:uid="{00000000-0010-0000-6300-000008000000}" name="اجمالي" totalsRowFunction="sum" dataDxfId="230" totalsRowDxfId="229">
      <calculatedColumnFormula>BH98*BP99</calculatedColumnFormula>
    </tableColumn>
    <tableColumn id="9" xr3:uid="{00000000-0010-0000-6300-000009000000}" name="%" totalsRowFunction="custom" totalsRowDxfId="228">
      <calculatedColumnFormula>Table13597192103[[#Totals],[اجمالي]]/$R$68</calculatedColumnFormula>
      <totalsRowFormula>Table13597192103[[#Totals],[اجمالي]]/$R$68</totalsRowFormula>
    </tableColumn>
  </tableColumns>
  <tableStyleInfo name="TableStyleLight16" showFirstColumn="0" showLastColumn="0" showRowStripes="1" showColumnStripes="0"/>
</table>
</file>

<file path=xl/tables/table10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3" xr:uid="{00000000-000C-0000-FFFF-FFFF64000000}" name="Table15617293104" displayName="Table15617293104" ref="BG83:BR89" totalsRowCount="1">
  <autoFilter ref="BG83:BR88" xr:uid="{00000000-0009-0000-0100-000067000000}"/>
  <tableColumns count="12">
    <tableColumn id="1" xr3:uid="{00000000-0010-0000-6400-000001000000}" name="م" totalsRowLabel="Total" dataDxfId="237" totalsRowDxfId="233"/>
    <tableColumn id="2" xr3:uid="{00000000-0010-0000-6400-000002000000}" name="عدد" dataDxfId="234" totalsRowDxfId="233">
      <calculatedColumnFormula>IF((#REF!="بالتات"),0,4)</calculatedColumnFormula>
    </tableColumn>
    <tableColumn id="3" xr3:uid="{00000000-0010-0000-6400-000003000000}" name="بيان" totalsRowLabel="Total" dataDxfId="237" totalsRowDxfId="233"/>
    <tableColumn id="11" xr3:uid="{00000000-0010-0000-6400-00000B000000}" name="Column2" dataDxfId="237" totalsRowDxfId="233"/>
    <tableColumn id="10" xr3:uid="{00000000-0010-0000-6400-00000A000000}" name="Column1" dataDxfId="237" totalsRowDxfId="233"/>
    <tableColumn id="12" xr3:uid="{00000000-0010-0000-6400-00000C000000}" name="Column12" dataDxfId="239" totalsRowDxfId="238"/>
    <tableColumn id="4" xr3:uid="{00000000-0010-0000-6400-000004000000}" name="الوحده" dataDxfId="237" totalsRowDxfId="233"/>
    <tableColumn id="5" xr3:uid="{00000000-0010-0000-6400-000005000000}" name="الوزن" dataDxfId="237" totalsRowDxfId="233"/>
    <tableColumn id="6" xr3:uid="{00000000-0010-0000-6400-000006000000}" name="سعر الكيلو" dataDxfId="237" totalsRowDxfId="233"/>
    <tableColumn id="7" xr3:uid="{00000000-0010-0000-6400-000007000000}" name="سعر الشبك " dataDxfId="263" totalsRowDxfId="231">
      <calculatedColumnFormula>Sheet2!AW26</calculatedColumnFormula>
    </tableColumn>
    <tableColumn id="8" xr3:uid="{00000000-0010-0000-6400-000008000000}" name="اجمالي" totalsRowFunction="sum" dataDxfId="230" totalsRowDxfId="229">
      <calculatedColumnFormula>BH84*BP84</calculatedColumnFormula>
    </tableColumn>
    <tableColumn id="9" xr3:uid="{00000000-0010-0000-6400-000009000000}" name="%" totalsRowFunction="custom" totalsRowDxfId="228">
      <calculatedColumnFormula>Table15617293104[[#Totals],[اجمالي]]/$R$68</calculatedColumnFormula>
      <totalsRowFormula>Table15617293104[[#Totals],[اجمالي]]/$R$68</totalsRowFormula>
    </tableColumn>
  </tableColumns>
  <tableStyleInfo name="TableStyleLight16" showFirstColumn="0" showLastColumn="0" showRowStripes="1" showColumnStripes="0"/>
</table>
</file>

<file path=xl/tables/table10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4" xr:uid="{00000000-000C-0000-FFFF-FFFF65000000}" name="Table16627394105" displayName="Table16627394105" ref="BG91:BR95" totalsRowCount="1">
  <autoFilter ref="BG91:BR94" xr:uid="{00000000-0009-0000-0100-000068000000}"/>
  <tableColumns count="12">
    <tableColumn id="1" xr3:uid="{00000000-0010-0000-6500-000001000000}" name="م" totalsRowLabel="Total" dataDxfId="237"/>
    <tableColumn id="2" xr3:uid="{00000000-0010-0000-6500-000002000000}" name="عدد" totalsRowFunction="sum" dataDxfId="237">
      <calculatedColumnFormula>BH90*4</calculatedColumnFormula>
    </tableColumn>
    <tableColumn id="3" xr3:uid="{00000000-0010-0000-6500-000003000000}" name="بيان" totalsRowLabel="Total" dataDxfId="237"/>
    <tableColumn id="11" xr3:uid="{00000000-0010-0000-6500-00000B000000}" name="Column2" dataDxfId="237"/>
    <tableColumn id="10" xr3:uid="{00000000-0010-0000-6500-00000A000000}" name="Column1" dataDxfId="237"/>
    <tableColumn id="12" xr3:uid="{00000000-0010-0000-6500-00000C000000}" name="Column12" totalsRowFunction="sum" dataDxfId="239">
      <calculatedColumnFormula>(Table16627394105[[#This Row],[Column1]]*Table16627394105[[#This Row],[Column2]])*Table16627394105[[#This Row],[عدد]]</calculatedColumnFormula>
    </tableColumn>
    <tableColumn id="4" xr3:uid="{00000000-0010-0000-6500-000004000000}" name="الوحده" dataDxfId="237"/>
    <tableColumn id="5" xr3:uid="{00000000-0010-0000-6500-000005000000}" name="الوزن" totalsRowFunction="custom">
      <totalsRowFormula>(BN93*BH93)+(BH94*BN94)</totalsRowFormula>
    </tableColumn>
    <tableColumn id="6" xr3:uid="{00000000-0010-0000-6500-000006000000}" name="سعر الكيلو" dataDxfId="234"/>
    <tableColumn id="7" xr3:uid="{00000000-0010-0000-6500-000007000000}" name="سعر الشبك " dataDxfId="306">
      <calculatedColumnFormula>BN92*$S$2/1000</calculatedColumnFormula>
    </tableColumn>
    <tableColumn id="8" xr3:uid="{00000000-0010-0000-6500-000008000000}" name="اجمالي" totalsRowFunction="sum" dataDxfId="230">
      <calculatedColumnFormula>BH92*BP92</calculatedColumnFormula>
    </tableColumn>
    <tableColumn id="9" xr3:uid="{00000000-0010-0000-6500-000009000000}" name="%" totalsRowFunction="custom">
      <calculatedColumnFormula>Table16627394105[[#Totals],[اجمالي]]/$R$68</calculatedColumnFormula>
      <totalsRowFormula>Table16627394105[[#Totals],[اجمالي]]/$R$68</totalsRowFormula>
    </tableColumn>
  </tableColumns>
  <tableStyleInfo name="TableStyleLight16" showFirstColumn="0" showLastColumn="0" showRowStripes="1" showColumnStripes="0"/>
</table>
</file>

<file path=xl/tables/table10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5" xr:uid="{00000000-000C-0000-FFFF-FFFF66000000}" name="Table6637495106" displayName="Table6637495106" ref="CE78:CH89" totalsRowShown="0">
  <autoFilter ref="CE78:CH89" xr:uid="{00000000-0009-0000-0100-000069000000}"/>
  <tableColumns count="4">
    <tableColumn id="1" xr3:uid="{00000000-0010-0000-6600-000001000000}" name="المادة" dataDxfId="255"/>
    <tableColumn id="2" xr3:uid="{00000000-0010-0000-6600-000002000000}" name="المعدل" dataDxfId="255"/>
    <tableColumn id="3" xr3:uid="{00000000-0010-0000-6600-000003000000}" name="الوحدة" dataDxfId="255"/>
    <tableColumn id="4" xr3:uid="{00000000-0010-0000-6600-000004000000}" name="Column4" dataDxfId="299"/>
  </tableColumns>
  <tableStyleInfo name="TableStyleLight16" showFirstColumn="0" showLastColumn="0" showRowStripes="1" showColumnStripes="0"/>
</table>
</file>

<file path=xl/tables/table10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6" xr:uid="{00000000-000C-0000-FFFF-FFFF67000000}" name="Table7647596107" displayName="Table7647596107" ref="CJ78:CN93" totalsRowShown="0">
  <autoFilter ref="CJ78:CN93" xr:uid="{00000000-0009-0000-0100-00006A000000}"/>
  <tableColumns count="5">
    <tableColumn id="1" xr3:uid="{00000000-0010-0000-6700-000001000000}" name="Column1" dataDxfId="255"/>
    <tableColumn id="2" xr3:uid="{00000000-0010-0000-6700-000002000000}" name="Column2" dataDxfId="299"/>
    <tableColumn id="3" xr3:uid="{00000000-0010-0000-6700-000003000000}" name="Column3" dataDxfId="255"/>
    <tableColumn id="4" xr3:uid="{00000000-0010-0000-6700-000004000000}" name="Column4" dataDxfId="255"/>
    <tableColumn id="5" xr3:uid="{00000000-0010-0000-6700-000005000000}" name="Column5" dataDxfId="255"/>
  </tableColumns>
  <tableStyleInfo name="TableStyleLight16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5000000}" name="Table13" displayName="Table13" ref="A34:L49" totalsRowCount="1">
  <autoFilter ref="A34:L48" xr:uid="{00000000-0009-0000-0100-000002000000}"/>
  <tableColumns count="12">
    <tableColumn id="1" xr3:uid="{00000000-0010-0000-0500-000001000000}" name="م" totalsRowLabel="Total" dataDxfId="237" totalsRowDxfId="233"/>
    <tableColumn id="2" xr3:uid="{00000000-0010-0000-0500-000002000000}" name="عدد" dataDxfId="234" totalsRowDxfId="233">
      <calculatedColumnFormula>IF(AND((Y1&gt;0),(Y1&lt;=5)),5,IF(AND((Y1&gt;5),(Y1&lt;=10)),10,IF(AND((Y1&gt;10),(Y1&lt;=15)),15,IF(AND((Y1&gt;15),(Y1&lt;=20)),20,IF(AND((Y1&gt;20),(Y1&lt;=25)),25,IF(AND((Y1&gt;25),(Y1&lt;=30)),30,IF(AND((Y1&gt;30),(Y1&lt;=35)),35,IF(AND((Y1&gt;35),(Y1&lt;=40)),40,IF(AND((Y1&gt;40),(Y1&lt;=45)),45,IF(AND((Y1&gt;45),(Y1&lt;=50)),50,IF(AND((Y1&gt;50),(Y1&lt;=55)),55,IF(AND((Y1&gt;55),(Y1&lt;=60)),60,0))))))))))))</calculatedColumnFormula>
    </tableColumn>
    <tableColumn id="3" xr3:uid="{00000000-0010-0000-0500-000003000000}" name="بيان" totalsRowLabel="Total" dataDxfId="237" totalsRowDxfId="233"/>
    <tableColumn id="11" xr3:uid="{00000000-0010-0000-0500-00000B000000}" name="Column2" dataDxfId="237" totalsRowDxfId="233"/>
    <tableColumn id="10" xr3:uid="{00000000-0010-0000-0500-00000A000000}" name="Column1" dataDxfId="237" totalsRowDxfId="233"/>
    <tableColumn id="12" xr3:uid="{00000000-0010-0000-0500-00000C000000}" name="Column12" dataDxfId="237" totalsRowDxfId="233"/>
    <tableColumn id="4" xr3:uid="{00000000-0010-0000-0500-000004000000}" name="الوحده" totalsRowLabel="total" dataDxfId="237" totalsRowDxfId="233"/>
    <tableColumn id="5" xr3:uid="{00000000-0010-0000-0500-000005000000}" name="الوزن" dataDxfId="237" totalsRowDxfId="233"/>
    <tableColumn id="6" xr3:uid="{00000000-0010-0000-0500-000006000000}" name="سعر الكيلو" dataDxfId="237" totalsRowDxfId="233"/>
    <tableColumn id="7" xr3:uid="{00000000-0010-0000-0500-000007000000}" name="سعر الشبك " dataDxfId="306" totalsRowDxfId="231">
      <calculatedColumnFormula>Sheet2!B8</calculatedColumnFormula>
    </tableColumn>
    <tableColumn id="8" xr3:uid="{00000000-0010-0000-0500-000008000000}" name="اجمالي" totalsRowFunction="sum" dataDxfId="230" totalsRowDxfId="229">
      <calculatedColumnFormula>B35*J35</calculatedColumnFormula>
    </tableColumn>
    <tableColumn id="9" xr3:uid="{00000000-0010-0000-0500-000009000000}" name="%" totalsRowFunction="custom" totalsRowDxfId="228">
      <calculatedColumnFormula>Table13[[#Totals],[اجمالي]]/$G$83</calculatedColumnFormula>
      <totalsRowFormula>Table13[[#Totals],[اجمالي]]/$G$83</totalsRowFormula>
    </tableColumn>
  </tableColumns>
  <tableStyleInfo name="TableStyleLight16" showFirstColumn="0" showLastColumn="0" showRowStripes="1" showColumnStripes="0"/>
</table>
</file>

<file path=xl/tables/table1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7" xr:uid="{00000000-000C-0000-FFFF-FFFF68000000}" name="Table1612677697108" displayName="Table1612677697108" ref="BG121:BR135" totalsRowCount="1">
  <autoFilter ref="BG121:BR134" xr:uid="{00000000-0009-0000-0100-00006B000000}"/>
  <tableColumns count="12">
    <tableColumn id="1" xr3:uid="{00000000-0010-0000-6800-000001000000}" name="م" totalsRowLabel="Total" dataDxfId="237" totalsRowDxfId="278"/>
    <tableColumn id="2" xr3:uid="{00000000-0010-0000-6800-000002000000}" name="عدد" dataDxfId="250" totalsRowDxfId="278">
      <calculatedColumnFormula>IF((تسعير!$AU$14="بالتات"),0,BH119-2)</calculatedColumnFormula>
    </tableColumn>
    <tableColumn id="3" xr3:uid="{00000000-0010-0000-6800-000003000000}" name="بيان" totalsRowLabel="Total" dataDxfId="289" totalsRowDxfId="278"/>
    <tableColumn id="5" xr3:uid="{00000000-0010-0000-6800-000005000000}" name="اليومية / الاجرة" dataDxfId="289" totalsRowDxfId="278"/>
    <tableColumn id="6" xr3:uid="{00000000-0010-0000-6800-000006000000}" name="بدل الوجبة" dataDxfId="287" totalsRowDxfId="278"/>
    <tableColumn id="11" xr3:uid="{00000000-0010-0000-6800-00000B000000}" name="موقع العمل" dataDxfId="252" totalsRowDxfId="278">
      <calculatedColumnFormula>تسعير!$BE$44</calculatedColumnFormula>
    </tableColumn>
    <tableColumn id="10" xr3:uid="{00000000-0010-0000-6800-00000A000000}" name="شيفت العمل" dataDxfId="237" totalsRowDxfId="278"/>
    <tableColumn id="12" xr3:uid="{00000000-0010-0000-6800-00000C000000}" name="Column12" totalsRowFunction="sum" dataDxfId="239" totalsRowDxfId="93">
      <calculatedColumnFormula>SUMIF(Table17697899110[Column1],Table1612677697108[[#This Row],[موقع العمل]],$AE$2:$AE$8)</calculatedColumnFormula>
    </tableColumn>
    <tableColumn id="4" xr3:uid="{00000000-0010-0000-6800-000004000000}" name="عدد الايام" dataDxfId="279" totalsRowDxfId="278"/>
    <tableColumn id="7" xr3:uid="{00000000-0010-0000-6800-000007000000}" name="اجمالي التكلفة للعامل" dataDxfId="277" totalsRowDxfId="276">
      <calculatedColumnFormula>Table1612677697108[[#This Row],[Column12]]</calculatedColumnFormula>
    </tableColumn>
    <tableColumn id="8" xr3:uid="{00000000-0010-0000-6800-000008000000}" name="اجمالي" totalsRowFunction="sum" dataDxfId="230" totalsRowDxfId="274">
      <calculatedColumnFormula>BH122*BP122</calculatedColumnFormula>
    </tableColumn>
    <tableColumn id="9" xr3:uid="{00000000-0010-0000-6800-000009000000}" name="%" totalsRowFunction="custom" totalsRowDxfId="273">
      <calculatedColumnFormula>Table1612677697108[[#Totals],[اجمالي]]/$R$68</calculatedColumnFormula>
      <totalsRowFormula>Table1612677697108[[#Totals],[اجمالي]]/$R$68</totalsRowFormula>
    </tableColumn>
  </tableColumns>
  <tableStyleInfo name="TableStyleLight16" showFirstColumn="0" showLastColumn="0" showRowStripes="1" showColumnStripes="0"/>
</table>
</file>

<file path=xl/tables/table1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8" xr:uid="{00000000-000C-0000-FFFF-FFFF69000000}" name="Table1613687798109" displayName="Table1613687798109" ref="BG116:BR119" totalsRowCount="1">
  <autoFilter ref="BG116:BR118" xr:uid="{00000000-0009-0000-0100-00006C000000}"/>
  <tableColumns count="12">
    <tableColumn id="1" xr3:uid="{00000000-0010-0000-6900-000001000000}" name="م" totalsRowLabel="Total" dataDxfId="252"/>
    <tableColumn id="2" xr3:uid="{00000000-0010-0000-6900-000002000000}" name="عدد" dataDxfId="250">
      <calculatedColumnFormula>IF((BL133="الاسكندرية"),0.25,0.1)</calculatedColumnFormula>
    </tableColumn>
    <tableColumn id="3" xr3:uid="{00000000-0010-0000-6900-000003000000}" name="بيان" totalsRowLabel="Total" dataDxfId="252"/>
    <tableColumn id="11" xr3:uid="{00000000-0010-0000-6900-00000B000000}" name="Column2" dataDxfId="252"/>
    <tableColumn id="10" xr3:uid="{00000000-0010-0000-6900-00000A000000}" name="Column1" dataDxfId="252"/>
    <tableColumn id="12" xr3:uid="{00000000-0010-0000-6900-00000C000000}" name="Column12" totalsRowFunction="sum" dataDxfId="267"/>
    <tableColumn id="4" xr3:uid="{00000000-0010-0000-6900-000004000000}" name="الوحده" dataDxfId="266"/>
    <tableColumn id="5" xr3:uid="{00000000-0010-0000-6900-000005000000}" name="الوزن" dataDxfId="252"/>
    <tableColumn id="6" xr3:uid="{00000000-0010-0000-6900-000006000000}" name="سعر الكيلو" dataDxfId="252"/>
    <tableColumn id="7" xr3:uid="{00000000-0010-0000-6900-000007000000}" name="سعر الشبك " dataDxfId="263">
      <calculatedColumnFormula>BQ116</calculatedColumnFormula>
    </tableColumn>
    <tableColumn id="8" xr3:uid="{00000000-0010-0000-6900-000008000000}" name="اجمالي" totalsRowFunction="sum" dataDxfId="230">
      <calculatedColumnFormula>BH117*Table1613687798109[[#This Row],[سعر الشبك ]]</calculatedColumnFormula>
    </tableColumn>
    <tableColumn id="9" xr3:uid="{00000000-0010-0000-6900-000009000000}" name="%" totalsRowFunction="custom">
      <calculatedColumnFormula>Table1613687798109[[#Totals],[اجمالي]]/$R$68</calculatedColumnFormula>
      <totalsRowFormula>Table1613687798109[[#Totals],[اجمالي]]/$R$68</totalsRowFormula>
    </tableColumn>
  </tableColumns>
  <tableStyleInfo name="TableStyleLight16" showFirstColumn="0" showLastColumn="0" showRowStripes="1" showColumnStripes="0"/>
</table>
</file>

<file path=xl/tables/table1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9" xr:uid="{00000000-000C-0000-FFFF-FFFF6A000000}" name="Table17697899110" displayName="Table17697899110" ref="BT75:BZ102" totalsRowShown="0">
  <autoFilter ref="BT75:BZ102" xr:uid="{00000000-0009-0000-0100-00006D000000}"/>
  <tableColumns count="7">
    <tableColumn id="1" xr3:uid="{00000000-0010-0000-6A00-000001000000}" name="Column1" dataDxfId="255"/>
    <tableColumn id="2" xr3:uid="{00000000-0010-0000-6A00-000002000000}" name="خارجي" dataDxfId="255"/>
    <tableColumn id="3" xr3:uid="{00000000-0010-0000-6A00-000003000000}" name="داخلي" dataDxfId="255"/>
    <tableColumn id="4" xr3:uid="{00000000-0010-0000-6A00-000004000000}" name="بدل الوجبة" dataDxfId="255"/>
    <tableColumn id="5" xr3:uid="{00000000-0010-0000-6A00-000005000000}" name="دبابة" dataDxfId="255"/>
    <tableColumn id="6" xr3:uid="{00000000-0010-0000-6A00-000006000000}" name="جامبو" dataDxfId="255"/>
    <tableColumn id="7" xr3:uid="{00000000-0010-0000-6A00-000007000000}" name="الاقامة" dataDxfId="255"/>
  </tableColumns>
  <tableStyleInfo name="TableStyleLight16" showFirstColumn="0" showLastColumn="0" showRowStripes="1" showColumnStripes="0"/>
</table>
</file>

<file path=xl/tables/table1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0" xr:uid="{00000000-000C-0000-FFFF-FFFF6B000000}" name="Table187079100111" displayName="Table187079100111" ref="BI137:BM139" totalsRowShown="0">
  <autoFilter ref="BI137:BM139" xr:uid="{00000000-0009-0000-0100-00006E000000}"/>
  <tableColumns count="5">
    <tableColumn id="1" xr3:uid="{00000000-0010-0000-6B00-000001000000}" name="Column1" dataDxfId="252"/>
    <tableColumn id="4" xr3:uid="{00000000-0010-0000-6B00-000004000000}" name="Column22" dataDxfId="252"/>
    <tableColumn id="5" xr3:uid="{00000000-0010-0000-6B00-000005000000}" name="Column23" dataDxfId="252"/>
    <tableColumn id="3" xr3:uid="{00000000-0010-0000-6B00-000003000000}" name="Column3" dataDxfId="251">
      <calculatedColumnFormula>IF((BL133="المقطم"),0.3,IF((BL133="التجمع"),0.3,IF((BL133="الشيخ زايد"),0.3,IF((BL133="الاسكندرية"),0.5,0.35))))</calculatedColumnFormula>
    </tableColumn>
    <tableColumn id="2" xr3:uid="{00000000-0010-0000-6B00-000002000000}" name="Column2" dataDxfId="250">
      <calculatedColumnFormula>BM137*(1+Table187079100111[[#This Row],[Column3]])</calculatedColumnFormula>
    </tableColumn>
  </tableColumns>
  <tableStyleInfo name="TableStyleLight16" showFirstColumn="0" showLastColumn="0" showRowStripes="1" showColumnStripes="0"/>
</table>
</file>

<file path=xl/tables/table1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1" xr:uid="{00000000-000C-0000-FFFF-FFFF6C000000}" name="Table15880101112" displayName="Table15880101112" ref="BG75:BR81" totalsRowCount="1">
  <autoFilter ref="BG75:BR80" xr:uid="{00000000-0009-0000-0100-00006F000000}"/>
  <tableColumns count="12">
    <tableColumn id="1" xr3:uid="{00000000-0010-0000-6C00-000001000000}" name="م" dataDxfId="237" totalsRowDxfId="233"/>
    <tableColumn id="2" xr3:uid="{00000000-0010-0000-6C00-000002000000}" name="عدد" dataDxfId="237" totalsRowDxfId="233">
      <calculatedColumnFormula>IF(OR((BI69="B11"),(BI69="B12"),(BI69="B21"),(BI69="B22"),(BI69="B31"),(BI69="B32")),3,0)</calculatedColumnFormula>
    </tableColumn>
    <tableColumn id="3" xr3:uid="{00000000-0010-0000-6C00-000003000000}" name="بيان" totalsRowLabel="Total" dataDxfId="237" totalsRowDxfId="233"/>
    <tableColumn id="11" xr3:uid="{00000000-0010-0000-6C00-00000B000000}" name="Column2" dataDxfId="237" totalsRowDxfId="233"/>
    <tableColumn id="10" xr3:uid="{00000000-0010-0000-6C00-00000A000000}" name="Column1" dataDxfId="237" totalsRowDxfId="233"/>
    <tableColumn id="12" xr3:uid="{00000000-0010-0000-6C00-00000C000000}" name="المسطح" totalsRowFunction="sum" dataDxfId="239" totalsRowDxfId="238">
      <calculatedColumnFormula>(Table15880101112[[#This Row],[Column1]]+Table15880101112[[#This Row],[Column2]])*12*Table15880101112[[#This Row],[عدد]]</calculatedColumnFormula>
    </tableColumn>
    <tableColumn id="4" xr3:uid="{00000000-0010-0000-6C00-000004000000}" name="الوحده" dataDxfId="237" totalsRowDxfId="233"/>
    <tableColumn id="5" xr3:uid="{00000000-0010-0000-6C00-000005000000}" name="الوزن" totalsRowFunction="custom" totalsRowDxfId="233">
      <totalsRowFormula>(BN76*BH76)+(BN77*BH77)+(BN78*BH78)+(BN79*BH79)</totalsRowFormula>
    </tableColumn>
    <tableColumn id="6" xr3:uid="{00000000-0010-0000-6C00-000006000000}" name="اجمالي المسطح" totalsRowFunction="sum" dataDxfId="234" totalsRowDxfId="233">
      <calculatedColumnFormula>Table15880101112[[#This Row],[المسطح]]*Table15880101112[[#This Row],[عدد]]</calculatedColumnFormula>
    </tableColumn>
    <tableColumn id="7" xr3:uid="{00000000-0010-0000-6C00-000007000000}" name="سعر الشبك " dataDxfId="232" totalsRowDxfId="231">
      <calculatedColumnFormula>BN76*$S$2/1000</calculatedColumnFormula>
    </tableColumn>
    <tableColumn id="8" xr3:uid="{00000000-0010-0000-6C00-000008000000}" name="اجمالي" totalsRowFunction="sum" dataDxfId="230" totalsRowDxfId="229">
      <calculatedColumnFormula>BH76*BP76</calculatedColumnFormula>
    </tableColumn>
    <tableColumn id="9" xr3:uid="{00000000-0010-0000-6C00-000009000000}" name="%" totalsRowFunction="custom" totalsRowDxfId="228">
      <calculatedColumnFormula>Table15880101112[[#Totals],[اجمالي]]/$R$68</calculatedColumnFormula>
      <totalsRowFormula>Table15880101112[[#Totals],[اجمالي]]/$R$68</totalsRowFormula>
    </tableColumn>
  </tableColumns>
  <tableStyleInfo name="TableStyleLight16" showFirstColumn="0" showLastColumn="0" showRowStripes="1" showColumnStripes="0"/>
</table>
</file>

<file path=xl/tables/table1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2" xr:uid="{00000000-000C-0000-FFFF-FFFF6D000000}" name="Table80102113" displayName="Table80102113" ref="AV73:BA85" totalsRowCount="1">
  <autoFilter ref="AV73:BA84" xr:uid="{00000000-0009-0000-0100-000070000000}"/>
  <tableColumns count="6">
    <tableColumn id="1" xr3:uid="{00000000-0010-0000-6D00-000001000000}" name="Column1" totalsRowLabel="Total" dataDxfId="218" totalsRowDxfId="226"/>
    <tableColumn id="2" xr3:uid="{00000000-0010-0000-6D00-000002000000}" name="عدد" totalsRowFunction="custom" totalsRowDxfId="225">
      <totalsRowFormula>(Table80102113[[#Totals],[price]]*1.1)/(BA72*AY72/10000)</totalsRowFormula>
    </tableColumn>
    <tableColumn id="3" xr3:uid="{00000000-0010-0000-6D00-000003000000}" name="طول" dataDxfId="218" totalsRowDxfId="217"/>
    <tableColumn id="4" xr3:uid="{00000000-0010-0000-6D00-000004000000}" name="Column2" dataDxfId="218" totalsRowDxfId="217"/>
    <tableColumn id="5" xr3:uid="{00000000-0010-0000-6D00-000005000000}" name="wt/m" dataDxfId="218" totalsRowDxfId="217"/>
    <tableColumn id="6" xr3:uid="{00000000-0010-0000-6D00-000006000000}" name="price" totalsRowFunction="sum" dataDxfId="218" totalsRowDxfId="217">
      <calculatedColumnFormula>AZ74*AX74</calculatedColumnFormula>
    </tableColumn>
  </tableColumns>
  <tableStyleInfo name="TableStyleLight17" showFirstColumn="0" showLastColumn="0" showRowStripes="1" showColumnStripes="0"/>
</table>
</file>

<file path=xl/tables/table1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3" xr:uid="{00000000-000C-0000-FFFF-FFFF6E000000}" name="Table80102114" displayName="Table80102114" ref="A2:F24" totalsRowCount="1" headerRowDxfId="92" dataDxfId="79" totalsRowDxfId="90">
  <autoFilter ref="A2:F23" xr:uid="{00000000-0009-0000-0100-000071000000}"/>
  <tableColumns count="6">
    <tableColumn id="1" xr3:uid="{00000000-0010-0000-6E00-000001000000}" name="Column1" totalsRowLabel="Total" dataDxfId="79" totalsRowDxfId="88"/>
    <tableColumn id="2" xr3:uid="{00000000-0010-0000-6E00-000002000000}" name="عدد" totalsRowFunction="custom" dataDxfId="79" totalsRowDxfId="86">
      <totalsRowFormula>(Table80102114[[#Totals],[price]]*1.1)/(F1*D1/10000)</totalsRowFormula>
    </tableColumn>
    <tableColumn id="3" xr3:uid="{00000000-0010-0000-6E00-000003000000}" name="طول" dataDxfId="79" totalsRowDxfId="78"/>
    <tableColumn id="4" xr3:uid="{00000000-0010-0000-6E00-000004000000}" name="Column2" dataDxfId="79" totalsRowDxfId="78"/>
    <tableColumn id="5" xr3:uid="{00000000-0010-0000-6E00-000005000000}" name="wt/m" dataDxfId="79" totalsRowDxfId="78"/>
    <tableColumn id="6" xr3:uid="{00000000-0010-0000-6E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4" xr:uid="{00000000-000C-0000-FFFF-FFFF6F000000}" name="Table80102114115" displayName="Table80102114115" ref="A75:F97" totalsRowCount="1" headerRowDxfId="92" dataDxfId="79" totalsRowDxfId="90">
  <autoFilter ref="A75:F96" xr:uid="{00000000-0009-0000-0100-000072000000}"/>
  <tableColumns count="6">
    <tableColumn id="1" xr3:uid="{00000000-0010-0000-6F00-000001000000}" name="Column1" totalsRowLabel="Total" dataDxfId="79" totalsRowDxfId="88"/>
    <tableColumn id="2" xr3:uid="{00000000-0010-0000-6F00-000002000000}" name="عدد" totalsRowFunction="custom" dataDxfId="79" totalsRowDxfId="86">
      <totalsRowFormula>(Table80102114115[[#Totals],[price]]*1.1)/(F74*D74/10000)</totalsRowFormula>
    </tableColumn>
    <tableColumn id="3" xr3:uid="{00000000-0010-0000-6F00-000003000000}" name="طول" dataDxfId="79" totalsRowDxfId="78"/>
    <tableColumn id="4" xr3:uid="{00000000-0010-0000-6F00-000004000000}" name="Column2" dataDxfId="79" totalsRowDxfId="78"/>
    <tableColumn id="5" xr3:uid="{00000000-0010-0000-6F00-000005000000}" name="wt/m" dataDxfId="79" totalsRowDxfId="78"/>
    <tableColumn id="6" xr3:uid="{00000000-0010-0000-6F00-000006000000}" name="price" totalsRowFunction="sum" dataDxfId="79" totalsRowDxfId="78"/>
  </tableColumns>
  <tableStyleInfo name="TableStyleLight17" showFirstColumn="0" showLastColumn="0" showRowStripes="1" showColumnStripes="0"/>
</table>
</file>

<file path=xl/tables/table1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0" xr:uid="{6E284D28-C3AA-4BF5-AA47-75599B0A856C}" name="Table1134" displayName="Table1134" ref="B2:F3" totalsRowShown="0" dataDxfId="180">
  <autoFilter ref="B2:F3" xr:uid="{6E284D28-C3AA-4BF5-AA47-75599B0A856C}"/>
  <tableColumns count="5">
    <tableColumn id="1" xr3:uid="{F05C6A66-F43A-449F-8365-F848C3E3FCF4}" name="المنتج" dataDxfId="180">
      <calculatedColumnFormula>تسعير!AH60</calculatedColumnFormula>
    </tableColumn>
    <tableColumn id="2" xr3:uid="{0CEFF7DA-9167-4759-90A5-641D43832BD8}" name="العرض" dataDxfId="180">
      <calculatedColumnFormula>تسعير!AI60</calculatedColumnFormula>
    </tableColumn>
    <tableColumn id="3" xr3:uid="{8920483F-B230-4954-B6EB-299A021EF592}" name="الامتداد" dataDxfId="180">
      <calculatedColumnFormula>تسعير!AJ60</calculatedColumnFormula>
    </tableColumn>
    <tableColumn id="4" xr3:uid="{07EB60AF-C006-4964-9A4B-3B79BB8020B0}" name="لون الشاسية" dataDxfId="180">
      <calculatedColumnFormula>تسعير!AK60</calculatedColumnFormula>
    </tableColumn>
    <tableColumn id="5" xr3:uid="{E7DFD066-5983-4486-B7BE-468171A981A3}" name="لون اللوفرز" dataDxfId="180">
      <calculatedColumnFormula>تسعير!AL60</calculatedColumnFormula>
    </tableColumn>
  </tableColumns>
  <tableStyleInfo name="TableStyleLight16" showFirstColumn="0" showLastColumn="0" showRowStripes="1" showColumnStripes="0"/>
</table>
</file>

<file path=xl/tables/table1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1" xr:uid="{3AE47BF8-B869-46BC-B7F0-F4DA963C247E}" name="Table2135" displayName="Table2135" ref="B6:F12" totalsRowCount="1">
  <autoFilter ref="B6:F11" xr:uid="{3AE47BF8-B869-46BC-B7F0-F4DA963C247E}"/>
  <tableColumns count="5">
    <tableColumn id="1" xr3:uid="{DFF224CE-7576-4515-904B-FBFC4D5C680A}" name="الخامة" totalsRowLabel="Total"/>
    <tableColumn id="2" xr3:uid="{AC1FAC90-AE41-46EF-9B31-9E503AF62A6C}" name="العدد"/>
    <tableColumn id="3" xr3:uid="{E1CF79A6-154B-492B-9561-A0D71EC90423}" name="الطول"/>
    <tableColumn id="4" xr3:uid="{2DFC47C0-43DD-44F1-B996-3B03682BBF44}" name="الوزن المتري"/>
    <tableColumn id="5" xr3:uid="{6DCB8640-022B-4F19-A849-8A0B3E6FF733}" name="القيمة" totalsRowFunction="sum" totalsRowDxfId="0">
      <calculatedColumnFormula>IF(([4]!Table1[لون الشاسية]=AI1),(Table2135[[#This Row],[العدد]]*Table2135[[#This Row],[الطول]]*Table2135[[#This Row],[الوزن المتري]]*(K3+25000)),IF(([4]!Table1[لون الشاسية]=AI2),(Table2135[[#This Row],[العدد]]*Table2135[[#This Row],[الطول]]*Table2135[[#This Row],[الوزن المتري]]*(K3+65000)),0))</calculatedColumnFormula>
    </tableColumn>
  </tableColumns>
  <tableStyleInfo name="TableStyleLight15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6000000}" name="Table14" displayName="Table14" ref="A11:L14" totalsRowCount="1">
  <autoFilter ref="A11:L13" xr:uid="{00000000-0009-0000-0100-000003000000}"/>
  <tableColumns count="12">
    <tableColumn id="1" xr3:uid="{00000000-0010-0000-0600-000001000000}" name="م" totalsRowLabel="Total" dataDxfId="237"/>
    <tableColumn id="2" xr3:uid="{00000000-0010-0000-0600-000002000000}" name="عدد" dataDxfId="237">
      <calculatedColumnFormula>IF((تسعير!X7&lt;800),0,IF(AND((تسعير!X7&gt;800),(600&gt;=تسعير!AA9)),1,0))</calculatedColumnFormula>
    </tableColumn>
    <tableColumn id="3" xr3:uid="{00000000-0010-0000-0600-000003000000}" name="بيان" totalsRowLabel="Total" dataDxfId="237"/>
    <tableColumn id="11" xr3:uid="{00000000-0010-0000-0600-00000B000000}" name="Column2" dataDxfId="237"/>
    <tableColumn id="10" xr3:uid="{00000000-0010-0000-0600-00000A000000}" name="Column1" dataDxfId="237"/>
    <tableColumn id="12" xr3:uid="{00000000-0010-0000-0600-00000C000000}" name="Column12" totalsRowFunction="sum" dataDxfId="234">
      <calculatedColumnFormula>(Table14[[#This Row],[Column1]]+Table14[[#This Row],[Column2]])*12*Table14[[#This Row],[عدد]]</calculatedColumnFormula>
    </tableColumn>
    <tableColumn id="4" xr3:uid="{00000000-0010-0000-0600-000004000000}" name="الوحده" dataDxfId="237"/>
    <tableColumn id="5" xr3:uid="{00000000-0010-0000-0600-000005000000}" name="الوزن" totalsRowFunction="custom">
      <totalsRowFormula>H12*B12+H13*B13</totalsRowFormula>
    </tableColumn>
    <tableColumn id="6" xr3:uid="{00000000-0010-0000-0600-000006000000}" name="مسطح" dataDxfId="234">
      <calculatedColumnFormula>Table14[[#This Row],[Column12]]*Table14[[#This Row],[عدد]]</calculatedColumnFormula>
    </tableColumn>
    <tableColumn id="7" xr3:uid="{00000000-0010-0000-0600-000007000000}" name="سعر الشبك " dataDxfId="306">
      <calculatedColumnFormula>H12*$I$2/1000</calculatedColumnFormula>
    </tableColumn>
    <tableColumn id="8" xr3:uid="{00000000-0010-0000-0600-000008000000}" name="اجمالي" totalsRowFunction="sum" dataDxfId="230">
      <calculatedColumnFormula>B12*J12</calculatedColumnFormula>
    </tableColumn>
    <tableColumn id="9" xr3:uid="{00000000-0010-0000-0600-000009000000}" name="%" totalsRowFunction="custom">
      <calculatedColumnFormula>(K12)/$G$83</calculatedColumnFormula>
      <totalsRowFormula>Table14[[#Totals],[اجمالي]]/$G$83</totalsRowFormula>
    </tableColumn>
  </tableColumns>
  <tableStyleInfo name="TableStyleLight16" showFirstColumn="0" showLastColumn="0" showRowStripes="1" showColumnStripes="0"/>
</table>
</file>

<file path=xl/tables/table1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2" xr:uid="{01F8C92F-369B-4B5C-B07A-DC67DD79B1FC}" name="Table80102" displayName="Table80102" ref="B14:G36" totalsRowCount="1" headerRowDxfId="92" dataDxfId="79" totalsRowDxfId="90">
  <autoFilter ref="B14:G35" xr:uid="{01F8C92F-369B-4B5C-B07A-DC67DD79B1FC}"/>
  <tableColumns count="6">
    <tableColumn id="1" xr3:uid="{BF4333B4-59C0-4EE4-89B9-FEED8A8A131D}" name="Column1" totalsRowLabel="Total" dataDxfId="79" totalsRowDxfId="88"/>
    <tableColumn id="2" xr3:uid="{20C39B5D-0F6B-4807-8E24-DD5BBEDC42F4}" name="عدد" totalsRowFunction="custom" dataDxfId="79" totalsRowDxfId="86">
      <totalsRowFormula>(Table80102[[#Totals],[price]]*1.1)/(E13*C13/10000)</totalsRowFormula>
    </tableColumn>
    <tableColumn id="3" xr3:uid="{45234998-15CC-4591-990E-6C40A423CF54}" name="طول" dataDxfId="79" totalsRowDxfId="78"/>
    <tableColumn id="4" xr3:uid="{4A1E2D76-BA68-478E-A8B0-68B9239E9C44}" name="Column2" dataDxfId="79" totalsRowDxfId="78"/>
    <tableColumn id="5" xr3:uid="{41823737-EC82-4CC7-8E7F-BF2A359EB0F1}" name="wt/m" dataDxfId="79" totalsRowDxfId="78"/>
    <tableColumn id="6" xr3:uid="{31A18015-9562-44BD-ACB0-8D06980C4071}" name="price" totalsRowFunction="sum" dataDxfId="79" totalsRowDxfId="78"/>
  </tableColumns>
  <tableStyleInfo name="TableStyleLight17" showFirstColumn="0" showLastColumn="0" showRowStripes="1" showColumnStripes="0"/>
</table>
</file>

<file path=xl/tables/table1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3" xr:uid="{F4B57681-793F-4DA6-938B-EF5BA0D74D8B}" name="Table4137" displayName="Table4137" ref="B38:F49" totalsRowCount="1">
  <autoFilter ref="B38:F48" xr:uid="{F4B57681-793F-4DA6-938B-EF5BA0D74D8B}"/>
  <tableColumns count="5">
    <tableColumn id="1" xr3:uid="{8B0C594C-91EB-4284-9F8F-8A39950C8C96}" name="Column1" totalsRowLabel="Total"/>
    <tableColumn id="2" xr3:uid="{B543F9EC-FF51-4F7C-AF63-C0390F20F5E6}" name="Column2"/>
    <tableColumn id="3" xr3:uid="{0D691CEA-49C1-4CCC-81ED-00113B1CDE33}" name="Column3"/>
    <tableColumn id="4" xr3:uid="{A4AF1872-10C0-4826-9A8F-27A24196EE4A}" name="Column4"/>
    <tableColumn id="5" xr3:uid="{079CDC73-967D-4C39-BF78-3501BC5069B9}" name="Column5" totalsRowFunction="sum" totalsRowDxfId="139">
      <calculatedColumnFormula>IF(([4]!Table1[لون الشاسية]=AI1),(Table4137[[#This Row],[Column2]]*Table4137[[#This Row],[Column3]]*Table4137[[#This Row],[Column4]]*((K3/1000)+25)),IF(([4]!Table1[لون الشاسية]=AI2),(Table4137[[#This Row],[Column2]]*Table4137[[#This Row],[Column3]]*Table4137[[#This Row],[Column4]]*((K3/1000)+65)),0))</calculatedColumnFormula>
    </tableColumn>
  </tableColumns>
  <tableStyleInfo name="TableStyleLight15" showFirstColumn="0" showLastColumn="0" showRowStripes="1" showColumnStripes="0"/>
</table>
</file>

<file path=xl/tables/table1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4" xr:uid="{4C7667DF-9D42-41A5-B6E6-118E1FCFA63B}" name="Table13138" displayName="Table13138" ref="B51:P63" totalsRowCount="1" headerRowDxfId="90" dataDxfId="90" totalsRowDxfId="90">
  <autoFilter ref="B51:P62" xr:uid="{4C7667DF-9D42-41A5-B6E6-118E1FCFA63B}"/>
  <tableColumns count="15">
    <tableColumn id="1" xr3:uid="{369A167F-428C-4461-9DBD-A58A66BAF9A7}" name="قطاعات الألومنيوم " totalsRowLabel="Total" dataDxfId="135" totalsRowDxfId="134" dataCellStyle="Normal 2"/>
    <tableColumn id="2" xr3:uid="{56469A33-367D-427E-BB32-FC4196143BB2}" name="عدد " dataDxfId="133" totalsRowDxfId="132" dataCellStyle="Normal 2"/>
    <tableColumn id="3" xr3:uid="{0CE9ADFD-132C-485C-98C6-EC1A18524D7C}" name="طول بالسنتيمتر " dataDxfId="131" totalsRowDxfId="130" dataCellStyle="Normal 2"/>
    <tableColumn id="4" xr3:uid="{506E5DEA-3439-4ADC-80C2-4611AF278237}" name="1" dataDxfId="94" totalsRowDxfId="93" dataCellStyle="Normal 2"/>
    <tableColumn id="5" xr3:uid="{1115AC2C-AEA0-4516-AD56-DAAF56E2D143}" name="2" dataDxfId="94" totalsRowDxfId="93" dataCellStyle="Normal 2"/>
    <tableColumn id="6" xr3:uid="{6BEE7943-4AF3-40C5-8F21-5AF96C9F6E7E}" name="3" dataDxfId="125" totalsRowDxfId="93" dataCellStyle="Normal 2"/>
    <tableColumn id="14" xr3:uid="{C339D900-5713-413C-BEA2-B416B483EECB}" name="4" dataDxfId="119" totalsRowDxfId="93" dataCellStyle="Normal 2">
      <calculatedColumnFormula>IF(D52&gt;350,4,0)</calculatedColumnFormula>
    </tableColumn>
    <tableColumn id="13" xr3:uid="{64E4A22B-DF40-44E4-9B52-1CA2155D6B8D}" name="5" dataDxfId="119" totalsRowDxfId="93" dataCellStyle="Normal 2">
      <calculatedColumnFormula>IF(D52&gt;350,4,0)</calculatedColumnFormula>
    </tableColumn>
    <tableColumn id="15" xr3:uid="{15F67072-09CF-48A5-9489-ED271AD7F8A3}" name="6" dataDxfId="119" totalsRowDxfId="93" dataCellStyle="Normal 2"/>
    <tableColumn id="7" xr3:uid="{D610E8C1-D47D-44FA-8593-8C1C46E4FC43}" name="اختيار" dataDxfId="94" totalsRowDxfId="93" dataCellStyle="Normal 2"/>
    <tableColumn id="8" xr3:uid="{96BFA68C-4B20-4323-988C-5F46D6C1E6D2}" name="التقطيع" dataDxfId="115" totalsRowDxfId="93" dataCellStyle="Normal 2"/>
    <tableColumn id="9" xr3:uid="{5C4B63B7-714C-476F-BDE3-A5940DE8B0EE}" name="بالهدر" dataDxfId="94" totalsRowDxfId="93" dataCellStyle="Normal 2">
      <calculatedColumnFormula>CEILING(L52,0.25)</calculatedColumnFormula>
    </tableColumn>
    <tableColumn id="10" xr3:uid="{967AAB2A-3CBC-489F-8789-9F5C00F5D83C}" name="Column1" dataDxfId="94" totalsRowDxfId="93" dataCellStyle="Normal 2"/>
    <tableColumn id="11" xr3:uid="{76CE1684-442E-40CE-9E88-94D80CB7830B}" name="وزن المتر" dataDxfId="90"/>
    <tableColumn id="12" xr3:uid="{35C4C533-AA04-467F-936F-7558F5DB8E15}" name="السعر" totalsRowFunction="sum" dataDxfId="107" totalsRowDxfId="106" dataCellStyle="Normal 2"/>
  </tableColumns>
  <tableStyleInfo name="TableStyleLight17" showFirstColumn="0" showLastColumn="0" showRowStripes="1" showColumnStripes="0"/>
</table>
</file>

<file path=xl/tables/table1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5" xr:uid="{E5E8C9DF-A434-4B1E-9F2A-956212BAAA2E}" name="Table15139" displayName="Table15139" ref="B64:E96" totalsRowCount="1" headerRowDxfId="98" dataDxfId="103" totalsRowDxfId="101" headerRowCellStyle="Normal 2">
  <autoFilter ref="B64:E95" xr:uid="{E5E8C9DF-A434-4B1E-9F2A-956212BAAA2E}"/>
  <tableColumns count="4">
    <tableColumn id="1" xr3:uid="{14D6CE5D-1213-43A1-BF29-FDC7124F2A0F}" name="الاكسسوار" totalsRowLabel="Total" dataDxfId="98" totalsRowDxfId="99" dataCellStyle="Normal 2"/>
    <tableColumn id="2" xr3:uid="{BA98A798-2CCA-4B7A-8B05-63B06D09333A}" name="عدد" dataDxfId="98" dataCellStyle="Normal 2"/>
    <tableColumn id="3" xr3:uid="{874A13E8-F264-4E16-B5DC-F94B11DF3BA1}" name="سعر" dataDxfId="94" totalsRowDxfId="93" dataCellStyle="Normal 2"/>
    <tableColumn id="4" xr3:uid="{DA8B93C8-59AD-4087-99B5-E52B920DEA79}" name="قيمة" totalsRowFunction="sum" dataDxfId="94" totalsRowDxfId="93" dataCellStyle="Normal 2">
      <calculatedColumnFormula>D65*C65</calculatedColumnFormula>
    </tableColumn>
  </tableColumns>
  <tableStyleInfo name="TableStyleLight20" showFirstColumn="0" showLastColumn="0" showRowStripes="1" showColumnStripes="0"/>
</table>
</file>

<file path=xl/tables/table1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6" xr:uid="{A630A4D1-964B-4D9C-80E9-DA639A17F16D}" name="Table80102113140" displayName="Table80102113140" ref="L12:Q24" totalsRowCount="1" headerRowDxfId="92" dataDxfId="79" totalsRowDxfId="90">
  <autoFilter ref="L12:Q23" xr:uid="{A630A4D1-964B-4D9C-80E9-DA639A17F16D}"/>
  <tableColumns count="6">
    <tableColumn id="1" xr3:uid="{D6CA05FE-79A8-47D8-8096-DAD04C28DE48}" name="Column1" totalsRowLabel="Total" dataDxfId="79" totalsRowDxfId="88"/>
    <tableColumn id="2" xr3:uid="{DF451939-4251-43AE-B6F6-9E343597384A}" name="عدد" totalsRowFunction="custom" dataDxfId="79" totalsRowDxfId="86">
      <totalsRowFormula>(Table80102113140[[#Totals],[price]]*1.1)/(O11*M11/10000)</totalsRowFormula>
    </tableColumn>
    <tableColumn id="3" xr3:uid="{C25478EA-3E99-4126-8989-54E48D1715D2}" name="طول" dataDxfId="79" totalsRowDxfId="78"/>
    <tableColumn id="4" xr3:uid="{9822A093-08F1-4B4D-9AFC-90D5A4131131}" name="Column2" dataDxfId="79" totalsRowDxfId="78"/>
    <tableColumn id="5" xr3:uid="{2E48C218-473A-4C6D-8C09-4D5CDD33479B}" name="wt/m" dataDxfId="79" totalsRowDxfId="78"/>
    <tableColumn id="6" xr3:uid="{36249871-283B-48D1-B606-C1BA8D8BCF2C}" name="price" totalsRowFunction="sum" dataDxfId="79" totalsRowDxfId="78"/>
  </tableColumns>
  <tableStyleInfo name="TableStyleLight17" showFirstColumn="0" showLastColumn="0" showRowStripes="1" showColumnStripes="0"/>
</table>
</file>

<file path=xl/tables/table1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7" xr:uid="{BFF28C6C-15F3-47BD-88D1-5EB534211F6B}" name="Table211" displayName="Table211" ref="L25:P35" totalsRowCount="1">
  <autoFilter ref="L25:P34" xr:uid="{BFF28C6C-15F3-47BD-88D1-5EB534211F6B}"/>
  <tableColumns count="5">
    <tableColumn id="1" xr3:uid="{9DE4B88F-3A1F-4686-9607-FB56CFBE60E1}" name="الخامة" totalsRowLabel="Total"/>
    <tableColumn id="2" xr3:uid="{8C5BB10F-4160-48DE-8E36-8322997DFC90}" name="العدد"/>
    <tableColumn id="3" xr3:uid="{8C2DB168-1346-4F4D-8028-99DAA46CA97F}" name="الطول"/>
    <tableColumn id="4" xr3:uid="{866F221C-3D0D-4C3D-BAC5-BC71C31F988A}" name="الوزن المتري"/>
    <tableColumn id="5" xr3:uid="{26A682D6-1BAA-49D8-B104-F85A78FD4337}" name="القيمة" totalsRowFunction="sum" totalsRowDxfId="0"/>
  </tableColumns>
  <tableStyleInfo name="TableStyleLight15" showFirstColumn="0" showLastColumn="0" showRowStripes="1" showColumnStripes="0"/>
</table>
</file>

<file path=xl/tables/table1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8" xr:uid="{8C0460ED-F85D-4F8A-AFC5-8C3E78065780}" name="Table212" displayName="Table212" ref="S11:W26" totalsRowCount="1">
  <autoFilter ref="S11:W25" xr:uid="{8C0460ED-F85D-4F8A-AFC5-8C3E78065780}"/>
  <tableColumns count="5">
    <tableColumn id="1" xr3:uid="{0BF8D15F-55B2-4A03-A6A5-0AEC0B93FBE7}" name="الخامة" totalsRowLabel="Total"/>
    <tableColumn id="2" xr3:uid="{DFD82FB1-E16D-4EB9-BC16-032302D0DFD8}" name="العدد"/>
    <tableColumn id="3" xr3:uid="{32B24A82-2417-4B8A-A868-3E9377712ED3}" name="الطول"/>
    <tableColumn id="4" xr3:uid="{A008AA4C-B661-4CD9-9558-94DFB3285C9F}" name="الوزن المتري"/>
    <tableColumn id="5" xr3:uid="{16C6370F-A223-4D41-8C87-9F8C98E775FB}" name="القيمة" totalsRowFunction="sum" totalsRowDxfId="0"/>
  </tableColumns>
  <tableStyleInfo name="TableStyleLight15" showFirstColumn="0" showLastColumn="0" showRowStripes="1" showColumnStripes="0"/>
</table>
</file>

<file path=xl/tables/table1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9" xr:uid="{86FDC189-1FB8-42E6-B00C-062A233FAF92}" name="Table21213" displayName="Table21213" ref="S30:W39" totalsRowCount="1">
  <autoFilter ref="S30:W38" xr:uid="{86FDC189-1FB8-42E6-B00C-062A233FAF92}"/>
  <tableColumns count="5">
    <tableColumn id="1" xr3:uid="{EA869FC2-04E3-4779-9045-DEEEF8D9DE8F}" name="الخامة" totalsRowLabel="Total"/>
    <tableColumn id="2" xr3:uid="{724E6041-949A-40E4-9C1B-BF687A1B4E21}" name="العدد"/>
    <tableColumn id="3" xr3:uid="{A135C7BF-0BF0-45CA-AFCE-32A1C2F59117}" name="الطول"/>
    <tableColumn id="4" xr3:uid="{56394E2D-8D59-445F-91BF-A07EB53504A9}" name="الوزن المتري"/>
    <tableColumn id="5" xr3:uid="{7D868DBE-48E5-48C9-BED8-FB26F1C5C3B7}" name="القيمة" totalsRowFunction="sum" totalsRowDxfId="0">
      <calculatedColumnFormula>IF(([4]!Table1[لون الشاسية]=AZ19),(Table21213[[#This Row],[العدد]]*Table21213[[#This Row],[الطول]]*Table21213[[#This Row],[الوزن المتري]]*(#REF!+25000)),IF(([4]!Table1[لون الشاسية]=AZ20),(Table21213[[#This Row],[العدد]]*Table21213[[#This Row],[الطول]]*Table21213[[#This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0" xr:uid="{150FD4ED-1C25-4A09-81EB-03FC9C33F9F9}" name="Table212136" displayName="Table212136" ref="S44:W56" totalsRowCount="1">
  <autoFilter ref="S44:W55" xr:uid="{150FD4ED-1C25-4A09-81EB-03FC9C33F9F9}"/>
  <tableColumns count="5">
    <tableColumn id="1" xr3:uid="{27755FB6-0B53-4FD5-AD12-45C800FF797B}" name="الخامة" totalsRowLabel="Total"/>
    <tableColumn id="2" xr3:uid="{978B531D-F9E2-4C19-9501-5372BACE94A5}" name="العدد"/>
    <tableColumn id="3" xr3:uid="{316D5575-AD17-4050-A67B-BE63DE275514}" name="الطول"/>
    <tableColumn id="4" xr3:uid="{63FBC5A5-76B2-4F09-9EAC-D9CC60E965BC}" name="الوزن المتري"/>
    <tableColumn id="5" xr3:uid="{93DDBAEE-FE7A-4F20-B554-7DA7AC7B7356}" name="القيمة" totalsRowFunction="sum" totalsRowDxfId="0">
      <calculatedColumnFormula>IF(([4]!Table1[لون الشاسية]=AZ36),(Table212136[[#This Row],[العدد]]*Table212136[[#This Row],[الطول]]*Table212136[[#This Row],[الوزن المتري]]*(#REF!+25000)),IF(([4]!Table1[لون الشاسية]=AZ37),(Table212136[[#This Row],[العدد]]*Table212136[[#This Row],[الطول]]*Table212136[[#This Row],[الوزن المتري]]*(#REF!+65000)),0))</calculatedColumnFormula>
    </tableColumn>
  </tableColumns>
  <tableStyleInfo name="TableStyleLight15" showFirstColumn="0" showLastColumn="0" showRowStripes="1" showColumnStripes="0"/>
</table>
</file>

<file path=xl/tables/table1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1" xr:uid="{458C5E96-2D95-43BD-A8DA-1969F8DA9B1D}" name="Table2121367" displayName="Table2121367" ref="S60:W72" totalsRowCount="1">
  <autoFilter ref="S60:W71" xr:uid="{458C5E96-2D95-43BD-A8DA-1969F8DA9B1D}"/>
  <tableColumns count="5">
    <tableColumn id="1" xr3:uid="{8CCDC8FE-2E8E-4320-A07F-377E9D382912}" name="الخامة" totalsRowLabel="Total"/>
    <tableColumn id="2" xr3:uid="{ABDC6ABD-6FCD-4DC0-BCE9-B934CFF9CD0B}" name="العدد"/>
    <tableColumn id="3" xr3:uid="{BA9411AB-313A-498F-957D-BA0426F955B2}" name="الطول"/>
    <tableColumn id="4" xr3:uid="{31EDAA8B-0A9E-4850-9C12-BA8629A84FED}" name="الوزن المتري"/>
    <tableColumn id="5" xr3:uid="{D935894B-CC2E-4DF6-8E9C-DF196925EBCE}" name="القيمة" totalsRowFunction="sum" totalsRowDxfId="0">
      <calculatedColumnFormula>IF(([4]!Table1[لون الشاسية]=AZ53),(Table2121367[[#This Row],[العدد]]*Table2121367[[#This Row],[الطول]]*Table2121367[[#This Row],[الوزن المتري]]*(AB55+25000)),IF(([4]!Table1[لون الشاسية]=AZ54),(Table2121367[[#This Row],[العدد]]*Table2121367[[#This Row],[الطول]]*Table2121367[[#This Row],[الوزن المتري]]*(AB55+65000)),0))</calculatedColumnFormula>
    </tableColumn>
  </tableColumns>
  <tableStyleInfo name="TableStyleLight15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7000000}" name="Table15" displayName="Table15" ref="A16:L27" totalsRowCount="1">
  <autoFilter ref="A16:L26" xr:uid="{00000000-0009-0000-0100-000004000000}"/>
  <tableColumns count="12">
    <tableColumn id="1" xr3:uid="{00000000-0010-0000-0700-000001000000}" name="م" totalsRowLabel="Total" dataDxfId="237" totalsRowDxfId="278"/>
    <tableColumn id="2" xr3:uid="{00000000-0010-0000-0700-000002000000}" name="عدد" dataDxfId="234" totalsRowDxfId="278"/>
    <tableColumn id="3" xr3:uid="{00000000-0010-0000-0700-000003000000}" name="بيان" totalsRowLabel="Total" dataDxfId="237" totalsRowDxfId="278"/>
    <tableColumn id="11" xr3:uid="{00000000-0010-0000-0700-00000B000000}" name="Column2" dataDxfId="237" totalsRowDxfId="278"/>
    <tableColumn id="10" xr3:uid="{00000000-0010-0000-0700-00000A000000}" name="Column1" dataDxfId="237" totalsRowDxfId="278"/>
    <tableColumn id="12" xr3:uid="{00000000-0010-0000-0700-00000C000000}" name="Column12" dataDxfId="239" totalsRowDxfId="93"/>
    <tableColumn id="4" xr3:uid="{00000000-0010-0000-0700-000004000000}" name="الوحده" dataDxfId="237" totalsRowDxfId="278"/>
    <tableColumn id="5" xr3:uid="{00000000-0010-0000-0700-000005000000}" name="الوزن" dataDxfId="237" totalsRowDxfId="278"/>
    <tableColumn id="6" xr3:uid="{00000000-0010-0000-0700-000006000000}" name="سعر الكيلو" dataDxfId="237" totalsRowDxfId="278"/>
    <tableColumn id="7" xr3:uid="{00000000-0010-0000-0700-000007000000}" name="سعر الشبك " dataDxfId="306" totalsRowDxfId="276">
      <calculatedColumnFormula>Sheet2!B22</calculatedColumnFormula>
    </tableColumn>
    <tableColumn id="8" xr3:uid="{00000000-0010-0000-0700-000008000000}" name="اجمالي" totalsRowFunction="sum" dataDxfId="230" totalsRowDxfId="274">
      <calculatedColumnFormula>B17*J17</calculatedColumnFormula>
    </tableColumn>
    <tableColumn id="9" xr3:uid="{00000000-0010-0000-0700-000009000000}" name="%" totalsRowFunction="custom" totalsRowDxfId="273">
      <calculatedColumnFormula>Table15[[#Totals],[اجمالي]]/$G$83</calculatedColumnFormula>
      <totalsRowFormula>Table15[[#Totals],[اجمالي]]/$G$83</totalsRowFormula>
    </tableColumn>
  </tableColumns>
  <tableStyleInfo name="TableStyleLight16" showFirstColumn="0" showLastColumn="0" showRowStripes="1" showColumnStripes="0"/>
</table>
</file>

<file path=xl/tables/table1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2" xr:uid="{C5D89C21-CD94-4DF8-B056-E617F6154D75}" name="Table212136714" displayName="Table212136714" ref="S76:W88" totalsRowCount="1">
  <autoFilter ref="S76:W87" xr:uid="{C5D89C21-CD94-4DF8-B056-E617F6154D75}"/>
  <tableColumns count="5">
    <tableColumn id="1" xr3:uid="{C8D31AC7-5388-40FD-8484-312C2B6742AA}" name="الخامة" totalsRowLabel="Total"/>
    <tableColumn id="2" xr3:uid="{3969767B-BCF8-4F1F-BA9F-542F8610FD38}" name="العدد"/>
    <tableColumn id="3" xr3:uid="{099CFB9E-DE29-472B-A16A-C94A59DB3358}" name="الطول"/>
    <tableColumn id="4" xr3:uid="{DCEAD467-24FC-468F-82EB-389BDB25D3BF}" name="الوزن المتري"/>
    <tableColumn id="5" xr3:uid="{216E6FFF-6B03-469E-9078-A1A4FC2135E3}" name="القيمة" totalsRowFunction="sum" totalsRowDxfId="0">
      <calculatedColumnFormula>IF(([4]!Table1[لون الشاسية]=AZ69),(Table212136714[[#This Row],[العدد]]*Table212136714[[#This Row],[الطول]]*Table212136714[[#This Row],[الوزن المتري]]*(AB71+25000)),IF(([4]!Table1[لون الشاسية]=AZ70),(Table212136714[[#This Row],[العدد]]*Table212136714[[#This Row],[الطول]]*Table212136714[[#This Row],[الوزن المتري]]*(AB71+65000)),0))</calculatedColumnFormula>
    </tableColumn>
  </tableColumns>
  <tableStyleInfo name="TableStyleLight15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8000000}" name="Table16" displayName="Table16" ref="A29:L32" totalsRowCount="1">
  <autoFilter ref="A29:L31" xr:uid="{00000000-0009-0000-0100-000005000000}"/>
  <tableColumns count="12">
    <tableColumn id="1" xr3:uid="{00000000-0010-0000-0800-000001000000}" name="م" totalsRowLabel="Total" dataDxfId="237" totalsRowDxfId="233"/>
    <tableColumn id="2" xr3:uid="{00000000-0010-0000-0800-000002000000}" name="عدد" totalsRowFunction="count" dataDxfId="237" totalsRowDxfId="233">
      <calculatedColumnFormula>B29*4</calculatedColumnFormula>
    </tableColumn>
    <tableColumn id="3" xr3:uid="{00000000-0010-0000-0800-000003000000}" name="بيان" totalsRowLabel="Total" dataDxfId="237" totalsRowDxfId="233"/>
    <tableColumn id="11" xr3:uid="{00000000-0010-0000-0800-00000B000000}" name="Column2" dataDxfId="237" totalsRowDxfId="233"/>
    <tableColumn id="10" xr3:uid="{00000000-0010-0000-0800-00000A000000}" name="Column1" dataDxfId="237" totalsRowDxfId="233"/>
    <tableColumn id="12" xr3:uid="{00000000-0010-0000-0800-00000C000000}" name="Column12" totalsRowFunction="sum" dataDxfId="239" totalsRowDxfId="238">
      <calculatedColumnFormula>(Table16[[#This Row],[Column1]]*Table16[[#This Row],[Column2]])*Table16[[#This Row],[عدد]]</calculatedColumnFormula>
    </tableColumn>
    <tableColumn id="4" xr3:uid="{00000000-0010-0000-0800-000004000000}" name="الوحده" dataDxfId="237" totalsRowDxfId="233"/>
    <tableColumn id="5" xr3:uid="{00000000-0010-0000-0800-000005000000}" name="الوزن" totalsRowFunction="custom" totalsRowDxfId="233">
      <totalsRowFormula>H30*B30+H31*B31</totalsRowFormula>
    </tableColumn>
    <tableColumn id="6" xr3:uid="{00000000-0010-0000-0800-000006000000}" name="Column3" dataDxfId="234" totalsRowDxfId="233"/>
    <tableColumn id="7" xr3:uid="{00000000-0010-0000-0800-000007000000}" name="سعر الشبك " dataDxfId="306" totalsRowDxfId="231">
      <calculatedColumnFormula>H30*$H$2/1000</calculatedColumnFormula>
    </tableColumn>
    <tableColumn id="8" xr3:uid="{00000000-0010-0000-0800-000008000000}" name="اجمالي" totalsRowFunction="sum" dataDxfId="230" totalsRowDxfId="229">
      <calculatedColumnFormula>B30*J30</calculatedColumnFormula>
    </tableColumn>
    <tableColumn id="9" xr3:uid="{00000000-0010-0000-0800-000009000000}" name="%" totalsRowFunction="custom" totalsRowDxfId="228">
      <calculatedColumnFormula>Table16[[#Totals],[اجمالي]]/$G$83</calculatedColumnFormula>
      <totalsRowFormula>Table16[[#Totals],[اجمالي]]/$G$83</totalsRowFormula>
    </tableColumn>
  </tableColumns>
  <tableStyleInfo name="TableStyleLight16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9000000}" name="Table6" displayName="Table6" ref="V4:Y13" totalsRowShown="0">
  <autoFilter ref="V4:Y13" xr:uid="{00000000-0009-0000-0100-000006000000}"/>
  <tableColumns count="4">
    <tableColumn id="1" xr3:uid="{00000000-0010-0000-0900-000001000000}" name="المادة" dataDxfId="255"/>
    <tableColumn id="2" xr3:uid="{00000000-0010-0000-0900-000002000000}" name="المعدل" dataDxfId="255"/>
    <tableColumn id="3" xr3:uid="{00000000-0010-0000-0900-000003000000}" name="الوحدة" dataDxfId="255"/>
    <tableColumn id="4" xr3:uid="{00000000-0010-0000-0900-000004000000}" name="Column4" dataDxfId="299"/>
  </tableColumns>
  <tableStyleInfo name="TableStyleLight16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A000000}" name="Table1610" displayName="Table1610" ref="A52:L55" totalsRowCount="1">
  <autoFilter ref="A52:L54" xr:uid="{00000000-0009-0000-0100-000009000000}"/>
  <sortState xmlns:xlrd2="http://schemas.microsoft.com/office/spreadsheetml/2017/richdata2" ref="A54:L56">
    <sortCondition ref="A128:A140"/>
  </sortState>
  <tableColumns count="12">
    <tableColumn id="1" xr3:uid="{00000000-0010-0000-0A00-000001000000}" name="م" totalsRowLabel="Total" dataDxfId="237"/>
    <tableColumn id="2" xr3:uid="{00000000-0010-0000-0A00-000002000000}" name="عدد" dataDxfId="1461">
      <calculatedColumnFormula>IF((Sheet2!H2="A1"),0.25,IF((Sheet2!H2="A2"),0.5,IF((Sheet2!H2="A3"),1,IF((Sheet2!H2="B1"),0.25,IF((Sheet2!H2="B2"),0.5,IF((Sheet2!H2="B3"),1,IF((Sheet2!H2="C1"),0.25,IF((Sheet2!H2="C2"),0.5,IF((Sheet2!H2="C3"),1,IF((Sheet2!H2="D1"),0.25,IF((Sheet2!H2="D2"),0.5,IF((Sheet2!H2="D3"),1,0))))))))))))</calculatedColumnFormula>
    </tableColumn>
    <tableColumn id="3" xr3:uid="{00000000-0010-0000-0A00-000003000000}" name="بيان" totalsRowLabel="Total" dataDxfId="252"/>
    <tableColumn id="11" xr3:uid="{00000000-0010-0000-0A00-00000B000000}" name="Column2" dataDxfId="252"/>
    <tableColumn id="10" xr3:uid="{00000000-0010-0000-0A00-00000A000000}" name="Column1" dataDxfId="266"/>
    <tableColumn id="12" xr3:uid="{00000000-0010-0000-0A00-00000C000000}" name="Column12" totalsRowFunction="sum" dataDxfId="1282"/>
    <tableColumn id="4" xr3:uid="{00000000-0010-0000-0A00-000004000000}" name="الوحده" dataDxfId="1281"/>
    <tableColumn id="5" xr3:uid="{00000000-0010-0000-0A00-000005000000}" name="الوزن" dataDxfId="1280"/>
    <tableColumn id="6" xr3:uid="{00000000-0010-0000-0A00-000006000000}" name="سعر الكيلو" dataDxfId="266"/>
    <tableColumn id="7" xr3:uid="{00000000-0010-0000-0A00-000007000000}" name="سعر الشبك " dataDxfId="263">
      <calculatedColumnFormula>Sheet2!B31</calculatedColumnFormula>
    </tableColumn>
    <tableColumn id="8" xr3:uid="{00000000-0010-0000-0A00-000008000000}" name="اجمالي" totalsRowFunction="sum" dataDxfId="230">
      <calculatedColumnFormula>B53*J53</calculatedColumnFormula>
    </tableColumn>
    <tableColumn id="9" xr3:uid="{00000000-0010-0000-0A00-000009000000}" name="%" totalsRowFunction="custom">
      <calculatedColumnFormula>Table1610[[#Totals],[اجمالي]]/$G$83</calculatedColumnFormula>
      <totalsRowFormula>Table1610[[#Totals],[اجمالي]]/$G$83</totalsRowFormula>
    </tableColumn>
  </tableColumns>
  <tableStyleInfo name="TableStyleLight16"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B000000}" name="Table1611" displayName="Table1611" ref="A57:L61" totalsRowCount="1">
  <autoFilter ref="A57:L60" xr:uid="{00000000-0009-0000-0100-00000A000000}"/>
  <tableColumns count="12">
    <tableColumn id="1" xr3:uid="{00000000-0010-0000-0B00-000001000000}" name="م" totalsRowLabel="Total" dataDxfId="237" totalsRowDxfId="278"/>
    <tableColumn id="2" xr3:uid="{00000000-0010-0000-0B00-000002000000}" name="عدد" dataDxfId="237" totalsRowDxfId="278">
      <calculatedColumnFormula>IF((F78="الاسكندرية"),0.25,0.1)</calculatedColumnFormula>
    </tableColumn>
    <tableColumn id="3" xr3:uid="{00000000-0010-0000-0B00-000003000000}" name="بيان برجولا رويال" totalsRowLabel="Total" dataDxfId="237" totalsRowDxfId="278"/>
    <tableColumn id="12" xr3:uid="{00000000-0010-0000-0B00-00000C000000}" name="Column12" totalsRowFunction="sum" dataDxfId="239" totalsRowDxfId="93"/>
    <tableColumn id="5" xr3:uid="{00000000-0010-0000-0B00-000005000000}" name="Column1" dataDxfId="237" totalsRowDxfId="278"/>
    <tableColumn id="11" xr3:uid="{00000000-0010-0000-0B00-00000B000000}" name="العرض" dataDxfId="252" totalsRowDxfId="278"/>
    <tableColumn id="10" xr3:uid="{00000000-0010-0000-0B00-00000A000000}" name="الامتداد" dataDxfId="234" totalsRowDxfId="278"/>
    <tableColumn id="4" xr3:uid="{00000000-0010-0000-0B00-000004000000}" name="سعر المتر" dataDxfId="266" totalsRowDxfId="278"/>
    <tableColumn id="6" xr3:uid="{00000000-0010-0000-0B00-000006000000}" name="Column2" dataDxfId="287" totalsRowDxfId="278"/>
    <tableColumn id="7" xr3:uid="{00000000-0010-0000-0B00-000007000000}" name="سعر البرجولا كاملة" dataDxfId="306" totalsRowDxfId="276">
      <calculatedColumnFormula>(K57)</calculatedColumnFormula>
    </tableColumn>
    <tableColumn id="8" xr3:uid="{00000000-0010-0000-0B00-000008000000}" name="اجمالي" totalsRowFunction="sum" dataDxfId="230" totalsRowDxfId="274">
      <calculatedColumnFormula>B58*Table1611[[#This Row],[سعر البرجولا كاملة]]</calculatedColumnFormula>
    </tableColumn>
    <tableColumn id="9" xr3:uid="{00000000-0010-0000-0B00-000009000000}" name="%" totalsRowFunction="custom" totalsRowDxfId="273">
      <calculatedColumnFormula>(K58)/$G$83</calculatedColumnFormula>
      <totalsRowFormula>Table1611[[#Totals],[اجمالي]]/$G$83</totalsRowFormula>
    </tableColumn>
  </tableColumns>
  <tableStyleInfo name="TableStyleLight16"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C000000}" name="Table1612" displayName="Table1612" ref="A66:L80" totalsRowCount="1">
  <autoFilter ref="A66:L79" xr:uid="{00000000-0009-0000-0100-00000B000000}"/>
  <tableColumns count="12">
    <tableColumn id="1" xr3:uid="{00000000-0010-0000-0C00-000001000000}" name="م" totalsRowLabel="Total" dataDxfId="237" totalsRowDxfId="278"/>
    <tableColumn id="2" xr3:uid="{00000000-0010-0000-0C00-000002000000}" name="عدد" dataDxfId="250" totalsRowDxfId="278">
      <calculatedColumnFormula>B61</calculatedColumnFormula>
    </tableColumn>
    <tableColumn id="3" xr3:uid="{00000000-0010-0000-0C00-000003000000}" name="بيان" totalsRowLabel="Total" dataDxfId="289" totalsRowDxfId="278"/>
    <tableColumn id="5" xr3:uid="{00000000-0010-0000-0C00-000005000000}" name="اليومية / الاجرة" dataDxfId="289" totalsRowDxfId="278"/>
    <tableColumn id="6" xr3:uid="{00000000-0010-0000-0C00-000006000000}" name="بدل الوجبة" dataDxfId="287" totalsRowDxfId="278"/>
    <tableColumn id="11" xr3:uid="{00000000-0010-0000-0C00-00000B000000}" name="موقع العمل" dataDxfId="252" totalsRowDxfId="278">
      <calculatedColumnFormula>تسعير!$T$4</calculatedColumnFormula>
    </tableColumn>
    <tableColumn id="10" xr3:uid="{00000000-0010-0000-0C00-00000A000000}" name="شيفت العمل" dataDxfId="237" totalsRowDxfId="278"/>
    <tableColumn id="12" xr3:uid="{00000000-0010-0000-0C00-00000C000000}" name="Column12" totalsRowFunction="sum" dataDxfId="239" totalsRowDxfId="93">
      <calculatedColumnFormula>SUMIF(Table17[Column1],Table1612[[#This Row],[موقع العمل]],$T$2:$T$20)</calculatedColumnFormula>
    </tableColumn>
    <tableColumn id="4" xr3:uid="{00000000-0010-0000-0C00-000004000000}" name="عدد الايام" dataDxfId="279" totalsRowDxfId="278"/>
    <tableColumn id="7" xr3:uid="{00000000-0010-0000-0C00-000007000000}" name="اجمالي التكلفة للعامل" dataDxfId="277" totalsRowDxfId="276">
      <calculatedColumnFormula>Table1612[[#This Row],[Column12]]</calculatedColumnFormula>
    </tableColumn>
    <tableColumn id="8" xr3:uid="{00000000-0010-0000-0C00-000008000000}" name="اجمالي" totalsRowFunction="sum" dataDxfId="230" totalsRowDxfId="274">
      <calculatedColumnFormula>B67*J67</calculatedColumnFormula>
    </tableColumn>
    <tableColumn id="9" xr3:uid="{00000000-0010-0000-0C00-000009000000}" name="%" totalsRowFunction="custom" totalsRowDxfId="273">
      <calculatedColumnFormula>(K67)/$G$83</calculatedColumnFormula>
      <totalsRowFormula>Table1612[[#Totals],[اجمالي]]/$G$83</totalsRowFormula>
    </tableColumn>
  </tableColumns>
  <tableStyleInfo name="TableStyleLight16"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D000000}" name="Table17" displayName="Table17" ref="N1:T20" totalsRowShown="0">
  <autoFilter ref="N1:T20" xr:uid="{00000000-0009-0000-0100-00000E000000}"/>
  <tableColumns count="7">
    <tableColumn id="1" xr3:uid="{00000000-0010-0000-0D00-000001000000}" name="Column1" dataDxfId="878"/>
    <tableColumn id="2" xr3:uid="{00000000-0010-0000-0D00-000002000000}" name="خارجي" dataDxfId="935"/>
    <tableColumn id="3" xr3:uid="{00000000-0010-0000-0D00-000003000000}" name="داخلي" dataDxfId="935"/>
    <tableColumn id="4" xr3:uid="{00000000-0010-0000-0D00-000004000000}" name="بدل الوجبة" dataDxfId="935"/>
    <tableColumn id="5" xr3:uid="{00000000-0010-0000-0D00-000005000000}" name="دبابة" dataDxfId="935"/>
    <tableColumn id="6" xr3:uid="{00000000-0010-0000-0D00-000006000000}" name="جامبو" dataDxfId="935"/>
    <tableColumn id="7" xr3:uid="{00000000-0010-0000-0D00-000007000000}" name="الاقامة" dataDxfId="935"/>
  </tableColumns>
  <tableStyleInfo name="TableStyleLight16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1000000}" name="Table20" displayName="Table20" ref="G2:I3" totalsRowShown="0">
  <autoFilter ref="G2:I3" xr:uid="{00000000-0009-0000-0100-000010000000}"/>
  <tableColumns count="3">
    <tableColumn id="1" xr3:uid="{00000000-0010-0000-0100-000001000000}" name="Column1">
      <calculatedColumnFormula>IF(AND((تسعير!U14=D2),(تسعير!X8&lt;801)),"A",IF(AND((تسعير!U14=D3),(تسعير!X8&lt;801)),"B",IF(AND(,(تسعير!U14=D2),(تسعير!X8&gt;800)),"C",IF(AND((تسعير!U14=D3),(تسعير!X8&gt;800)),"D","no"))))</calculatedColumnFormula>
    </tableColumn>
    <tableColumn id="2" xr3:uid="{00000000-0010-0000-0100-000002000000}" name="Column2">
      <calculatedColumnFormula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calculatedColumnFormula>
    </tableColumn>
    <tableColumn id="3" xr3:uid="{00000000-0010-0000-0100-000003000000}" name="Column3">
      <calculatedColumnFormula>Table1[[#Totals],[اجمالي]]+Table14[[#Totals],[اجمالي]]+Table15[[#Totals],[اجمالي]]+Table16[[#Totals],[اجمالي]]+Table1610[[#Totals],[اجمالي]]</calculatedColumnFormula>
    </tableColumn>
  </tableColumns>
  <tableStyleInfo name="TableStyleLight17"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E000000}" name="Table18" displayName="Table18" ref="C82:G84" totalsRowShown="0">
  <autoFilter ref="C82:G84" xr:uid="{00000000-0009-0000-0100-00000F000000}"/>
  <tableColumns count="5">
    <tableColumn id="1" xr3:uid="{00000000-0010-0000-0E00-000001000000}" name="Column1" dataDxfId="252"/>
    <tableColumn id="4" xr3:uid="{00000000-0010-0000-0E00-000004000000}" name="Column22" dataDxfId="252"/>
    <tableColumn id="5" xr3:uid="{00000000-0010-0000-0E00-000005000000}" name="Column23" dataDxfId="252"/>
    <tableColumn id="3" xr3:uid="{00000000-0010-0000-0E00-000003000000}" name="Column3" dataDxfId="251">
      <calculatedColumnFormula>IF((F78="المقطم"),0.3,IF((F78="التجمع"),0.3,IF((F78="الشيخ زايد"),0.3,IF((F78="الاسكندرية"),0.5,IF((F78="الساحل"),0.5,0.35)))))</calculatedColumnFormula>
    </tableColumn>
    <tableColumn id="2" xr3:uid="{00000000-0010-0000-0E00-000002000000}" name="Column2" dataDxfId="250">
      <calculatedColumnFormula>G82*(1+Table18[[#This Row],[Column3]])</calculatedColumnFormula>
    </tableColumn>
  </tableColumns>
  <tableStyleInfo name="TableStyleLight16"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118" displayName="Table118" ref="A5:L10" totalsRowCount="1">
  <autoFilter ref="A5:L9" xr:uid="{00000000-0009-0000-0100-000011000000}"/>
  <tableColumns count="12">
    <tableColumn id="1" xr3:uid="{00000000-0010-0000-0F00-000001000000}" name="م" dataDxfId="237" totalsRowDxfId="233"/>
    <tableColumn id="2" xr3:uid="{00000000-0010-0000-0F00-000002000000}" name="عدد" dataDxfId="237" totalsRowDxfId="233">
      <calculatedColumnFormula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calculatedColumnFormula>
    </tableColumn>
    <tableColumn id="3" xr3:uid="{00000000-0010-0000-0F00-000003000000}" name="بيان" totalsRowLabel="Total" dataDxfId="237" totalsRowDxfId="233"/>
    <tableColumn id="11" xr3:uid="{00000000-0010-0000-0F00-00000B000000}" name="Column2" dataDxfId="237" totalsRowDxfId="233"/>
    <tableColumn id="10" xr3:uid="{00000000-0010-0000-0F00-00000A000000}" name="Column1" dataDxfId="237" totalsRowDxfId="233"/>
    <tableColumn id="12" xr3:uid="{00000000-0010-0000-0F00-00000C000000}" name="المسطح" totalsRowFunction="sum" dataDxfId="239" totalsRowDxfId="238">
      <calculatedColumnFormula>(Table118[[#This Row],[Column1]]+Table118[[#This Row],[Column2]])*12*Table118[[#This Row],[عدد]]</calculatedColumnFormula>
    </tableColumn>
    <tableColumn id="4" xr3:uid="{00000000-0010-0000-0F00-000004000000}" name="الوحده" dataDxfId="237" totalsRowDxfId="233"/>
    <tableColumn id="5" xr3:uid="{00000000-0010-0000-0F00-000005000000}" name="الوزن" totalsRowFunction="custom" dataDxfId="237" totalsRowDxfId="233">
      <totalsRowFormula>H9*B9+H8*B8+H7*B7</totalsRowFormula>
    </tableColumn>
    <tableColumn id="6" xr3:uid="{00000000-0010-0000-0F00-000006000000}" name="اجمالي الميزان" totalsRowFunction="sum" dataDxfId="234" totalsRowDxfId="233">
      <calculatedColumnFormula>Table118[[#This Row],[الوزن]]*Table118[[#This Row],[عدد]]</calculatedColumnFormula>
    </tableColumn>
    <tableColumn id="7" xr3:uid="{00000000-0010-0000-0F00-000007000000}" name="سعر الشبك " dataDxfId="306" totalsRowDxfId="231">
      <calculatedColumnFormula>H6*$H$2/1000</calculatedColumnFormula>
    </tableColumn>
    <tableColumn id="8" xr3:uid="{00000000-0010-0000-0F00-000008000000}" name="اجمالي" totalsRowFunction="sum" dataDxfId="230" totalsRowDxfId="229">
      <calculatedColumnFormula>B6*J6</calculatedColumnFormula>
    </tableColumn>
    <tableColumn id="9" xr3:uid="{00000000-0010-0000-0F00-000009000000}" name="%" totalsRowFunction="custom" totalsRowDxfId="228">
      <calculatedColumnFormula>Table118[[#Totals],[اجمالي]]/$G$85</calculatedColumnFormula>
      <totalsRowFormula>Table118[[#Totals],[اجمالي]]/$G$85</totalsRowFormula>
    </tableColumn>
  </tableColumns>
  <tableStyleInfo name="TableStyleLight16"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00000000-000C-0000-FFFF-FFFF10000000}" name="Table1319" displayName="Table1319" ref="A35:L50" totalsRowCount="1">
  <autoFilter ref="A35:L49" xr:uid="{00000000-0009-0000-0100-000012000000}"/>
  <tableColumns count="12">
    <tableColumn id="1" xr3:uid="{00000000-0010-0000-1000-000001000000}" name="م" totalsRowLabel="Total" dataDxfId="237" totalsRowDxfId="233"/>
    <tableColumn id="2" xr3:uid="{00000000-0010-0000-1000-000002000000}" name="عدد" dataDxfId="234" totalsRowDxfId="233">
      <calculatedColumnFormula>IF(AND((AB1&gt;0),(AB1&lt;=5)),5,IF(AND((AB1&gt;5),(AB1&lt;=10)),10,IF(AND((AB1&gt;10),(AB1&lt;=15)),15,IF(AND((AB1&gt;15),(AB1&lt;=20)),20,IF(AND((AB1&gt;20),(AB1&lt;=25)),25,IF(AND((AB1&gt;25),(AB1&lt;=30)),30,IF(AND((AB1&gt;30),(AB1&lt;=35)),35,IF(AND((AB1&gt;35),(AB1&lt;=40)),40,IF(AND((AB1&gt;40),(AB1&lt;=45)),45,IF(AND((AB1&gt;45),(AB1&lt;=50)),50,IF(AND((AB1&gt;50),(AB1&lt;=55)),55,IF(AND((AB1&gt;55),(AB1&lt;=60)),60,0))))))))))))</calculatedColumnFormula>
    </tableColumn>
    <tableColumn id="3" xr3:uid="{00000000-0010-0000-1000-000003000000}" name="بيان" totalsRowLabel="Total" dataDxfId="237" totalsRowDxfId="233"/>
    <tableColumn id="11" xr3:uid="{00000000-0010-0000-1000-00000B000000}" name="Column2" dataDxfId="237" totalsRowDxfId="233"/>
    <tableColumn id="10" xr3:uid="{00000000-0010-0000-1000-00000A000000}" name="Column1" dataDxfId="237" totalsRowDxfId="233"/>
    <tableColumn id="12" xr3:uid="{00000000-0010-0000-1000-00000C000000}" name="Column12" dataDxfId="237" totalsRowDxfId="233"/>
    <tableColumn id="4" xr3:uid="{00000000-0010-0000-1000-000004000000}" name="الوحده" totalsRowLabel="total" dataDxfId="237" totalsRowDxfId="233"/>
    <tableColumn id="5" xr3:uid="{00000000-0010-0000-1000-000005000000}" name="الوزن" dataDxfId="234" totalsRowDxfId="233">
      <calculatedColumnFormula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calculatedColumnFormula>
    </tableColumn>
    <tableColumn id="6" xr3:uid="{00000000-0010-0000-1000-000006000000}" name="سعر الكيلو" dataDxfId="237" totalsRowDxfId="233">
      <calculatedColumnFormula>Sheet2!B7</calculatedColumnFormula>
    </tableColumn>
    <tableColumn id="7" xr3:uid="{00000000-0010-0000-1000-000007000000}" name="سعر الشبك " dataDxfId="306" totalsRowDxfId="231"/>
    <tableColumn id="8" xr3:uid="{00000000-0010-0000-1000-000008000000}" name="اجمالي" totalsRowFunction="sum" dataDxfId="230" totalsRowDxfId="229">
      <calculatedColumnFormula>B36*Table1319[[#This Row],[سعر الكيلو]]</calculatedColumnFormula>
    </tableColumn>
    <tableColumn id="9" xr3:uid="{00000000-0010-0000-1000-000009000000}" name="%" totalsRowFunction="custom" totalsRowDxfId="228">
      <calculatedColumnFormula>Table1319[[#Totals],[اجمالي]]/$G$85</calculatedColumnFormula>
      <totalsRowFormula>Table1319[[#Totals],[اجمالي]]/$G$85</totalsRowFormula>
    </tableColumn>
  </tableColumns>
  <tableStyleInfo name="TableStyleLight16"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00000000-000C-0000-FFFF-FFFF11000000}" name="Table1421" displayName="Table1421" ref="A12:L15" totalsRowCount="1">
  <autoFilter ref="A12:L14" xr:uid="{00000000-0009-0000-0100-000014000000}"/>
  <tableColumns count="12">
    <tableColumn id="1" xr3:uid="{00000000-0010-0000-1100-000001000000}" name="م" totalsRowLabel="Total" dataDxfId="237" totalsRowDxfId="233"/>
    <tableColumn id="2" xr3:uid="{00000000-0010-0000-1100-000002000000}" name="عدد" dataDxfId="237" totalsRowDxfId="233">
      <calculatedColumnFormula>IF((تسعير!X30&lt;800),0,IF(AND((تسعير!X30&gt;800),(600&gt;=تسعير!AA32)),1,0))</calculatedColumnFormula>
    </tableColumn>
    <tableColumn id="3" xr3:uid="{00000000-0010-0000-1100-000003000000}" name="بيان" totalsRowLabel="Total" dataDxfId="237" totalsRowDxfId="233"/>
    <tableColumn id="11" xr3:uid="{00000000-0010-0000-1100-00000B000000}" name="Column2" dataDxfId="237" totalsRowDxfId="233"/>
    <tableColumn id="10" xr3:uid="{00000000-0010-0000-1100-00000A000000}" name="Column1" dataDxfId="237" totalsRowDxfId="233"/>
    <tableColumn id="12" xr3:uid="{00000000-0010-0000-1100-00000C000000}" name="Column12" totalsRowFunction="sum" dataDxfId="234" totalsRowDxfId="233">
      <calculatedColumnFormula>(Table1421[[#This Row],[Column1]]+Table1421[[#This Row],[Column2]])*12*Table1421[[#This Row],[عدد]]</calculatedColumnFormula>
    </tableColumn>
    <tableColumn id="4" xr3:uid="{00000000-0010-0000-1100-000004000000}" name="الوحده" dataDxfId="237" totalsRowDxfId="233"/>
    <tableColumn id="5" xr3:uid="{00000000-0010-0000-1100-000005000000}" name="الوزن" totalsRowFunction="custom" dataDxfId="237" totalsRowDxfId="233">
      <totalsRowFormula>H13*B13+H14*B14</totalsRowFormula>
    </tableColumn>
    <tableColumn id="6" xr3:uid="{00000000-0010-0000-1100-000006000000}" name="سعر الكيلو" totalsRowFunction="sum" dataDxfId="234" totalsRowDxfId="233">
      <calculatedColumnFormula>Table1421[[#This Row],[الوزن]]*Table1421[[#This Row],[عدد]]</calculatedColumnFormula>
    </tableColumn>
    <tableColumn id="7" xr3:uid="{00000000-0010-0000-1100-000007000000}" name="سعر الشبك " dataDxfId="306" totalsRowDxfId="1328">
      <calculatedColumnFormula>H13*$I$2/1000</calculatedColumnFormula>
    </tableColumn>
    <tableColumn id="8" xr3:uid="{00000000-0010-0000-1100-000008000000}" name="اجمالي" totalsRowFunction="sum" dataDxfId="230" totalsRowDxfId="229">
      <calculatedColumnFormula>B13*J13</calculatedColumnFormula>
    </tableColumn>
    <tableColumn id="9" xr3:uid="{00000000-0010-0000-1100-000009000000}" name="%" totalsRowFunction="custom" totalsRowDxfId="228">
      <calculatedColumnFormula>Table1421[[#Totals],[اجمالي]]/$G$85</calculatedColumnFormula>
      <totalsRowFormula>Table1421[[#Totals],[اجمالي]]/$G$85</totalsRowFormula>
    </tableColumn>
  </tableColumns>
  <tableStyleInfo name="TableStyleLight16"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00000000-000C-0000-FFFF-FFFF12000000}" name="Table1522" displayName="Table1522" ref="A17:L28" totalsRowCount="1">
  <autoFilter ref="A17:L27" xr:uid="{00000000-0009-0000-0100-000015000000}"/>
  <tableColumns count="12">
    <tableColumn id="1" xr3:uid="{00000000-0010-0000-1200-000001000000}" name="م" totalsRowLabel="Total" dataDxfId="237" totalsRowDxfId="278"/>
    <tableColumn id="2" xr3:uid="{00000000-0010-0000-1200-000002000000}" name="عدد" dataDxfId="234" totalsRowDxfId="278">
      <calculatedColumnFormula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calculatedColumnFormula>
    </tableColumn>
    <tableColumn id="3" xr3:uid="{00000000-0010-0000-1200-000003000000}" name="بيان" totalsRowLabel="Total" dataDxfId="237" totalsRowDxfId="278"/>
    <tableColumn id="11" xr3:uid="{00000000-0010-0000-1200-00000B000000}" name="Column2" dataDxfId="237" totalsRowDxfId="278"/>
    <tableColumn id="10" xr3:uid="{00000000-0010-0000-1200-00000A000000}" name="Column1" dataDxfId="237" totalsRowDxfId="278"/>
    <tableColumn id="12" xr3:uid="{00000000-0010-0000-1200-00000C000000}" name="Column12" dataDxfId="239" totalsRowDxfId="93"/>
    <tableColumn id="4" xr3:uid="{00000000-0010-0000-1200-000004000000}" name="الوحده" dataDxfId="237" totalsRowDxfId="278"/>
    <tableColumn id="5" xr3:uid="{00000000-0010-0000-1200-000005000000}" name="الوزن" dataDxfId="237" totalsRowDxfId="278"/>
    <tableColumn id="6" xr3:uid="{00000000-0010-0000-1200-000006000000}" name="سعر الكيلو" dataDxfId="237" totalsRowDxfId="278"/>
    <tableColumn id="7" xr3:uid="{00000000-0010-0000-1200-000007000000}" name="سعر الشبك " dataDxfId="306" totalsRowDxfId="276">
      <calculatedColumnFormula>Sheet2!B22</calculatedColumnFormula>
    </tableColumn>
    <tableColumn id="8" xr3:uid="{00000000-0010-0000-1200-000008000000}" name="اجمالي" totalsRowFunction="sum" dataDxfId="230" totalsRowDxfId="274">
      <calculatedColumnFormula>B18*J18</calculatedColumnFormula>
    </tableColumn>
    <tableColumn id="9" xr3:uid="{00000000-0010-0000-1200-000009000000}" name="%" totalsRowFunction="custom" totalsRowDxfId="273">
      <calculatedColumnFormula>Table1522[[#Totals],[اجمالي]]/$G$85</calculatedColumnFormula>
      <totalsRowFormula>Table1522[[#Totals],[اجمالي]]/$G$85</totalsRowFormula>
    </tableColumn>
  </tableColumns>
  <tableStyleInfo name="TableStyleLight16"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00000000-000C-0000-FFFF-FFFF13000000}" name="Table1624" displayName="Table1624" ref="A30:L33" totalsRowCount="1">
  <autoFilter ref="A30:L32" xr:uid="{00000000-0009-0000-0100-000017000000}"/>
  <tableColumns count="12">
    <tableColumn id="1" xr3:uid="{00000000-0010-0000-1300-000001000000}" name="م" totalsRowLabel="Total" dataDxfId="237"/>
    <tableColumn id="2" xr3:uid="{00000000-0010-0000-1300-000002000000}" name="عدد" totalsRowFunction="count" dataDxfId="234">
      <calculatedColumnFormula>B30*4</calculatedColumnFormula>
    </tableColumn>
    <tableColumn id="3" xr3:uid="{00000000-0010-0000-1300-000003000000}" name="بيان" totalsRowLabel="Total" dataDxfId="237"/>
    <tableColumn id="11" xr3:uid="{00000000-0010-0000-1300-00000B000000}" name="Column2" dataDxfId="237"/>
    <tableColumn id="10" xr3:uid="{00000000-0010-0000-1300-00000A000000}" name="Column1" dataDxfId="237"/>
    <tableColumn id="12" xr3:uid="{00000000-0010-0000-1300-00000C000000}" name="Column12" totalsRowFunction="sum" dataDxfId="239">
      <calculatedColumnFormula>(Table1624[[#This Row],[Column1]]*Table1624[[#This Row],[Column2]])*Table1624[[#This Row],[عدد]]</calculatedColumnFormula>
    </tableColumn>
    <tableColumn id="4" xr3:uid="{00000000-0010-0000-1300-000004000000}" name="الوحده" dataDxfId="237"/>
    <tableColumn id="5" xr3:uid="{00000000-0010-0000-1300-000005000000}" name="الوزن" totalsRowFunction="custom">
      <totalsRowFormula>H31*B31+H32*B32</totalsRowFormula>
    </tableColumn>
    <tableColumn id="6" xr3:uid="{00000000-0010-0000-1300-000006000000}" name="سعر الكيلو" dataDxfId="234">
      <calculatedColumnFormula>$H$2/1000</calculatedColumnFormula>
    </tableColumn>
    <tableColumn id="7" xr3:uid="{00000000-0010-0000-1300-000007000000}" name="سعر الشبك " dataDxfId="306">
      <calculatedColumnFormula>H31*$H$2/1000</calculatedColumnFormula>
    </tableColumn>
    <tableColumn id="8" xr3:uid="{00000000-0010-0000-1300-000008000000}" name="اجمالي" totalsRowFunction="sum" dataDxfId="230">
      <calculatedColumnFormula>B31*J31</calculatedColumnFormula>
    </tableColumn>
    <tableColumn id="9" xr3:uid="{00000000-0010-0000-1300-000009000000}" name="%" totalsRowFunction="custom">
      <calculatedColumnFormula>Table1624[[#Totals],[اجمالي]]/$G$85</calculatedColumnFormula>
      <totalsRowFormula>Table1624[[#Totals],[اجمالي]]/$G$85</totalsRowFormula>
    </tableColumn>
  </tableColumns>
  <tableStyleInfo name="TableStyleLight16"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00000000-000C-0000-FFFF-FFFF14000000}" name="Table625" displayName="Table625" ref="Y4:AB18" totalsRowShown="0">
  <autoFilter ref="Y4:AB18" xr:uid="{00000000-0009-0000-0100-000018000000}"/>
  <tableColumns count="4">
    <tableColumn id="1" xr3:uid="{00000000-0010-0000-1400-000001000000}" name="المادة" dataDxfId="255"/>
    <tableColumn id="2" xr3:uid="{00000000-0010-0000-1400-000002000000}" name="المعدل" dataDxfId="255"/>
    <tableColumn id="3" xr3:uid="{00000000-0010-0000-1400-000003000000}" name="الوحدة" dataDxfId="255"/>
    <tableColumn id="4" xr3:uid="{00000000-0010-0000-1400-000004000000}" name="Column4" dataDxfId="299"/>
  </tableColumns>
  <tableStyleInfo name="TableStyleLight16"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0000000-000C-0000-FFFF-FFFF15000000}" name="Table161027" displayName="Table161027" ref="A53:L56" totalsRowCount="1">
  <autoFilter ref="A53:L55" xr:uid="{00000000-0009-0000-0100-00001A000000}"/>
  <tableColumns count="12">
    <tableColumn id="1" xr3:uid="{00000000-0010-0000-1500-000001000000}" name="م" totalsRowLabel="Total" dataDxfId="237"/>
    <tableColumn id="2" xr3:uid="{00000000-0010-0000-1500-000002000000}" name="عدد" dataDxfId="1286">
      <calculatedColumnFormula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calculatedColumnFormula>
    </tableColumn>
    <tableColumn id="3" xr3:uid="{00000000-0010-0000-1500-000003000000}" name="بيان" totalsRowLabel="Total" dataDxfId="252"/>
    <tableColumn id="11" xr3:uid="{00000000-0010-0000-1500-00000B000000}" name="Column2" dataDxfId="252"/>
    <tableColumn id="10" xr3:uid="{00000000-0010-0000-1500-00000A000000}" name="Column1" dataDxfId="266"/>
    <tableColumn id="12" xr3:uid="{00000000-0010-0000-1500-00000C000000}" name="Column12" totalsRowFunction="sum" dataDxfId="1282"/>
    <tableColumn id="4" xr3:uid="{00000000-0010-0000-1500-000004000000}" name="الوحده" dataDxfId="1281"/>
    <tableColumn id="5" xr3:uid="{00000000-0010-0000-1500-000005000000}" name="الوزن" dataDxfId="1280"/>
    <tableColumn id="6" xr3:uid="{00000000-0010-0000-1500-000006000000}" name="سعر الكيلو" dataDxfId="266"/>
    <tableColumn id="7" xr3:uid="{00000000-0010-0000-1500-000007000000}" name="سعر الشبك " dataDxfId="263">
      <calculatedColumnFormula>Sheet2!B31</calculatedColumnFormula>
    </tableColumn>
    <tableColumn id="8" xr3:uid="{00000000-0010-0000-1500-000008000000}" name="اجمالي" totalsRowFunction="sum" dataDxfId="230">
      <calculatedColumnFormula>B54*J54</calculatedColumnFormula>
    </tableColumn>
    <tableColumn id="9" xr3:uid="{00000000-0010-0000-1500-000009000000}" name="%" totalsRowFunction="custom">
      <calculatedColumnFormula>Table161027[[#Totals],[اجمالي]]/$G$85</calculatedColumnFormula>
      <totalsRowFormula>Table161027[[#Totals],[اجمالي]]/$G$85</totalsRowFormula>
    </tableColumn>
  </tableColumns>
  <tableStyleInfo name="TableStyleLight16"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00000000-000C-0000-FFFF-FFFF16000000}" name="Table161128" displayName="Table161128" ref="A58:L62" totalsRowCount="1">
  <autoFilter ref="A58:L61" xr:uid="{00000000-0009-0000-0100-00001B000000}"/>
  <tableColumns count="12">
    <tableColumn id="1" xr3:uid="{00000000-0010-0000-1600-000001000000}" name="م" totalsRowLabel="Total" dataDxfId="237" totalsRowDxfId="278"/>
    <tableColumn id="2" xr3:uid="{00000000-0010-0000-1600-000002000000}" name="عدد" dataDxfId="237" totalsRowDxfId="278">
      <calculatedColumnFormula>IF((F80="الاسكندرية"),0.25,0.1)</calculatedColumnFormula>
    </tableColumn>
    <tableColumn id="3" xr3:uid="{00000000-0010-0000-1600-000003000000}" name="بيان برجولا رويال" totalsRowLabel="Total" dataDxfId="237" totalsRowDxfId="278"/>
    <tableColumn id="12" xr3:uid="{00000000-0010-0000-1600-00000C000000}" name="Column12" totalsRowFunction="sum" dataDxfId="239" totalsRowDxfId="93"/>
    <tableColumn id="5" xr3:uid="{00000000-0010-0000-1600-000005000000}" name="Column1" dataDxfId="237" totalsRowDxfId="278"/>
    <tableColumn id="11" xr3:uid="{00000000-0010-0000-1600-00000B000000}" name="العرض" dataDxfId="252" totalsRowDxfId="278"/>
    <tableColumn id="10" xr3:uid="{00000000-0010-0000-1600-00000A000000}" name="الامتداد" dataDxfId="234" totalsRowDxfId="278"/>
    <tableColumn id="4" xr3:uid="{00000000-0010-0000-1600-000004000000}" name="سعر المتر" dataDxfId="266" totalsRowDxfId="278"/>
    <tableColumn id="6" xr3:uid="{00000000-0010-0000-1600-000006000000}" name="Column2" dataDxfId="287" totalsRowDxfId="278"/>
    <tableColumn id="7" xr3:uid="{00000000-0010-0000-1600-000007000000}" name="سعر البرجولا كاملة" dataDxfId="306" totalsRowDxfId="276">
      <calculatedColumnFormula>K58</calculatedColumnFormula>
    </tableColumn>
    <tableColumn id="8" xr3:uid="{00000000-0010-0000-1600-000008000000}" name="اجمالي" totalsRowFunction="sum" dataDxfId="230" totalsRowDxfId="274">
      <calculatedColumnFormula>Table161128[[#This Row],[عدد]]*Table161128[[#This Row],[سعر البرجولا كاملة]]</calculatedColumnFormula>
    </tableColumn>
    <tableColumn id="9" xr3:uid="{00000000-0010-0000-1600-000009000000}" name="%" totalsRowFunction="custom" totalsRowDxfId="273">
      <calculatedColumnFormula>Table161128[[#Totals],[اجمالي]]/$G$85</calculatedColumnFormula>
      <totalsRowFormula>Table161128[[#Totals],[اجمالي]]/$G$85</totalsRowFormula>
    </tableColumn>
  </tableColumns>
  <tableStyleInfo name="TableStyleLight16"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00000000-000C-0000-FFFF-FFFF17000000}" name="Table161229" displayName="Table161229" ref="A68:L82" totalsRowCount="1">
  <autoFilter ref="A68:L81" xr:uid="{00000000-0009-0000-0100-00001C000000}"/>
  <tableColumns count="12">
    <tableColumn id="1" xr3:uid="{00000000-0010-0000-1700-000001000000}" name="م" totalsRowLabel="Total" dataDxfId="237" totalsRowDxfId="278"/>
    <tableColumn id="2" xr3:uid="{00000000-0010-0000-1700-000002000000}" name="عدد" dataDxfId="250" totalsRowDxfId="278">
      <calculatedColumnFormula>B66</calculatedColumnFormula>
    </tableColumn>
    <tableColumn id="3" xr3:uid="{00000000-0010-0000-1700-000003000000}" name="بيان" totalsRowLabel="Total" dataDxfId="289" totalsRowDxfId="278"/>
    <tableColumn id="5" xr3:uid="{00000000-0010-0000-1700-000005000000}" name="اليومية / الاجرة" dataDxfId="289" totalsRowDxfId="278"/>
    <tableColumn id="6" xr3:uid="{00000000-0010-0000-1700-000006000000}" name="بدل الوجبة" dataDxfId="287" totalsRowDxfId="278"/>
    <tableColumn id="11" xr3:uid="{00000000-0010-0000-1700-00000B000000}" name="موقع العمل" dataDxfId="252" totalsRowDxfId="278">
      <calculatedColumnFormula>تسعير!$T$24</calculatedColumnFormula>
    </tableColumn>
    <tableColumn id="10" xr3:uid="{00000000-0010-0000-1700-00000A000000}" name="شيفت العمل" dataDxfId="237" totalsRowDxfId="278"/>
    <tableColumn id="12" xr3:uid="{00000000-0010-0000-1700-00000C000000}" name="Column12" totalsRowFunction="sum" dataDxfId="239" totalsRowDxfId="93">
      <calculatedColumnFormula>SUMIF(Table1731[Column1],Table161229[[#This Row],[موقع العمل]],$T$2:$T$26)</calculatedColumnFormula>
    </tableColumn>
    <tableColumn id="4" xr3:uid="{00000000-0010-0000-1700-000004000000}" name="عدد الايام" dataDxfId="279" totalsRowDxfId="278"/>
    <tableColumn id="7" xr3:uid="{00000000-0010-0000-1700-000007000000}" name="اجمالي التكلفة للعامل" dataDxfId="277" totalsRowDxfId="276">
      <calculatedColumnFormula>Table161229[[#This Row],[Column12]]</calculatedColumnFormula>
    </tableColumn>
    <tableColumn id="8" xr3:uid="{00000000-0010-0000-1700-000008000000}" name="اجمالي" totalsRowFunction="sum" dataDxfId="230" totalsRowDxfId="274">
      <calculatedColumnFormula>B69*J69</calculatedColumnFormula>
    </tableColumn>
    <tableColumn id="9" xr3:uid="{00000000-0010-0000-1700-000009000000}" name="%" totalsRowFunction="custom" totalsRowDxfId="273">
      <calculatedColumnFormula>Table161229[[#Totals],[اجمالي]]/$G$85</calculatedColumnFormula>
      <totalsRowFormula>Table161229[[#Totals],[اجمالي]]/$G$85</totalsRowFormula>
    </tableColumn>
  </tableColumns>
  <tableStyleInfo name="TableStyleLight16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2000000}" name="Table2020" displayName="Table2020" ref="G5:I6" totalsRowShown="0">
  <autoFilter ref="G5:I6" xr:uid="{00000000-0009-0000-0100-000013000000}"/>
  <tableColumns count="3">
    <tableColumn id="1" xr3:uid="{00000000-0010-0000-0200-000001000000}" name="Column1">
      <calculatedColumnFormula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calculatedColumnFormula>
    </tableColumn>
    <tableColumn id="2" xr3:uid="{00000000-0010-0000-0200-000002000000}" name="Column2">
      <calculatedColumnFormula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calculatedColumnFormula>
    </tableColumn>
    <tableColumn id="3" xr3:uid="{00000000-0010-0000-0200-000003000000}" name="Column3" dataDxfId="139">
      <calculatedColumnFormula>Table118[[#Totals],[اجمالي]]+Table1421[[#Totals],[اجمالي]]+Table1522[[#Totals],[اجمالي]]+Table1624[[#Totals],[اجمالي]]+Table1319[[#Totals],[اجمالي]]+Table161027[[#Totals],[اجمالي]]</calculatedColumnFormula>
    </tableColumn>
  </tableColumns>
  <tableStyleInfo name="TableStyleLight17"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00000000-000C-0000-FFFF-FFFF18000000}" name="Table161330" displayName="Table161330" ref="A64:L66" totalsRowCount="1">
  <autoFilter ref="A64:L65" xr:uid="{00000000-0009-0000-0100-00001D000000}"/>
  <tableColumns count="12">
    <tableColumn id="1" xr3:uid="{00000000-0010-0000-1800-000001000000}" name="م" totalsRowLabel="Total" dataDxfId="252" totalsRowDxfId="233"/>
    <tableColumn id="2" xr3:uid="{00000000-0010-0000-1800-000002000000}" name="عدد" dataDxfId="250" totalsRowDxfId="233">
      <calculatedColumnFormula>IF((تسعير!T25="جلفنة و جوتن"),(Table118[[#Totals],[اجمالي الميزان]]+Table1624[[#Totals],[الوزن]]+Table1421[[#Totals],[الوزن]]),0)</calculatedColumnFormula>
    </tableColumn>
    <tableColumn id="3" xr3:uid="{00000000-0010-0000-1800-000003000000}" name="بيان" totalsRowLabel="Total" dataDxfId="252" totalsRowDxfId="233"/>
    <tableColumn id="11" xr3:uid="{00000000-0010-0000-1800-00000B000000}" name="Column2" dataDxfId="252" totalsRowDxfId="233"/>
    <tableColumn id="10" xr3:uid="{00000000-0010-0000-1800-00000A000000}" name="Column1" dataDxfId="252" totalsRowDxfId="233"/>
    <tableColumn id="12" xr3:uid="{00000000-0010-0000-1800-00000C000000}" name="Column12" totalsRowFunction="sum" dataDxfId="267" totalsRowDxfId="238"/>
    <tableColumn id="4" xr3:uid="{00000000-0010-0000-1800-000004000000}" name="الوحده" dataDxfId="266" totalsRowDxfId="233"/>
    <tableColumn id="5" xr3:uid="{00000000-0010-0000-1800-000005000000}" name="الوزن" dataDxfId="252" totalsRowDxfId="233"/>
    <tableColumn id="6" xr3:uid="{00000000-0010-0000-1800-000006000000}" name="سعر الكيلو" dataDxfId="252" totalsRowDxfId="233"/>
    <tableColumn id="7" xr3:uid="{00000000-0010-0000-1800-000007000000}" name="سعر الشبك " dataDxfId="263" totalsRowDxfId="231"/>
    <tableColumn id="8" xr3:uid="{00000000-0010-0000-1800-000008000000}" name="اجمالي" totalsRowFunction="sum" dataDxfId="230" totalsRowDxfId="229">
      <calculatedColumnFormula>B65*Table161330[[#This Row],[سعر الشبك ]]</calculatedColumnFormula>
    </tableColumn>
    <tableColumn id="9" xr3:uid="{00000000-0010-0000-1800-000009000000}" name="%" totalsRowFunction="custom" totalsRowDxfId="125" dataCellStyle="Percent">
      <calculatedColumnFormula>Table161330[[#Totals],[اجمالي]]/$G$85</calculatedColumnFormula>
      <totalsRowFormula>Table161330[[#Totals],[اجمالي]]/$G$85</totalsRowFormula>
    </tableColumn>
  </tableColumns>
  <tableStyleInfo name="TableStyleLight16"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00000000-000C-0000-FFFF-FFFF19000000}" name="Table1731" displayName="Table1731" ref="N1:T20" totalsRowShown="0">
  <autoFilter ref="N1:T20" xr:uid="{00000000-0009-0000-0100-00001E000000}"/>
  <tableColumns count="7">
    <tableColumn id="1" xr3:uid="{00000000-0010-0000-1900-000001000000}" name="Column1" dataDxfId="255"/>
    <tableColumn id="2" xr3:uid="{00000000-0010-0000-1900-000002000000}" name="خارجي" dataDxfId="935"/>
    <tableColumn id="3" xr3:uid="{00000000-0010-0000-1900-000003000000}" name="داخلي" dataDxfId="935"/>
    <tableColumn id="4" xr3:uid="{00000000-0010-0000-1900-000004000000}" name="بدل الوجبة" dataDxfId="935"/>
    <tableColumn id="5" xr3:uid="{00000000-0010-0000-1900-000005000000}" name="دبابة" dataDxfId="935"/>
    <tableColumn id="6" xr3:uid="{00000000-0010-0000-1900-000006000000}" name="جامبو" dataDxfId="935"/>
    <tableColumn id="7" xr3:uid="{00000000-0010-0000-1900-000007000000}" name="الاقامة" dataDxfId="935"/>
  </tableColumns>
  <tableStyleInfo name="TableStyleLight16"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00000000-000C-0000-FFFF-FFFF1A000000}" name="Table1832" displayName="Table1832" ref="C84:G86" totalsRowShown="0">
  <autoFilter ref="C84:G86" xr:uid="{00000000-0009-0000-0100-00001F000000}"/>
  <tableColumns count="5">
    <tableColumn id="1" xr3:uid="{00000000-0010-0000-1A00-000001000000}" name="Column1" dataDxfId="252"/>
    <tableColumn id="4" xr3:uid="{00000000-0010-0000-1A00-000004000000}" name="Column22" dataDxfId="252"/>
    <tableColumn id="5" xr3:uid="{00000000-0010-0000-1A00-000005000000}" name="Column23" dataDxfId="252"/>
    <tableColumn id="3" xr3:uid="{00000000-0010-0000-1A00-000003000000}" name="Column3" dataDxfId="251">
      <calculatedColumnFormula>IF((F80="المقطم"),0.3,IF((F80="التجمع"),0.3,IF((F80="الشيخ زايد"),0.3,IF((F80="الاسكندرية"),0.5,IF((F74="الساحل"),0.5,0.35)))))</calculatedColumnFormula>
    </tableColumn>
    <tableColumn id="2" xr3:uid="{00000000-0010-0000-1A00-000002000000}" name="Column2" dataDxfId="250">
      <calculatedColumnFormula>G84*(1+Table1832[[#This Row],[Column3]])</calculatedColumnFormula>
    </tableColumn>
  </tableColumns>
  <tableStyleInfo name="TableStyleLight16"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1B000000}" name="Table8" displayName="Table8" ref="A2:J15" totalsRowCount="1">
  <autoFilter ref="A2:J14" xr:uid="{00000000-0009-0000-0100-000008000000}"/>
  <tableColumns count="10">
    <tableColumn id="7" xr3:uid="{00000000-0010-0000-1B00-000007000000}" name="Column7" totalsRowLabel="Total" dataDxfId="878" totalsRowDxfId="1037"/>
    <tableColumn id="6" xr3:uid="{00000000-0010-0000-1B00-000006000000}" name="الطول بالمتر" dataDxfId="878" totalsRowDxfId="1037"/>
    <tableColumn id="5" xr3:uid="{00000000-0010-0000-1B00-000005000000}" name="وزن المتر " dataDxfId="878" totalsRowDxfId="1037"/>
    <tableColumn id="4" xr3:uid="{00000000-0010-0000-1B00-000004000000}" name="سعر الكيلو" dataDxfId="878" totalsRowDxfId="1037"/>
    <tableColumn id="3" xr3:uid="{00000000-0010-0000-1B00-000003000000}" name="اجمالي عدد " totalsRowFunction="custom" totalsRowDxfId="1037">
      <totalsRowFormula>Table8[[#Totals],[اجمالي التكلفة]]/B1</totalsRowFormula>
    </tableColumn>
    <tableColumn id="2" xr3:uid="{00000000-0010-0000-1B00-000002000000}" name="اجمالي التكلفة" totalsRowFunction="sum" dataDxfId="1046" totalsRowDxfId="1045">
      <calculatedColumnFormula>B3*D3</calculatedColumnFormula>
    </tableColumn>
    <tableColumn id="9" xr3:uid="{00000000-0010-0000-1B00-000009000000}" name="Column1" dataDxfId="878" totalsRowDxfId="1037"/>
    <tableColumn id="10" xr3:uid="{00000000-0010-0000-1B00-00000A000000}" name="Column2" dataDxfId="878" totalsRowDxfId="1037"/>
    <tableColumn id="11" xr3:uid="{00000000-0010-0000-1B00-00000B000000}" name="Column3" dataDxfId="878" totalsRowDxfId="1037"/>
    <tableColumn id="12" xr3:uid="{00000000-0010-0000-1B00-00000C000000}" name="Column4" dataDxfId="878" totalsRowDxfId="1037"/>
  </tableColumns>
  <tableStyleInfo name="TableStyleLight16"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8" xr:uid="{00000000-000C-0000-FFFF-FFFF1C000000}" name="Table1359" displayName="Table1359" ref="L25:W45" totalsRowCount="1">
  <autoFilter ref="L25:W44" xr:uid="{00000000-0009-0000-0100-00003A000000}"/>
  <tableColumns count="12">
    <tableColumn id="1" xr3:uid="{00000000-0010-0000-1C00-000001000000}" name="م" totalsRowLabel="Total" dataDxfId="237" totalsRowDxfId="233"/>
    <tableColumn id="2" xr3:uid="{00000000-0010-0000-1C00-000002000000}" name="عدد" dataDxfId="234" totalsRowDxfId="233"/>
    <tableColumn id="3" xr3:uid="{00000000-0010-0000-1C00-000003000000}" name="بيان" totalsRowLabel="Total" dataDxfId="237" totalsRowDxfId="233"/>
    <tableColumn id="11" xr3:uid="{00000000-0010-0000-1C00-00000B000000}" name="Column2" dataDxfId="237" totalsRowDxfId="233"/>
    <tableColumn id="10" xr3:uid="{00000000-0010-0000-1C00-00000A000000}" name="Column1" dataDxfId="237" totalsRowDxfId="233"/>
    <tableColumn id="12" xr3:uid="{00000000-0010-0000-1C00-00000C000000}" name="Column12" dataDxfId="237" totalsRowDxfId="233"/>
    <tableColumn id="4" xr3:uid="{00000000-0010-0000-1C00-000004000000}" name="الوحده" totalsRowLabel="total" dataDxfId="237" totalsRowDxfId="233"/>
    <tableColumn id="5" xr3:uid="{00000000-0010-0000-1C00-000005000000}" name="الوزن" dataDxfId="237" totalsRowDxfId="233"/>
    <tableColumn id="6" xr3:uid="{00000000-0010-0000-1C00-000006000000}" name="سعر الكيلو" dataDxfId="237" totalsRowDxfId="233"/>
    <tableColumn id="7" xr3:uid="{00000000-0010-0000-1C00-000007000000}" name="سعر الشبك " dataDxfId="306" totalsRowDxfId="231">
      <calculatedColumnFormula>Sheet2!B2</calculatedColumnFormula>
    </tableColumn>
    <tableColumn id="8" xr3:uid="{00000000-0010-0000-1C00-000008000000}" name="اجمالي" totalsRowFunction="sum" dataDxfId="230" totalsRowDxfId="229">
      <calculatedColumnFormula>M26*U26</calculatedColumnFormula>
    </tableColumn>
    <tableColumn id="9" xr3:uid="{00000000-0010-0000-1C00-000009000000}" name="%" totalsRowFunction="custom" totalsRowDxfId="228">
      <calculatedColumnFormula>Table1359[[#Totals],[اجمالي]]/$R$71</calculatedColumnFormula>
      <totalsRowFormula>Table1359[[#Totals],[اجمالي]]/$R$71</totalsRowFormula>
    </tableColumn>
  </tableColumns>
  <tableStyleInfo name="TableStyleLight16" showFirstColumn="0" showLastColumn="0" showRowStripes="1" showColumnStripes="0"/>
</table>
</file>

<file path=xl/tables/table3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0" xr:uid="{00000000-000C-0000-FFFF-FFFF1D000000}" name="Table1561" displayName="Table1561" ref="L10:W18" totalsRowCount="1">
  <autoFilter ref="L10:W17" xr:uid="{00000000-0009-0000-0100-00003C000000}"/>
  <sortState xmlns:xlrd2="http://schemas.microsoft.com/office/spreadsheetml/2017/richdata2" ref="L10:W17">
    <sortCondition ref="L10:L27"/>
  </sortState>
  <tableColumns count="12">
    <tableColumn id="1" xr3:uid="{00000000-0010-0000-1D00-000001000000}" name="م" totalsRowLabel="Total" dataDxfId="237" totalsRowDxfId="233"/>
    <tableColumn id="2" xr3:uid="{00000000-0010-0000-1D00-000002000000}" name="عدد" dataDxfId="234" totalsRowDxfId="233"/>
    <tableColumn id="3" xr3:uid="{00000000-0010-0000-1D00-000003000000}" name="بيان" totalsRowLabel="Total" dataDxfId="237" totalsRowDxfId="233"/>
    <tableColumn id="11" xr3:uid="{00000000-0010-0000-1D00-00000B000000}" name="Column2" dataDxfId="237" totalsRowDxfId="233"/>
    <tableColumn id="10" xr3:uid="{00000000-0010-0000-1D00-00000A000000}" name="Column1" dataDxfId="237" totalsRowDxfId="233"/>
    <tableColumn id="12" xr3:uid="{00000000-0010-0000-1D00-00000C000000}" name="Column12" dataDxfId="239" totalsRowDxfId="238"/>
    <tableColumn id="4" xr3:uid="{00000000-0010-0000-1D00-000004000000}" name="الوحده" dataDxfId="237" totalsRowDxfId="233"/>
    <tableColumn id="5" xr3:uid="{00000000-0010-0000-1D00-000005000000}" name="الوزن" dataDxfId="237" totalsRowDxfId="233"/>
    <tableColumn id="6" xr3:uid="{00000000-0010-0000-1D00-000006000000}" name="سعر الكيلو" dataDxfId="237" totalsRowDxfId="233"/>
    <tableColumn id="7" xr3:uid="{00000000-0010-0000-1D00-000007000000}" name="سعر الشبك " dataDxfId="306" totalsRowDxfId="231">
      <calculatedColumnFormula>Sheet2!B24</calculatedColumnFormula>
    </tableColumn>
    <tableColumn id="8" xr3:uid="{00000000-0010-0000-1D00-000008000000}" name="اجمالي" totalsRowFunction="sum" dataDxfId="230" totalsRowDxfId="229">
      <calculatedColumnFormula>M11*U11</calculatedColumnFormula>
    </tableColumn>
    <tableColumn id="9" xr3:uid="{00000000-0010-0000-1D00-000009000000}" name="%" totalsRowFunction="custom" totalsRowDxfId="228">
      <calculatedColumnFormula>Table1561[[#Totals],[اجمالي]]/$R$71</calculatedColumnFormula>
      <totalsRowFormula>Table1561[[#Totals],[اجمالي]]/$R$71</totalsRowFormula>
    </tableColumn>
  </tableColumns>
  <tableStyleInfo name="TableStyleLight16" showFirstColumn="0" showLastColumn="0" showRowStripes="1" showColumnStripes="0"/>
</table>
</file>

<file path=xl/tables/table3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1" xr:uid="{00000000-000C-0000-FFFF-FFFF1E000000}" name="Table1662" displayName="Table1662" ref="L20:W23" totalsRowCount="1">
  <autoFilter ref="L20:W22" xr:uid="{00000000-0009-0000-0100-00003D000000}"/>
  <tableColumns count="12">
    <tableColumn id="1" xr3:uid="{00000000-0010-0000-1E00-000001000000}" name="م" totalsRowLabel="Total" dataDxfId="237"/>
    <tableColumn id="2" xr3:uid="{00000000-0010-0000-1E00-000002000000}" name="عدد" totalsRowFunction="count" dataDxfId="237">
      <calculatedColumnFormula>M20*4</calculatedColumnFormula>
    </tableColumn>
    <tableColumn id="3" xr3:uid="{00000000-0010-0000-1E00-000003000000}" name="بيان" totalsRowLabel="Total" dataDxfId="237"/>
    <tableColumn id="11" xr3:uid="{00000000-0010-0000-1E00-00000B000000}" name="Column2" dataDxfId="237"/>
    <tableColumn id="10" xr3:uid="{00000000-0010-0000-1E00-00000A000000}" name="Column1" dataDxfId="237"/>
    <tableColumn id="12" xr3:uid="{00000000-0010-0000-1E00-00000C000000}" name="Column12" totalsRowFunction="sum" dataDxfId="239">
      <calculatedColumnFormula>(Table1662[[#This Row],[Column1]]*Table1662[[#This Row],[Column2]])*Table1662[[#This Row],[عدد]]</calculatedColumnFormula>
    </tableColumn>
    <tableColumn id="4" xr3:uid="{00000000-0010-0000-1E00-000004000000}" name="الوحده" dataDxfId="237"/>
    <tableColumn id="5" xr3:uid="{00000000-0010-0000-1E00-000005000000}" name="الوزن" totalsRowFunction="custom">
      <totalsRowFormula>(S21*M21)+(M22*S22)</totalsRowFormula>
    </tableColumn>
    <tableColumn id="6" xr3:uid="{00000000-0010-0000-1E00-000006000000}" name="سعر الكيلو" dataDxfId="234"/>
    <tableColumn id="7" xr3:uid="{00000000-0010-0000-1E00-000007000000}" name="سعر الشبك " dataDxfId="306">
      <calculatedColumnFormula>S21*$S$2/1000</calculatedColumnFormula>
    </tableColumn>
    <tableColumn id="8" xr3:uid="{00000000-0010-0000-1E00-000008000000}" name="اجمالي" totalsRowFunction="sum" dataDxfId="230">
      <calculatedColumnFormula>M21*U21</calculatedColumnFormula>
    </tableColumn>
    <tableColumn id="9" xr3:uid="{00000000-0010-0000-1E00-000009000000}" name="%" totalsRowFunction="custom">
      <calculatedColumnFormula>Table1662[[#Totals],[اجمالي]]/$R$71</calculatedColumnFormula>
      <totalsRowFormula>Table1662[[#Totals],[اجمالي]]/$R$71</totalsRowFormula>
    </tableColumn>
  </tableColumns>
  <tableStyleInfo name="TableStyleLight16" showFirstColumn="0" showLastColumn="0" showRowStripes="1" showColumnStripes="0"/>
</table>
</file>

<file path=xl/tables/table3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2" xr:uid="{00000000-000C-0000-FFFF-FFFF1F000000}" name="Table663" displayName="Table663" ref="AJ4:AM15" totalsRowShown="0">
  <autoFilter ref="AJ4:AM15" xr:uid="{00000000-0009-0000-0100-00003E000000}"/>
  <tableColumns count="4">
    <tableColumn id="1" xr3:uid="{00000000-0010-0000-1F00-000001000000}" name="المادة" dataDxfId="255"/>
    <tableColumn id="2" xr3:uid="{00000000-0010-0000-1F00-000002000000}" name="المعدل" dataDxfId="255"/>
    <tableColumn id="3" xr3:uid="{00000000-0010-0000-1F00-000003000000}" name="الوحدة" dataDxfId="255"/>
    <tableColumn id="4" xr3:uid="{00000000-0010-0000-1F00-000004000000}" name="Column4" dataDxfId="299"/>
  </tableColumns>
  <tableStyleInfo name="TableStyleLight16" showFirstColumn="0" showLastColumn="0" showRowStripes="1" showColumnStripes="0"/>
</table>
</file>

<file path=xl/tables/table3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3" xr:uid="{00000000-000C-0000-FFFF-FFFF20000000}" name="Table764" displayName="Table764" ref="AO4:AS19" totalsRowShown="0">
  <autoFilter ref="AO4:AS19" xr:uid="{00000000-0009-0000-0100-00003F000000}"/>
  <tableColumns count="5">
    <tableColumn id="1" xr3:uid="{00000000-0010-0000-2000-000001000000}" name="Column1" dataDxfId="255"/>
    <tableColumn id="2" xr3:uid="{00000000-0010-0000-2000-000002000000}" name="Column2" dataDxfId="299"/>
    <tableColumn id="3" xr3:uid="{00000000-0010-0000-2000-000003000000}" name="Column3" dataDxfId="255"/>
    <tableColumn id="4" xr3:uid="{00000000-0010-0000-2000-000004000000}" name="Column4" dataDxfId="255"/>
    <tableColumn id="5" xr3:uid="{00000000-0010-0000-2000-000005000000}" name="Column5" dataDxfId="255"/>
  </tableColumns>
  <tableStyleInfo name="TableStyleLight16" showFirstColumn="0" showLastColumn="0" showRowStripes="1" showColumnStripes="0"/>
</table>
</file>

<file path=xl/tables/table3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6" xr:uid="{00000000-000C-0000-FFFF-FFFF21000000}" name="Table161267" displayName="Table161267" ref="L54:W68" totalsRowCount="1">
  <autoFilter ref="L54:W67" xr:uid="{00000000-0009-0000-0100-000042000000}"/>
  <tableColumns count="12">
    <tableColumn id="1" xr3:uid="{00000000-0010-0000-2100-000001000000}" name="م" totalsRowLabel="Total" dataDxfId="237" totalsRowDxfId="278"/>
    <tableColumn id="2" xr3:uid="{00000000-0010-0000-2100-000002000000}" name="عدد" dataDxfId="250" totalsRowDxfId="278">
      <calculatedColumnFormula>IF((تسعير!$AU$14="بالتات"),0,M52-2)</calculatedColumnFormula>
    </tableColumn>
    <tableColumn id="3" xr3:uid="{00000000-0010-0000-2100-000003000000}" name="بيان" totalsRowLabel="Total" dataDxfId="289" totalsRowDxfId="278"/>
    <tableColumn id="5" xr3:uid="{00000000-0010-0000-2100-000005000000}" name="اليومية / الاجرة" dataDxfId="289" totalsRowDxfId="278"/>
    <tableColumn id="6" xr3:uid="{00000000-0010-0000-2100-000006000000}" name="بدل الوجبة" dataDxfId="287" totalsRowDxfId="278"/>
    <tableColumn id="11" xr3:uid="{00000000-0010-0000-2100-00000B000000}" name="موقع العمل" dataDxfId="252" totalsRowDxfId="278">
      <calculatedColumnFormula>تسعير!$AT$4</calculatedColumnFormula>
    </tableColumn>
    <tableColumn id="10" xr3:uid="{00000000-0010-0000-2100-00000A000000}" name="شيفت العمل" dataDxfId="237" totalsRowDxfId="278"/>
    <tableColumn id="12" xr3:uid="{00000000-0010-0000-2100-00000C000000}" name="Column12" totalsRowFunction="sum" dataDxfId="239" totalsRowDxfId="93">
      <calculatedColumnFormula>SUMIF(Table1769[Column1],Table161267[[#This Row],[موقع العمل]],$AE$2:$AE$8)</calculatedColumnFormula>
    </tableColumn>
    <tableColumn id="4" xr3:uid="{00000000-0010-0000-2100-000004000000}" name="عدد الايام" dataDxfId="279" totalsRowDxfId="278"/>
    <tableColumn id="7" xr3:uid="{00000000-0010-0000-2100-000007000000}" name="اجمالي التكلفة للعامل" dataDxfId="277" totalsRowDxfId="276">
      <calculatedColumnFormula>Table161267[[#This Row],[Column12]]</calculatedColumnFormula>
    </tableColumn>
    <tableColumn id="8" xr3:uid="{00000000-0010-0000-2100-000008000000}" name="اجمالي" totalsRowFunction="sum" dataDxfId="230" totalsRowDxfId="274">
      <calculatedColumnFormula>M55*U55</calculatedColumnFormula>
    </tableColumn>
    <tableColumn id="9" xr3:uid="{00000000-0010-0000-2100-000009000000}" name="%" totalsRowFunction="custom" totalsRowDxfId="273">
      <calculatedColumnFormula>Table161267[[#Totals],[اجمالي]]/$R$71</calculatedColumnFormula>
      <totalsRowFormula>Table161267[[#Totals],[اجمالي]]/$R$71</totalsRowFormula>
    </tableColumn>
  </tableColumns>
  <tableStyleInfo name="TableStyleLight16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1:B62">
  <autoFilter ref="A11:B62" xr:uid="{00000000-0009-0000-0100-000007000000}"/>
  <tableColumns count="2">
    <tableColumn id="1" xr3:uid="{00000000-0010-0000-0300-000001000000}" name="الخامة" totalsRowLabel="Total"/>
    <tableColumn id="2" xr3:uid="{00000000-0010-0000-0300-000002000000}" name="السعر" totalsRowFunction="sum"/>
  </tableColumns>
  <tableStyleInfo name="TableStyleMedium2" showFirstColumn="0" showLastColumn="0" showRowStripes="1" showColumnStripes="0"/>
</table>
</file>

<file path=xl/tables/table4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7" xr:uid="{00000000-000C-0000-FFFF-FFFF22000000}" name="Table161368" displayName="Table161368" ref="L48:W52" totalsRowCount="1">
  <autoFilter ref="L48:W51" xr:uid="{00000000-0009-0000-0100-000043000000}"/>
  <tableColumns count="12">
    <tableColumn id="1" xr3:uid="{00000000-0010-0000-2200-000001000000}" name="م" totalsRowLabel="Total" dataDxfId="252"/>
    <tableColumn id="2" xr3:uid="{00000000-0010-0000-2200-000002000000}" name="عدد" dataDxfId="250">
      <calculatedColumnFormula>IF((Q65="الاسكندرية"),0.25,0.1)</calculatedColumnFormula>
    </tableColumn>
    <tableColumn id="3" xr3:uid="{00000000-0010-0000-2200-000003000000}" name="بيان" totalsRowLabel="Total" dataDxfId="252"/>
    <tableColumn id="11" xr3:uid="{00000000-0010-0000-2200-00000B000000}" name="Column2" dataDxfId="252"/>
    <tableColumn id="10" xr3:uid="{00000000-0010-0000-2200-00000A000000}" name="Column1" dataDxfId="252"/>
    <tableColumn id="12" xr3:uid="{00000000-0010-0000-2200-00000C000000}" name="Column12" totalsRowFunction="sum" dataDxfId="267"/>
    <tableColumn id="4" xr3:uid="{00000000-0010-0000-2200-000004000000}" name="الوحده" dataDxfId="266"/>
    <tableColumn id="5" xr3:uid="{00000000-0010-0000-2200-000005000000}" name="الوزن" dataDxfId="252"/>
    <tableColumn id="6" xr3:uid="{00000000-0010-0000-2200-000006000000}" name="سعر الكيلو" dataDxfId="252"/>
    <tableColumn id="7" xr3:uid="{00000000-0010-0000-2200-000007000000}" name="سعر الشبك " dataDxfId="263">
      <calculatedColumnFormula>V48</calculatedColumnFormula>
    </tableColumn>
    <tableColumn id="8" xr3:uid="{00000000-0010-0000-2200-000008000000}" name="اجمالي" totalsRowFunction="sum" dataDxfId="230">
      <calculatedColumnFormula>M49*Table161368[[#This Row],[سعر الشبك ]]</calculatedColumnFormula>
    </tableColumn>
    <tableColumn id="9" xr3:uid="{00000000-0010-0000-2200-000009000000}" name="%" totalsRowFunction="custom">
      <calculatedColumnFormula>Table161368[[#Totals],[اجمالي]]/$R$71</calculatedColumnFormula>
      <totalsRowFormula>Table161368[[#Totals],[اجمالي]]/$R$71</totalsRowFormula>
    </tableColumn>
  </tableColumns>
  <tableStyleInfo name="TableStyleLight16" showFirstColumn="0" showLastColumn="0" showRowStripes="1" showColumnStripes="0"/>
</table>
</file>

<file path=xl/tables/table4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8" xr:uid="{00000000-000C-0000-FFFF-FFFF23000000}" name="Table1769" displayName="Table1769" ref="Y1:AE28" totalsRowShown="0">
  <autoFilter ref="Y1:AE28" xr:uid="{00000000-0009-0000-0100-000044000000}"/>
  <tableColumns count="7">
    <tableColumn id="1" xr3:uid="{00000000-0010-0000-2300-000001000000}" name="Column1" dataDxfId="255"/>
    <tableColumn id="2" xr3:uid="{00000000-0010-0000-2300-000002000000}" name="خارجي" dataDxfId="255"/>
    <tableColumn id="3" xr3:uid="{00000000-0010-0000-2300-000003000000}" name="داخلي" dataDxfId="255"/>
    <tableColumn id="4" xr3:uid="{00000000-0010-0000-2300-000004000000}" name="بدل الوجبة" dataDxfId="255"/>
    <tableColumn id="5" xr3:uid="{00000000-0010-0000-2300-000005000000}" name="دبابة" dataDxfId="255"/>
    <tableColumn id="6" xr3:uid="{00000000-0010-0000-2300-000006000000}" name="جامبو" dataDxfId="255"/>
    <tableColumn id="7" xr3:uid="{00000000-0010-0000-2300-000007000000}" name="الاقامة" dataDxfId="255"/>
  </tableColumns>
  <tableStyleInfo name="TableStyleLight16" showFirstColumn="0" showLastColumn="0" showRowStripes="1" showColumnStripes="0"/>
</table>
</file>

<file path=xl/tables/table4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9" xr:uid="{00000000-000C-0000-FFFF-FFFF24000000}" name="Table1870" displayName="Table1870" ref="N70:R72" totalsRowShown="0">
  <autoFilter ref="N70:R72" xr:uid="{00000000-0009-0000-0100-000045000000}"/>
  <tableColumns count="5">
    <tableColumn id="1" xr3:uid="{00000000-0010-0000-2400-000001000000}" name="Column1" dataDxfId="252"/>
    <tableColumn id="4" xr3:uid="{00000000-0010-0000-2400-000004000000}" name="Column22" dataDxfId="252"/>
    <tableColumn id="5" xr3:uid="{00000000-0010-0000-2400-000005000000}" name="Column23" dataDxfId="252"/>
    <tableColumn id="3" xr3:uid="{00000000-0010-0000-24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400-000002000000}" name="Column2" dataDxfId="250">
      <calculatedColumnFormula>R70*(1+Table1870[[#This Row],[Column3]])</calculatedColumnFormula>
    </tableColumn>
  </tableColumns>
  <tableStyleInfo name="TableStyleLight16" showFirstColumn="0" showLastColumn="0" showRowStripes="1" showColumnStripes="0"/>
</table>
</file>

<file path=xl/tables/table4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7" xr:uid="{00000000-000C-0000-FFFF-FFFF25000000}" name="Table158" displayName="Table158" ref="L5:W8" totalsRowCount="1">
  <autoFilter ref="L5:W7" xr:uid="{00000000-0009-0000-0100-000039000000}"/>
  <sortState xmlns:xlrd2="http://schemas.microsoft.com/office/spreadsheetml/2017/richdata2" ref="L5:W7">
    <sortCondition ref="L5:L33"/>
  </sortState>
  <tableColumns count="12">
    <tableColumn id="1" xr3:uid="{00000000-0010-0000-2500-000001000000}" name="م" dataDxfId="237"/>
    <tableColumn id="2" xr3:uid="{00000000-0010-0000-2500-000002000000}" name="عدد" dataDxfId="237">
      <calculatedColumnFormula>IF((N2="A1"),2,IF((N2="A2"),3,IF((N2="B1"),2.5,IF((N2="B2"),3,0))))</calculatedColumnFormula>
    </tableColumn>
    <tableColumn id="3" xr3:uid="{00000000-0010-0000-2500-000003000000}" name="بيان" totalsRowLabel="Total" dataDxfId="237"/>
    <tableColumn id="11" xr3:uid="{00000000-0010-0000-2500-00000B000000}" name="Column2" dataDxfId="237"/>
    <tableColumn id="10" xr3:uid="{00000000-0010-0000-2500-00000A000000}" name="Column1" dataDxfId="237"/>
    <tableColumn id="12" xr3:uid="{00000000-0010-0000-2500-00000C000000}" name="المسطح" totalsRowFunction="sum" dataDxfId="239">
      <calculatedColumnFormula>(Table158[[#This Row],[Column1]]+Table158[[#This Row],[Column2]])*12*Table158[[#This Row],[عدد]]</calculatedColumnFormula>
    </tableColumn>
    <tableColumn id="4" xr3:uid="{00000000-0010-0000-2500-000004000000}" name="الوحده" dataDxfId="237"/>
    <tableColumn id="5" xr3:uid="{00000000-0010-0000-2500-000005000000}" name="الوزن" totalsRowFunction="custom">
      <totalsRowFormula>(S7*M7)</totalsRowFormula>
    </tableColumn>
    <tableColumn id="6" xr3:uid="{00000000-0010-0000-2500-000006000000}" name="سعر الكيلو" totalsRowFunction="sum" dataDxfId="234">
      <calculatedColumnFormula>Table158[[#This Row],[المسطح]]*Table158[[#This Row],[عدد]]</calculatedColumnFormula>
    </tableColumn>
    <tableColumn id="7" xr3:uid="{00000000-0010-0000-2500-000007000000}" name="سعر الشبك " dataDxfId="232">
      <calculatedColumnFormula>S6*$S$2/1000</calculatedColumnFormula>
    </tableColumn>
    <tableColumn id="8" xr3:uid="{00000000-0010-0000-2500-000008000000}" name="اجمالي" totalsRowFunction="sum" dataDxfId="230">
      <calculatedColumnFormula>M6*U6</calculatedColumnFormula>
    </tableColumn>
    <tableColumn id="9" xr3:uid="{00000000-0010-0000-2500-000009000000}" name="%" totalsRowFunction="custom">
      <calculatedColumnFormula>Table158[[#Totals],[اجمالي]]/$R$71</calculatedColumnFormula>
      <totalsRowFormula>Table158[[#Totals],[اجمالي]]/$R$71</totalsRowFormula>
    </tableColumn>
  </tableColumns>
  <tableStyleInfo name="TableStyleLight16" showFirstColumn="0" showLastColumn="0" showRowStripes="1" showColumnStripes="0"/>
</table>
</file>

<file path=xl/tables/table4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00000000-000C-0000-FFFF-FFFF26000000}" name="Table823" displayName="Table823" ref="A2:J17" totalsRowCount="1">
  <autoFilter ref="A2:J16" xr:uid="{00000000-0009-0000-0100-000016000000}"/>
  <tableColumns count="10">
    <tableColumn id="7" xr3:uid="{00000000-0010-0000-2600-000007000000}" name="Column7" totalsRowLabel="Total" dataDxfId="878" totalsRowDxfId="1037"/>
    <tableColumn id="6" xr3:uid="{00000000-0010-0000-2600-000006000000}" name="الطول بالمتر" dataDxfId="878" totalsRowDxfId="1037"/>
    <tableColumn id="5" xr3:uid="{00000000-0010-0000-2600-000005000000}" name="وزن المتر " dataDxfId="878" totalsRowDxfId="1037"/>
    <tableColumn id="4" xr3:uid="{00000000-0010-0000-2600-000004000000}" name="سعر الكيلو" dataDxfId="878" totalsRowDxfId="1037"/>
    <tableColumn id="3" xr3:uid="{00000000-0010-0000-2600-000003000000}" name="اجمالي عدد " totalsRowFunction="custom" totalsRowDxfId="1037">
      <totalsRowFormula>Table823[[#Totals],[اجمالي التكلفة]]/B1</totalsRowFormula>
    </tableColumn>
    <tableColumn id="2" xr3:uid="{00000000-0010-0000-2600-000002000000}" name="اجمالي التكلفة" totalsRowFunction="sum" dataDxfId="1046" totalsRowDxfId="1045"/>
    <tableColumn id="9" xr3:uid="{00000000-0010-0000-2600-000009000000}" name="Column1" dataDxfId="878" totalsRowDxfId="1037"/>
    <tableColumn id="10" xr3:uid="{00000000-0010-0000-2600-00000A000000}" name="Column2" dataDxfId="878" totalsRowDxfId="1037"/>
    <tableColumn id="11" xr3:uid="{00000000-0010-0000-2600-00000B000000}" name="Column3" dataDxfId="878" totalsRowDxfId="1037"/>
    <tableColumn id="12" xr3:uid="{00000000-0010-0000-2600-00000C000000}" name="Column4" dataDxfId="878" totalsRowDxfId="1037"/>
  </tableColumns>
  <tableStyleInfo name="TableStyleLight16" showFirstColumn="0" showLastColumn="0" showRowStripes="1" showColumnStripes="0"/>
</table>
</file>

<file path=xl/tables/table4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0000000-000C-0000-FFFF-FFFF27000000}" name="Table135926" displayName="Table135926" ref="L25:W45" totalsRowCount="1">
  <autoFilter ref="L25:W44" xr:uid="{00000000-0009-0000-0100-000019000000}"/>
  <tableColumns count="12">
    <tableColumn id="1" xr3:uid="{00000000-0010-0000-2700-000001000000}" name="م" totalsRowLabel="Total" dataDxfId="237" totalsRowDxfId="233"/>
    <tableColumn id="2" xr3:uid="{00000000-0010-0000-2700-000002000000}" name="عدد" dataDxfId="234" totalsRowDxfId="233"/>
    <tableColumn id="3" xr3:uid="{00000000-0010-0000-2700-000003000000}" name="بيان" totalsRowLabel="Total" dataDxfId="237" totalsRowDxfId="233"/>
    <tableColumn id="11" xr3:uid="{00000000-0010-0000-2700-00000B000000}" name="Column2" dataDxfId="237" totalsRowDxfId="233"/>
    <tableColumn id="10" xr3:uid="{00000000-0010-0000-2700-00000A000000}" name="Column1" dataDxfId="237" totalsRowDxfId="233"/>
    <tableColumn id="12" xr3:uid="{00000000-0010-0000-2700-00000C000000}" name="Column12" dataDxfId="237" totalsRowDxfId="233"/>
    <tableColumn id="4" xr3:uid="{00000000-0010-0000-2700-000004000000}" name="الوحده" totalsRowLabel="total" dataDxfId="237" totalsRowDxfId="233"/>
    <tableColumn id="5" xr3:uid="{00000000-0010-0000-2700-000005000000}" name="الوزن" dataDxfId="237" totalsRowDxfId="233"/>
    <tableColumn id="6" xr3:uid="{00000000-0010-0000-2700-000006000000}" name="سعر الكيلو" dataDxfId="237" totalsRowDxfId="233"/>
    <tableColumn id="7" xr3:uid="{00000000-0010-0000-2700-000007000000}" name="سعر الشبك " dataDxfId="306" totalsRowDxfId="231">
      <calculatedColumnFormula>Sheet2!B2</calculatedColumnFormula>
    </tableColumn>
    <tableColumn id="8" xr3:uid="{00000000-0010-0000-2700-000008000000}" name="اجمالي" totalsRowFunction="sum" dataDxfId="230" totalsRowDxfId="229">
      <calculatedColumnFormula>M26*U26</calculatedColumnFormula>
    </tableColumn>
    <tableColumn id="9" xr3:uid="{00000000-0010-0000-2700-000009000000}" name="%" totalsRowFunction="custom" totalsRowDxfId="228">
      <calculatedColumnFormula>Table135926[[#Totals],[اجمالي]]/$R$71</calculatedColumnFormula>
      <totalsRowFormula>Table135926[[#Totals],[اجمالي]]/$R$71</totalsRowFormula>
    </tableColumn>
  </tableColumns>
  <tableStyleInfo name="TableStyleLight16" showFirstColumn="0" showLastColumn="0" showRowStripes="1" showColumnStripes="0"/>
</table>
</file>

<file path=xl/tables/table4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9" xr:uid="{00000000-000C-0000-FFFF-FFFF28000000}" name="Table156140" displayName="Table156140" ref="L10:W18" totalsRowCount="1">
  <autoFilter ref="L10:W17" xr:uid="{00000000-0009-0000-0100-000027000000}"/>
  <sortState xmlns:xlrd2="http://schemas.microsoft.com/office/spreadsheetml/2017/richdata2" ref="L10:W17">
    <sortCondition ref="L10:L27"/>
  </sortState>
  <tableColumns count="12">
    <tableColumn id="1" xr3:uid="{00000000-0010-0000-2800-000001000000}" name="م" totalsRowLabel="Total" dataDxfId="237" totalsRowDxfId="233"/>
    <tableColumn id="2" xr3:uid="{00000000-0010-0000-2800-000002000000}" name="عدد" dataDxfId="234" totalsRowDxfId="233"/>
    <tableColumn id="3" xr3:uid="{00000000-0010-0000-2800-000003000000}" name="بيان" totalsRowLabel="Total" dataDxfId="237" totalsRowDxfId="233"/>
    <tableColumn id="11" xr3:uid="{00000000-0010-0000-2800-00000B000000}" name="Column2" dataDxfId="237" totalsRowDxfId="233"/>
    <tableColumn id="10" xr3:uid="{00000000-0010-0000-2800-00000A000000}" name="Column1" dataDxfId="237" totalsRowDxfId="233"/>
    <tableColumn id="12" xr3:uid="{00000000-0010-0000-2800-00000C000000}" name="Column12" dataDxfId="239" totalsRowDxfId="238"/>
    <tableColumn id="4" xr3:uid="{00000000-0010-0000-2800-000004000000}" name="الوحده" dataDxfId="237" totalsRowDxfId="233"/>
    <tableColumn id="5" xr3:uid="{00000000-0010-0000-2800-000005000000}" name="الوزن" dataDxfId="237" totalsRowDxfId="233"/>
    <tableColumn id="6" xr3:uid="{00000000-0010-0000-2800-000006000000}" name="سعر الكيلو" dataDxfId="237" totalsRowDxfId="233"/>
    <tableColumn id="7" xr3:uid="{00000000-0010-0000-2800-000007000000}" name="سعر الشبك " dataDxfId="306" totalsRowDxfId="231">
      <calculatedColumnFormula>Sheet2!B24</calculatedColumnFormula>
    </tableColumn>
    <tableColumn id="8" xr3:uid="{00000000-0010-0000-2800-000008000000}" name="اجمالي" totalsRowFunction="sum" dataDxfId="230" totalsRowDxfId="229">
      <calculatedColumnFormula>M11*U11</calculatedColumnFormula>
    </tableColumn>
    <tableColumn id="9" xr3:uid="{00000000-0010-0000-2800-000009000000}" name="%" totalsRowFunction="custom" totalsRowDxfId="228">
      <calculatedColumnFormula>Table156140[[#Totals],[اجمالي]]/$R$71</calculatedColumnFormula>
      <totalsRowFormula>Table156140[[#Totals],[اجمالي]]/$R$71</totalsRowFormula>
    </tableColumn>
  </tableColumns>
  <tableStyleInfo name="TableStyleLight16" showFirstColumn="0" showLastColumn="0" showRowStripes="1" showColumnStripes="0"/>
</table>
</file>

<file path=xl/tables/table4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0" xr:uid="{00000000-000C-0000-FFFF-FFFF29000000}" name="Table166241" displayName="Table166241" ref="L20:W23" totalsRowCount="1">
  <autoFilter ref="L20:W22" xr:uid="{00000000-0009-0000-0100-000028000000}"/>
  <tableColumns count="12">
    <tableColumn id="1" xr3:uid="{00000000-0010-0000-2900-000001000000}" name="م" totalsRowLabel="Total" dataDxfId="237"/>
    <tableColumn id="2" xr3:uid="{00000000-0010-0000-2900-000002000000}" name="عدد" totalsRowFunction="count" dataDxfId="237">
      <calculatedColumnFormula>M20*4</calculatedColumnFormula>
    </tableColumn>
    <tableColumn id="3" xr3:uid="{00000000-0010-0000-2900-000003000000}" name="بيان" totalsRowLabel="Total" dataDxfId="237"/>
    <tableColumn id="11" xr3:uid="{00000000-0010-0000-2900-00000B000000}" name="Column2" dataDxfId="237"/>
    <tableColumn id="10" xr3:uid="{00000000-0010-0000-2900-00000A000000}" name="Column1" dataDxfId="237"/>
    <tableColumn id="12" xr3:uid="{00000000-0010-0000-2900-00000C000000}" name="Column12" totalsRowFunction="sum" dataDxfId="239">
      <calculatedColumnFormula>(Table166241[[#This Row],[Column1]]*Table166241[[#This Row],[Column2]])*Table166241[[#This Row],[عدد]]</calculatedColumnFormula>
    </tableColumn>
    <tableColumn id="4" xr3:uid="{00000000-0010-0000-2900-000004000000}" name="الوحده" dataDxfId="237"/>
    <tableColumn id="5" xr3:uid="{00000000-0010-0000-2900-000005000000}" name="الوزن" totalsRowFunction="custom">
      <totalsRowFormula>(S21*M21)+(M22*S22)</totalsRowFormula>
    </tableColumn>
    <tableColumn id="6" xr3:uid="{00000000-0010-0000-2900-000006000000}" name="سعر الكيلو" dataDxfId="234"/>
    <tableColumn id="7" xr3:uid="{00000000-0010-0000-2900-000007000000}" name="سعر الشبك " dataDxfId="306">
      <calculatedColumnFormula>S21*$S$2/1000</calculatedColumnFormula>
    </tableColumn>
    <tableColumn id="8" xr3:uid="{00000000-0010-0000-2900-000008000000}" name="اجمالي" totalsRowFunction="sum" dataDxfId="230">
      <calculatedColumnFormula>M21*U21</calculatedColumnFormula>
    </tableColumn>
    <tableColumn id="9" xr3:uid="{00000000-0010-0000-2900-000009000000}" name="%" totalsRowFunction="custom">
      <calculatedColumnFormula>Table166241[[#Totals],[اجمالي]]/$R$71</calculatedColumnFormula>
      <totalsRowFormula>Table166241[[#Totals],[اجمالي]]/$R$71</totalsRowFormula>
    </tableColumn>
  </tableColumns>
  <tableStyleInfo name="TableStyleLight16" showFirstColumn="0" showLastColumn="0" showRowStripes="1" showColumnStripes="0"/>
</table>
</file>

<file path=xl/tables/table4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1" xr:uid="{00000000-000C-0000-FFFF-FFFF2A000000}" name="Table66342" displayName="Table66342" ref="AJ4:AM18" totalsRowShown="0">
  <autoFilter ref="AJ4:AM18" xr:uid="{00000000-0009-0000-0100-000029000000}"/>
  <tableColumns count="4">
    <tableColumn id="1" xr3:uid="{00000000-0010-0000-2A00-000001000000}" name="المادة" dataDxfId="255"/>
    <tableColumn id="2" xr3:uid="{00000000-0010-0000-2A00-000002000000}" name="المعدل" dataDxfId="255"/>
    <tableColumn id="3" xr3:uid="{00000000-0010-0000-2A00-000003000000}" name="الوحدة" dataDxfId="255"/>
    <tableColumn id="4" xr3:uid="{00000000-0010-0000-2A00-000004000000}" name="Column4" dataDxfId="299"/>
  </tableColumns>
  <tableStyleInfo name="TableStyleLight16" showFirstColumn="0" showLastColumn="0" showRowStripes="1" showColumnStripes="0"/>
</table>
</file>

<file path=xl/tables/table4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3" xr:uid="{00000000-000C-0000-FFFF-FFFF2B000000}" name="Table16126744" displayName="Table16126744" ref="L54:W68" totalsRowCount="1">
  <autoFilter ref="L54:W67" xr:uid="{00000000-0009-0000-0100-00002B000000}"/>
  <tableColumns count="12">
    <tableColumn id="1" xr3:uid="{00000000-0010-0000-2B00-000001000000}" name="م" totalsRowLabel="Total" dataDxfId="237" totalsRowDxfId="278"/>
    <tableColumn id="2" xr3:uid="{00000000-0010-0000-2B00-000002000000}" name="عدد" dataDxfId="250" totalsRowDxfId="278">
      <calculatedColumnFormula>IF((تسعير!$BF$14="بالتات"),0,M52-2)</calculatedColumnFormula>
    </tableColumn>
    <tableColumn id="3" xr3:uid="{00000000-0010-0000-2B00-000003000000}" name="بيان" totalsRowLabel="Total" dataDxfId="289" totalsRowDxfId="278"/>
    <tableColumn id="5" xr3:uid="{00000000-0010-0000-2B00-000005000000}" name="اليومية / الاجرة" dataDxfId="289" totalsRowDxfId="278"/>
    <tableColumn id="6" xr3:uid="{00000000-0010-0000-2B00-000006000000}" name="بدل الوجبة" dataDxfId="287" totalsRowDxfId="278"/>
    <tableColumn id="11" xr3:uid="{00000000-0010-0000-2B00-00000B000000}" name="موقع العمل" dataDxfId="252" totalsRowDxfId="278">
      <calculatedColumnFormula>تسعير!$BE$4</calculatedColumnFormula>
    </tableColumn>
    <tableColumn id="10" xr3:uid="{00000000-0010-0000-2B00-00000A000000}" name="شيفت العمل" dataDxfId="237" totalsRowDxfId="278"/>
    <tableColumn id="12" xr3:uid="{00000000-0010-0000-2B00-00000C000000}" name="Column12" totalsRowFunction="sum" dataDxfId="239" totalsRowDxfId="93"/>
    <tableColumn id="4" xr3:uid="{00000000-0010-0000-2B00-000004000000}" name="عدد الايام" dataDxfId="279" totalsRowDxfId="278"/>
    <tableColumn id="7" xr3:uid="{00000000-0010-0000-2B00-000007000000}" name="اجمالي التكلفة للعامل" dataDxfId="277" totalsRowDxfId="276">
      <calculatedColumnFormula>Table16126744[[#This Row],[Column12]]</calculatedColumnFormula>
    </tableColumn>
    <tableColumn id="8" xr3:uid="{00000000-0010-0000-2B00-000008000000}" name="اجمالي" totalsRowFunction="sum" dataDxfId="230" totalsRowDxfId="274">
      <calculatedColumnFormula>M55*U55</calculatedColumnFormula>
    </tableColumn>
    <tableColumn id="9" xr3:uid="{00000000-0010-0000-2B00-000009000000}" name="%" totalsRowFunction="custom" totalsRowDxfId="273">
      <calculatedColumnFormula>Table16126744[[#Totals],[اجمالي]]/$R$71</calculatedColumnFormula>
      <totalsRowFormula>Table16126744[[#Totals],[اجمالي]]/$R$71</totalsRowFormula>
    </tableColumn>
  </tableColumns>
  <tableStyleInfo name="TableStyleLight16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3" xr:uid="{F536301D-E310-4931-B653-AD9E1B7B09D3}" name="Table115" displayName="Table115" ref="AH59:AL60" totalsRowShown="0" headerRowDxfId="1600" dataDxfId="1594">
  <autoFilter ref="AH59:AL60" xr:uid="{F536301D-E310-4931-B653-AD9E1B7B09D3}"/>
  <tableColumns count="5">
    <tableColumn id="1" xr3:uid="{B66822DD-66EA-47D6-AC82-0B29ADD627D6}" name="المنتج" dataDxfId="1594"/>
    <tableColumn id="2" xr3:uid="{AE833311-1057-4EA5-AA4E-EE00ACCD3B4E}" name="العرض" dataDxfId="1594"/>
    <tableColumn id="3" xr3:uid="{31367D99-4075-4A3C-BDF9-E043012B0CE2}" name="الامتداد" dataDxfId="1594"/>
    <tableColumn id="4" xr3:uid="{9BAFA9A6-E27F-4459-96B4-2DA640D3F881}" name="لون الشاسية" dataDxfId="1594"/>
    <tableColumn id="5" xr3:uid="{6FCA19AB-1A7F-4808-8A43-2747203A7904}" name="لون  السيستم / اللوفرز" dataDxfId="1594"/>
  </tableColumns>
  <tableStyleInfo name="TableStyleLight16" showFirstColumn="0" showLastColumn="0" showRowStripes="1" showColumnStripes="0"/>
</table>
</file>

<file path=xl/tables/table5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4" xr:uid="{00000000-000C-0000-FFFF-FFFF2C000000}" name="Table16136845" displayName="Table16136845" ref="L48:W52" totalsRowCount="1">
  <autoFilter ref="L48:W51" xr:uid="{00000000-0009-0000-0100-00002C000000}"/>
  <tableColumns count="12">
    <tableColumn id="1" xr3:uid="{00000000-0010-0000-2C00-000001000000}" name="م" totalsRowLabel="Total" dataDxfId="252"/>
    <tableColumn id="2" xr3:uid="{00000000-0010-0000-2C00-000002000000}" name="عدد" dataDxfId="250">
      <calculatedColumnFormula>IF((Q65="الاسكندرية"),0.25,0.1)</calculatedColumnFormula>
    </tableColumn>
    <tableColumn id="3" xr3:uid="{00000000-0010-0000-2C00-000003000000}" name="بيان" totalsRowLabel="Total" dataDxfId="252"/>
    <tableColumn id="11" xr3:uid="{00000000-0010-0000-2C00-00000B000000}" name="Column2" dataDxfId="252"/>
    <tableColumn id="10" xr3:uid="{00000000-0010-0000-2C00-00000A000000}" name="Column1" dataDxfId="252"/>
    <tableColumn id="12" xr3:uid="{00000000-0010-0000-2C00-00000C000000}" name="Column12" totalsRowFunction="sum" dataDxfId="267"/>
    <tableColumn id="4" xr3:uid="{00000000-0010-0000-2C00-000004000000}" name="الوحده" dataDxfId="266"/>
    <tableColumn id="5" xr3:uid="{00000000-0010-0000-2C00-000005000000}" name="الوزن" dataDxfId="252"/>
    <tableColumn id="6" xr3:uid="{00000000-0010-0000-2C00-000006000000}" name="سعر الكيلو" dataDxfId="252"/>
    <tableColumn id="7" xr3:uid="{00000000-0010-0000-2C00-000007000000}" name="سعر الشبك " dataDxfId="263">
      <calculatedColumnFormula>V48</calculatedColumnFormula>
    </tableColumn>
    <tableColumn id="8" xr3:uid="{00000000-0010-0000-2C00-000008000000}" name="اجمالي" totalsRowFunction="sum" dataDxfId="230">
      <calculatedColumnFormula>M49*Table16136845[[#This Row],[سعر الشبك ]]</calculatedColumnFormula>
    </tableColumn>
    <tableColumn id="9" xr3:uid="{00000000-0010-0000-2C00-000009000000}" name="%" totalsRowFunction="custom">
      <calculatedColumnFormula>Table16136845[[#Totals],[اجمالي]]/$R$71</calculatedColumnFormula>
      <totalsRowFormula>Table16136845[[#Totals],[اجمالي]]/$R$71</totalsRowFormula>
    </tableColumn>
  </tableColumns>
  <tableStyleInfo name="TableStyleLight16" showFirstColumn="0" showLastColumn="0" showRowStripes="1" showColumnStripes="0"/>
</table>
</file>

<file path=xl/tables/table5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5" xr:uid="{00000000-000C-0000-FFFF-FFFF2D000000}" name="Table176946" displayName="Table176946" ref="Y1:AE20" totalsRowShown="0" dataDxfId="935">
  <autoFilter ref="Y1:AE20" xr:uid="{00000000-0009-0000-0100-00002D000000}"/>
  <tableColumns count="7">
    <tableColumn id="1" xr3:uid="{00000000-0010-0000-2D00-000001000000}" name="Column1" dataDxfId="935"/>
    <tableColumn id="2" xr3:uid="{00000000-0010-0000-2D00-000002000000}" name="خارجي" dataDxfId="935"/>
    <tableColumn id="3" xr3:uid="{00000000-0010-0000-2D00-000003000000}" name="داخلي" dataDxfId="935"/>
    <tableColumn id="4" xr3:uid="{00000000-0010-0000-2D00-000004000000}" name="بدل الوجبة" dataDxfId="935"/>
    <tableColumn id="5" xr3:uid="{00000000-0010-0000-2D00-000005000000}" name="دبابة" dataDxfId="935"/>
    <tableColumn id="6" xr3:uid="{00000000-0010-0000-2D00-000006000000}" name="جامبو" dataDxfId="935"/>
    <tableColumn id="7" xr3:uid="{00000000-0010-0000-2D00-000007000000}" name="الاقامة" dataDxfId="935"/>
  </tableColumns>
  <tableStyleInfo name="TableStyleLight16" showFirstColumn="0" showLastColumn="0" showRowStripes="1" showColumnStripes="0"/>
</table>
</file>

<file path=xl/tables/table5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3" xr:uid="{00000000-000C-0000-FFFF-FFFF2E000000}" name="Table187054" displayName="Table187054" ref="N70:R72" totalsRowShown="0">
  <autoFilter ref="N70:R72" xr:uid="{00000000-0009-0000-0100-000035000000}"/>
  <tableColumns count="5">
    <tableColumn id="1" xr3:uid="{00000000-0010-0000-2E00-000001000000}" name="Column1" dataDxfId="252"/>
    <tableColumn id="4" xr3:uid="{00000000-0010-0000-2E00-000004000000}" name="Column22" dataDxfId="252"/>
    <tableColumn id="5" xr3:uid="{00000000-0010-0000-2E00-000005000000}" name="Column23" dataDxfId="252"/>
    <tableColumn id="3" xr3:uid="{00000000-0010-0000-2E00-000003000000}" name="Column3" dataDxfId="251">
      <calculatedColumnFormula>IF((Q66="المقطم"),0.3,IF((Q66="التجمع"),0.3,IF((Q66="الشيخ زايد"),0.3,IF((Q66="الاسكندرية"),0.5,0.35))))</calculatedColumnFormula>
    </tableColumn>
    <tableColumn id="2" xr3:uid="{00000000-0010-0000-2E00-000002000000}" name="Column2" dataDxfId="250">
      <calculatedColumnFormula>R70*(1+Table187054[[#This Row],[Column3]])</calculatedColumnFormula>
    </tableColumn>
  </tableColumns>
  <tableStyleInfo name="TableStyleLight16" showFirstColumn="0" showLastColumn="0" showRowStripes="1" showColumnStripes="0"/>
</table>
</file>

<file path=xl/tables/table5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4" xr:uid="{00000000-000C-0000-FFFF-FFFF2F000000}" name="Table15855" displayName="Table15855" ref="L5:W8" totalsRowCount="1">
  <autoFilter ref="L5:W7" xr:uid="{00000000-0009-0000-0100-000036000000}"/>
  <sortState xmlns:xlrd2="http://schemas.microsoft.com/office/spreadsheetml/2017/richdata2" ref="L5:W7">
    <sortCondition ref="L5:L33"/>
  </sortState>
  <tableColumns count="12">
    <tableColumn id="1" xr3:uid="{00000000-0010-0000-2F00-000001000000}" name="م" dataDxfId="237"/>
    <tableColumn id="2" xr3:uid="{00000000-0010-0000-2F00-000002000000}" name="عدد" dataDxfId="237">
      <calculatedColumnFormula>IF((N2="c1"),3,IF((N2="c2"),4,IF((N2="d1"),4,IF((N2="d2"),5,0))))</calculatedColumnFormula>
    </tableColumn>
    <tableColumn id="3" xr3:uid="{00000000-0010-0000-2F00-000003000000}" name="بيان" totalsRowLabel="Total" dataDxfId="237"/>
    <tableColumn id="11" xr3:uid="{00000000-0010-0000-2F00-00000B000000}" name="Column2" dataDxfId="237"/>
    <tableColumn id="10" xr3:uid="{00000000-0010-0000-2F00-00000A000000}" name="Column1" dataDxfId="237"/>
    <tableColumn id="12" xr3:uid="{00000000-0010-0000-2F00-00000C000000}" name="المسطح" totalsRowFunction="sum" dataDxfId="239">
      <calculatedColumnFormula>(Table15855[[#This Row],[Column1]]+Table15855[[#This Row],[Column2]])*12*Table15855[[#This Row],[عدد]]</calculatedColumnFormula>
    </tableColumn>
    <tableColumn id="4" xr3:uid="{00000000-0010-0000-2F00-000004000000}" name="الوحده" dataDxfId="237"/>
    <tableColumn id="5" xr3:uid="{00000000-0010-0000-2F00-000005000000}" name="الوزن" totalsRowFunction="custom">
      <totalsRowFormula>(S7*M7)</totalsRowFormula>
    </tableColumn>
    <tableColumn id="6" xr3:uid="{00000000-0010-0000-2F00-000006000000}" name="سعر الكيلو" dataDxfId="234"/>
    <tableColumn id="7" xr3:uid="{00000000-0010-0000-2F00-000007000000}" name="سعر الشبك " dataDxfId="232">
      <calculatedColumnFormula>S6*$S$2/1000</calculatedColumnFormula>
    </tableColumn>
    <tableColumn id="8" xr3:uid="{00000000-0010-0000-2F00-000008000000}" name="اجمالي" totalsRowFunction="sum" dataDxfId="230">
      <calculatedColumnFormula>M6*U6</calculatedColumnFormula>
    </tableColumn>
    <tableColumn id="9" xr3:uid="{00000000-0010-0000-2F00-000009000000}" name="%" totalsRowFunction="custom">
      <calculatedColumnFormula>Table15855[[#Totals],[اجمالي]]/$R$71</calculatedColumnFormula>
      <totalsRowFormula>Table15855[[#Totals],[اجمالي]]/$R$71</totalsRowFormula>
    </tableColumn>
  </tableColumns>
  <tableStyleInfo name="TableStyleLight16" showFirstColumn="0" showLastColumn="0" showRowStripes="1" showColumnStripes="0"/>
</table>
</file>

<file path=xl/tables/table5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00000000-000C-0000-FFFF-FFFF30000000}" name="Table133" displayName="Table133" ref="A2:C10" totalsRowShown="0">
  <autoFilter ref="A2:C10" xr:uid="{00000000-0009-0000-0100-000020000000}"/>
  <tableColumns count="3">
    <tableColumn id="1" xr3:uid="{00000000-0010-0000-3000-000001000000}" name="شكل" dataDxfId="919"/>
    <tableColumn id="2" xr3:uid="{00000000-0010-0000-3000-000002000000}" name="المقاس" dataDxfId="878"/>
    <tableColumn id="4" xr3:uid="{00000000-0010-0000-3000-000004000000}" name="ميزان" dataDxfId="894"/>
  </tableColumns>
  <tableStyleInfo name="TableStyleLight16" showFirstColumn="0" showLastColumn="0" showRowStripes="1" showColumnStripes="0"/>
</table>
</file>

<file path=xl/tables/table5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00000000-000C-0000-FFFF-FFFF31000000}" name="Table334" displayName="Table334" ref="E2:F6" totalsRowShown="0">
  <autoFilter ref="E2:F6" xr:uid="{00000000-0009-0000-0100-000021000000}"/>
  <tableColumns count="2">
    <tableColumn id="1" xr3:uid="{00000000-0010-0000-3100-000001000000}" name="Column1" dataDxfId="893"/>
    <tableColumn id="2" xr3:uid="{00000000-0010-0000-3100-000002000000}" name="Column2" dataDxfId="878"/>
  </tableColumns>
  <tableStyleInfo name="TableStyleLight17" showFirstColumn="0" showLastColumn="0" showRowStripes="1" showColumnStripes="0"/>
</table>
</file>

<file path=xl/tables/table5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00000000-000C-0000-FFFF-FFFF32000000}" name="Table4" displayName="Table4" ref="H2:K13" totalsRowCount="1">
  <autoFilter ref="H2:K12" xr:uid="{00000000-0009-0000-0100-000022000000}"/>
  <tableColumns count="4">
    <tableColumn id="1" xr3:uid="{00000000-0010-0000-3200-000001000000}" name="Column1" totalsRowLabel="Total" dataDxfId="878" totalsRowDxfId="913"/>
    <tableColumn id="2" xr3:uid="{00000000-0010-0000-3200-000002000000}" name="عدد/الشمسية" dataDxfId="889" totalsRowDxfId="909"/>
    <tableColumn id="3" xr3:uid="{00000000-0010-0000-3200-000003000000}" name="سعر الوحدة" dataDxfId="878" totalsRowDxfId="909"/>
    <tableColumn id="4" xr3:uid="{00000000-0010-0000-3200-000004000000}" name="قيمة" totalsRowFunction="sum" dataDxfId="878" totalsRowDxfId="907"/>
  </tableColumns>
  <tableStyleInfo name="TableStyleLight18" showFirstColumn="0" showLastColumn="0" showRowStripes="1" showColumnStripes="0"/>
</table>
</file>

<file path=xl/tables/table5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00000000-000C-0000-FFFF-FFFF33000000}" name="Table1636" displayName="Table1636" ref="H15:K23" totalsRowShown="0">
  <autoFilter ref="H15:K23" xr:uid="{00000000-0009-0000-0100-000023000000}"/>
  <tableColumns count="4">
    <tableColumn id="1" xr3:uid="{00000000-0010-0000-3300-000001000000}" name="المقاس" dataDxfId="878"/>
    <tableColumn id="2" xr3:uid="{00000000-0010-0000-3300-000002000000}" name="امتار عادية" dataDxfId="878"/>
    <tableColumn id="4" xr3:uid="{00000000-0010-0000-3300-000004000000}" name="امتار single" dataDxfId="878"/>
    <tableColumn id="6" xr3:uid="{00000000-0010-0000-3300-000006000000}" name="امتار douple" dataDxfId="878"/>
  </tableColumns>
  <tableStyleInfo name="TableStyleLight16" showFirstColumn="0" showLastColumn="0" showRowStripes="1" showColumnStripes="0"/>
</table>
</file>

<file path=xl/tables/table5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00000000-000C-0000-FFFF-FFFF34000000}" name="Table637" displayName="Table637" ref="E7:F10" totalsRowShown="0">
  <autoFilter ref="E7:F10" xr:uid="{00000000-0009-0000-0100-000024000000}"/>
  <tableColumns count="2">
    <tableColumn id="1" xr3:uid="{00000000-0010-0000-3400-000001000000}" name="Column1" dataDxfId="878"/>
    <tableColumn id="2" xr3:uid="{00000000-0010-0000-3400-000002000000}" name="Column2" dataDxfId="878">
      <calculatedColumnFormula>W9</calculatedColumnFormula>
    </tableColumn>
  </tableColumns>
  <tableStyleInfo name="TableStyleLight17" showFirstColumn="0" showLastColumn="0" showRowStripes="1" showColumnStripes="0"/>
</table>
</file>

<file path=xl/tables/table5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7" xr:uid="{00000000-000C-0000-FFFF-FFFF35000000}" name="Table738" displayName="Table738" ref="E16:F20" totalsRowShown="0">
  <autoFilter ref="E16:F20" xr:uid="{00000000-0009-0000-0100-000025000000}"/>
  <tableColumns count="2">
    <tableColumn id="1" xr3:uid="{00000000-0010-0000-3500-000001000000}" name="Column1"/>
    <tableColumn id="2" xr3:uid="{00000000-0010-0000-3500-000002000000}" name="Column2"/>
  </tableColumns>
  <tableStyleInfo name="TableStyleLight17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1" xr:uid="{BC60BA97-1AA4-4A04-A314-EDA3FFC35F18}" name="Table1102" displayName="Table1102" ref="O3:W22" totalsRowCount="1">
  <autoFilter ref="O3:W21" xr:uid="{BC60BA97-1AA4-4A04-A314-EDA3FFC35F18}"/>
  <tableColumns count="9">
    <tableColumn id="1" xr3:uid="{07109B11-8AA1-414B-9EF2-0E53B92B6740}" name="م" totalsRowLabel="Total" dataDxfId="1584" totalsRowDxfId="1591"/>
    <tableColumn id="2" xr3:uid="{BFD71D91-82BE-4E36-ABA2-D621CC74A72F}" name="الصنف" dataDxfId="1584" totalsRowDxfId="1587"/>
    <tableColumn id="3" xr3:uid="{FA2200A0-4790-4626-B4EF-26AF375E7D08}" name="الوحده" dataDxfId="1584" totalsRowDxfId="1587"/>
    <tableColumn id="13" xr3:uid="{1B9DE2C2-E66F-49FF-BF0C-4005C087BC2A}" name="متطلبات انتاج الشمسيه 2.5" dataDxfId="1586" totalsRowDxfId="1583"/>
    <tableColumn id="4" xr3:uid="{A25EDD6F-7BF8-4633-A44E-9AA34FABA3E5}" name="متطلبات انتاج الشمسيه 3" dataDxfId="1584" totalsRowDxfId="1583"/>
    <tableColumn id="9" xr3:uid="{F8C4B6ED-C6D0-4793-8425-4DB2E6AEB8C7}" name="حهة التصنيع" dataDxfId="1582" totalsRowDxfId="1581"/>
    <tableColumn id="10" xr3:uid="{07E26081-B66A-4CF4-A6F3-959C28FB1681}" name="سعر" dataDxfId="1580" totalsRowDxfId="1579"/>
    <tableColumn id="11" xr3:uid="{533F2344-E7A1-4D72-BD1C-8B42EA41C0CA}" name="3" totalsRowFunction="sum" dataDxfId="1578" totalsRowDxfId="278">
      <calculatedColumnFormula>U4*S4</calculatedColumnFormula>
    </tableColumn>
    <tableColumn id="12" xr3:uid="{D07D845E-2930-453E-8278-6592A65F5FE9}" name="2.5" totalsRowFunction="sum" dataDxfId="1576" totalsRowDxfId="93">
      <calculatedColumnFormula>Table1102[[#This Row],[متطلبات انتاج الشمسيه 2.5]]*Table1102[[#This Row],[سعر]]</calculatedColumnFormula>
    </tableColumn>
  </tableColumns>
  <tableStyleInfo name="TableStyleLight17" showFirstColumn="0" showLastColumn="0" showRowStripes="1" showColumnStripes="0"/>
</table>
</file>

<file path=xl/tables/table6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8" xr:uid="{00000000-000C-0000-FFFF-FFFF36000000}" name="Table2" displayName="Table2" ref="M2:O16" totalsRowShown="0">
  <autoFilter ref="M2:O16" xr:uid="{00000000-0009-0000-0100-000026000000}"/>
  <tableColumns count="3">
    <tableColumn id="1" xr3:uid="{00000000-0010-0000-3600-000001000000}" name="البيان" dataDxfId="896"/>
    <tableColumn id="2" xr3:uid="{00000000-0010-0000-3600-000002000000}" name="الناتج" dataDxfId="897"/>
    <tableColumn id="3" xr3:uid="{00000000-0010-0000-3600-000003000000}" name="Column1" dataDxfId="896"/>
  </tableColumns>
  <tableStyleInfo name="TableStyleMedium2" showFirstColumn="0" showLastColumn="0" showRowStripes="1" showColumnStripes="0"/>
</table>
</file>

<file path=xl/tables/table6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6" xr:uid="{00000000-000C-0000-FFFF-FFFF37000000}" name="Table122" displayName="Table122" ref="S2:T4" totalsRowShown="0">
  <autoFilter ref="S2:T4" xr:uid="{00000000-0009-0000-0100-00002E000000}"/>
  <tableColumns count="2">
    <tableColumn id="2" xr3:uid="{00000000-0010-0000-3700-000002000000}" name="المقاس" dataDxfId="895"/>
    <tableColumn id="4" xr3:uid="{00000000-0010-0000-3700-000004000000}" name="ميزان" dataDxfId="894"/>
  </tableColumns>
  <tableStyleInfo name="TableStyleLight16" showFirstColumn="0" showLastColumn="0" showRowStripes="1" showColumnStripes="0"/>
</table>
</file>

<file path=xl/tables/table6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7" xr:uid="{00000000-000C-0000-FFFF-FFFF38000000}" name="Table323" displayName="Table323" ref="V2:W6" totalsRowShown="0">
  <autoFilter ref="V2:W6" xr:uid="{00000000-0009-0000-0100-00002F000000}"/>
  <tableColumns count="2">
    <tableColumn id="1" xr3:uid="{00000000-0010-0000-3800-000001000000}" name="Column1" dataDxfId="893"/>
    <tableColumn id="2" xr3:uid="{00000000-0010-0000-3800-000002000000}" name="Column2" dataDxfId="878"/>
  </tableColumns>
  <tableStyleInfo name="TableStyleLight17" showFirstColumn="0" showLastColumn="0" showRowStripes="1" showColumnStripes="0"/>
</table>
</file>

<file path=xl/tables/table6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8" xr:uid="{00000000-000C-0000-FFFF-FFFF39000000}" name="Table424" displayName="Table424" ref="Y2:AB15" totalsRowCount="1">
  <autoFilter ref="Y2:AB14" xr:uid="{00000000-0009-0000-0100-000030000000}"/>
  <tableColumns count="4">
    <tableColumn id="1" xr3:uid="{00000000-0010-0000-3900-000001000000}" name="Column1" totalsRowLabel="Total" dataDxfId="878" totalsRowDxfId="238"/>
    <tableColumn id="2" xr3:uid="{00000000-0010-0000-3900-000002000000}" name="عدد/الشمسية" dataDxfId="889" totalsRowDxfId="238"/>
    <tableColumn id="3" xr3:uid="{00000000-0010-0000-3900-000003000000}" name="سعر الوحدة" dataDxfId="878" totalsRowDxfId="238"/>
    <tableColumn id="4" xr3:uid="{00000000-0010-0000-3900-000004000000}" name="قيمة" totalsRowFunction="sum" dataDxfId="878" totalsRowDxfId="238"/>
  </tableColumns>
  <tableStyleInfo name="TableStyleLight18" showFirstColumn="0" showLastColumn="0" showRowStripes="1" showColumnStripes="0"/>
</table>
</file>

<file path=xl/tables/table6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9" xr:uid="{00000000-000C-0000-FFFF-FFFF3A000000}" name="Table1625" displayName="Table1625" ref="Y17:AB19" totalsRowShown="0">
  <autoFilter ref="Y17:AB19" xr:uid="{00000000-0009-0000-0100-000031000000}"/>
  <tableColumns count="4">
    <tableColumn id="1" xr3:uid="{00000000-0010-0000-3A00-000001000000}" name="المقاس" dataDxfId="878"/>
    <tableColumn id="2" xr3:uid="{00000000-0010-0000-3A00-000002000000}" name="امتار عادية" dataDxfId="878"/>
    <tableColumn id="4" xr3:uid="{00000000-0010-0000-3A00-000004000000}" name="امتار single" dataDxfId="878"/>
    <tableColumn id="6" xr3:uid="{00000000-0010-0000-3A00-000006000000}" name="امتار douple" dataDxfId="878"/>
  </tableColumns>
  <tableStyleInfo name="TableStyleLight16" showFirstColumn="0" showLastColumn="0" showRowStripes="1" showColumnStripes="0"/>
</table>
</file>

<file path=xl/tables/table6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0" xr:uid="{00000000-000C-0000-FFFF-FFFF3B000000}" name="Table626" displayName="Table626" ref="V7:W11" totalsRowShown="0">
  <autoFilter ref="V7:W11" xr:uid="{00000000-0009-0000-0100-000032000000}"/>
  <tableColumns count="2">
    <tableColumn id="1" xr3:uid="{00000000-0010-0000-3B00-000001000000}" name="Column1" dataDxfId="878"/>
    <tableColumn id="2" xr3:uid="{00000000-0010-0000-3B00-000002000000}" name="Column2" dataDxfId="878">
      <calculatedColumnFormula>Sheet2!B11/1000</calculatedColumnFormula>
    </tableColumn>
  </tableColumns>
  <tableStyleInfo name="TableStyleLight17" showFirstColumn="0" showLastColumn="0" showRowStripes="1" showColumnStripes="0"/>
</table>
</file>

<file path=xl/tables/table6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1" xr:uid="{00000000-000C-0000-FFFF-FFFF3C000000}" name="Table727" displayName="Table727" ref="V17:W20" totalsRowShown="0">
  <autoFilter ref="V17:W20" xr:uid="{00000000-0009-0000-0100-000033000000}"/>
  <tableColumns count="2">
    <tableColumn id="1" xr3:uid="{00000000-0010-0000-3C00-000001000000}" name="Column1" dataDxfId="873"/>
    <tableColumn id="2" xr3:uid="{00000000-0010-0000-3C00-000002000000}" name="Column2" dataDxfId="873"/>
  </tableColumns>
  <tableStyleInfo name="TableStyleLight17" showFirstColumn="0" showLastColumn="0" showRowStripes="1" showColumnStripes="0"/>
</table>
</file>

<file path=xl/tables/table6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2" xr:uid="{00000000-000C-0000-FFFF-FFFF3D000000}" name="Table221" displayName="Table221" ref="AD2:AF12" totalsRowShown="0">
  <autoFilter ref="AD2:AF12" xr:uid="{00000000-0009-0000-0100-000034000000}"/>
  <tableColumns count="3">
    <tableColumn id="1" xr3:uid="{00000000-0010-0000-3D00-000001000000}" name="البيان" dataDxfId="873"/>
    <tableColumn id="2" xr3:uid="{00000000-0010-0000-3D00-000002000000}" name="الناتج" dataDxfId="874"/>
    <tableColumn id="3" xr3:uid="{00000000-0010-0000-3D00-000003000000}" name="Column1" dataDxfId="873"/>
  </tableColumns>
  <tableStyleInfo name="TableStyleMedium2" showFirstColumn="0" showLastColumn="0" showRowStripes="1" showColumnStripes="0"/>
</table>
</file>

<file path=xl/tables/table6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00000000-000C-0000-FFFF-FFFF3E000000}" name="Table12" displayName="Table12" ref="A27:G54" totalsRowCount="1">
  <autoFilter ref="A27:G53" xr:uid="{00000000-0009-0000-0100-00000C000000}"/>
  <tableColumns count="7">
    <tableColumn id="1" xr3:uid="{00000000-0010-0000-3E00-000001000000}" name="عدد" totalsRowLabel="Total" dataDxfId="833" totalsRowDxfId="832">
      <calculatedColumnFormula>ROUND((F4+F5)*0.4/3,0)</calculatedColumnFormula>
    </tableColumn>
    <tableColumn id="2" xr3:uid="{00000000-0010-0000-3E00-000002000000}" name="ميزان"/>
    <tableColumn id="3" xr3:uid="{00000000-0010-0000-3E00-000003000000}" name="بيان"/>
    <tableColumn id="4" xr3:uid="{00000000-0010-0000-3E00-000004000000}" name="سعر"/>
    <tableColumn id="5" xr3:uid="{00000000-0010-0000-3E00-000005000000}" name="Column5" totalsRowFunction="sum" totalsRowDxfId="139">
      <calculatedColumnFormula>Table12[[#This Row],[سعر]]*Table12[[#This Row],[ميزان]]*Table12[[#This Row],[عدد]]</calculatedColumnFormula>
    </tableColumn>
    <tableColumn id="6" xr3:uid="{00000000-0010-0000-3E00-000006000000}" name="Column6" totalsRowFunction="custom" totalsRowDxfId="139">
      <calculatedColumnFormula>Table12[[#Totals],[Column5]]/(تسعير!T54*تسعير!T55/10000)</calculatedColumnFormula>
      <totalsRowFormula>Table12[[#Totals],[Column5]]/(تسعير!T54*تسعير!T55/10000)</totalsRowFormula>
    </tableColumn>
    <tableColumn id="7" xr3:uid="{00000000-0010-0000-3E00-000007000000}" name="Column7" totalsRowFunction="count"/>
  </tableColumns>
  <tableStyleInfo name="TableStyleLight17" showFirstColumn="0" showLastColumn="0" showRowStripes="1" showColumnStripes="0"/>
</table>
</file>

<file path=xl/tables/table6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2" xr:uid="{00000000-000C-0000-FFFF-FFFF3F000000}" name="Table161243" displayName="Table161243" ref="I30:S44" totalsRowCount="1">
  <autoFilter ref="I30:S43" xr:uid="{00000000-0009-0000-0100-00002A000000}"/>
  <tableColumns count="11">
    <tableColumn id="2" xr3:uid="{00000000-0010-0000-3F00-000002000000}" name="الايام" dataDxfId="250" totalsRowDxfId="278">
      <calculatedColumnFormula>I28</calculatedColumnFormula>
    </tableColumn>
    <tableColumn id="3" xr3:uid="{00000000-0010-0000-3F00-000003000000}" name="بيان" totalsRowLabel="Total" dataDxfId="818" totalsRowDxfId="278"/>
    <tableColumn id="5" xr3:uid="{00000000-0010-0000-3F00-000005000000}" name="اليومية / الاجرة" dataDxfId="289" totalsRowDxfId="278"/>
    <tableColumn id="6" xr3:uid="{00000000-0010-0000-3F00-000006000000}" name="بدل الوجبة" dataDxfId="287" totalsRowDxfId="278"/>
    <tableColumn id="11" xr3:uid="{00000000-0010-0000-3F00-00000B000000}" name="موقع العمل" dataDxfId="252" totalsRowDxfId="278">
      <calculatedColumnFormula>تسعير!$T$45</calculatedColumnFormula>
    </tableColumn>
    <tableColumn id="10" xr3:uid="{00000000-0010-0000-3F00-00000A000000}" name="شيفت العمل" dataDxfId="237" totalsRowDxfId="278"/>
    <tableColumn id="12" xr3:uid="{00000000-0010-0000-3F00-00000C000000}" name="Column12" totalsRowFunction="sum" dataDxfId="239" totalsRowDxfId="93">
      <calculatedColumnFormula>SUMIF(Table17[Column1],Table161243[[#This Row],[موقع العمل]],Table17[الاقامة])</calculatedColumnFormula>
    </tableColumn>
    <tableColumn id="4" xr3:uid="{00000000-0010-0000-3F00-000004000000}" name="عدد الايام" dataDxfId="279" totalsRowDxfId="278"/>
    <tableColumn id="7" xr3:uid="{00000000-0010-0000-3F00-000007000000}" name="اجمالي التكلفة للعامل" dataDxfId="277" totalsRowDxfId="276">
      <calculatedColumnFormula>Table161243[[#This Row],[Column12]]</calculatedColumnFormula>
    </tableColumn>
    <tableColumn id="8" xr3:uid="{00000000-0010-0000-3F00-000008000000}" name="اجمالي" totalsRowFunction="sum" dataDxfId="230" totalsRowDxfId="274">
      <calculatedColumnFormula>I31*Q31</calculatedColumnFormula>
    </tableColumn>
    <tableColumn id="9" xr3:uid="{00000000-0010-0000-3F00-000009000000}" name="%" totalsRowFunction="custom" totalsRowDxfId="273">
      <calculatedColumnFormula>Table161243[[#Totals],[اجمالي]]/$G$84</calculatedColumnFormula>
      <totalsRowFormula>Table161243[[#Totals],[اجمالي]]/$G$84</totalsRowFormula>
    </tableColumn>
  </tableColumns>
  <tableStyleInfo name="TableStyleLight16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0" xr:uid="{7BE833DC-B154-46A0-9FF7-9D2C976EEBFB}" name="Table1381" displayName="Table1381" ref="A2:H22" totalsRowCount="1" headerRowDxfId="1574">
  <autoFilter ref="A2:H21" xr:uid="{00000000-0009-0000-0100-000001000000}"/>
  <tableColumns count="8">
    <tableColumn id="9" xr3:uid="{00000000-0010-0000-0000-000009000000}" name="الخامة"/>
    <tableColumn id="2" xr3:uid="{00000000-0010-0000-0000-000002000000}" name="القطاع"/>
    <tableColumn id="3" xr3:uid="{00000000-0010-0000-0000-000003000000}" name="الشركة المنتجة"/>
    <tableColumn id="4" xr3:uid="{00000000-0010-0000-0000-000004000000}" name="وزن المتر"/>
    <tableColumn id="5" xr3:uid="{00000000-0010-0000-0000-000005000000}" name="الطول"/>
    <tableColumn id="6" xr3:uid="{00000000-0010-0000-0000-000006000000}" name="الوزن">
      <calculatedColumnFormula>Table1381[[#This Row],[الطول]]*Table1381[[#This Row],[وزن المتر]]</calculatedColumnFormula>
    </tableColumn>
    <tableColumn id="7" xr3:uid="{00000000-0010-0000-0000-000007000000}" name="السعر"/>
    <tableColumn id="8" xr3:uid="{00000000-0010-0000-0000-000008000000}" name="التكلفة" totalsRowFunction="sum" totalsRowDxfId="1571">
      <calculatedColumnFormula>Table1381[[#This Row],[السعر]]*Table1381[[#This Row],[الوزن]]</calculatedColumnFormula>
    </tableColumn>
  </tableColumns>
  <tableStyleInfo name="TableStyleLight16" showFirstColumn="0" showLastColumn="0" showRowStripes="1" showColumnStripes="0"/>
</table>
</file>

<file path=xl/tables/table7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5" xr:uid="{00000000-000C-0000-FFFF-FFFF40000000}" name="Table1856" displayName="Table1856" ref="J47:N51" totalsRowShown="0">
  <autoFilter ref="J47:N51" xr:uid="{00000000-0009-0000-0100-000037000000}"/>
  <tableColumns count="5">
    <tableColumn id="1" xr3:uid="{00000000-0010-0000-4000-000001000000}" name="Column1" dataDxfId="252"/>
    <tableColumn id="4" xr3:uid="{00000000-0010-0000-4000-000004000000}" name="Column22" dataDxfId="252"/>
    <tableColumn id="5" xr3:uid="{00000000-0010-0000-4000-000005000000}" name="Column23" dataDxfId="252"/>
    <tableColumn id="3" xr3:uid="{00000000-0010-0000-4000-000003000000}" name="Column3" dataDxfId="251">
      <calculatedColumnFormula>IF((M37="المقطم"),0.3,IF((M37="التجمع"),0.3,IF((M37="الشيخ زايد"),0.3,IF((M37="الاسكندرية"),0.5,IF((M37="الساحل"),0.5,0.35)))))</calculatedColumnFormula>
    </tableColumn>
    <tableColumn id="2" xr3:uid="{00000000-0010-0000-4000-000002000000}" name="Column2" dataDxfId="250">
      <calculatedColumnFormula>N47*(1+Table1856[[#This Row],[Column3]])</calculatedColumnFormula>
    </tableColumn>
  </tableColumns>
  <tableStyleInfo name="TableStyleLight16" showFirstColumn="0" showLastColumn="0" showRowStripes="1" showColumnStripes="0"/>
</table>
</file>

<file path=xl/tables/table7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6" xr:uid="{00000000-000C-0000-FFFF-FFFF41000000}" name="Table1257" displayName="Table1257" ref="A60:G88" totalsRowCount="1">
  <autoFilter ref="A60:G87" xr:uid="{00000000-0009-0000-0100-000038000000}"/>
  <tableColumns count="7">
    <tableColumn id="1" xr3:uid="{00000000-0010-0000-4100-000001000000}" name="عدد" totalsRowLabel="Total" dataDxfId="833" totalsRowDxfId="832">
      <calculatedColumnFormula>ROUND((F36+F37)*0.4/3,0)</calculatedColumnFormula>
    </tableColumn>
    <tableColumn id="2" xr3:uid="{00000000-0010-0000-4100-000002000000}" name="ميزان"/>
    <tableColumn id="3" xr3:uid="{00000000-0010-0000-4100-000003000000}" name="بيان"/>
    <tableColumn id="4" xr3:uid="{00000000-0010-0000-4100-000004000000}" name="سعر"/>
    <tableColumn id="5" xr3:uid="{00000000-0010-0000-4100-000005000000}" name="Column5" totalsRowFunction="sum" totalsRowDxfId="139">
      <calculatedColumnFormula>Table1257[[#This Row],[سعر]]*Table1257[[#This Row],[ميزان]]*Table1257[[#This Row],[عدد]]</calculatedColumnFormula>
    </tableColumn>
    <tableColumn id="6" xr3:uid="{00000000-0010-0000-4100-000006000000}" name="Column6" totalsRowFunction="custom" totalsRowDxfId="139">
      <calculatedColumnFormula>Table1257[[#Totals],[Column5]]/(تسعير!S87*تسعير!S88/10000)</calculatedColumnFormula>
      <totalsRowFormula>Table1257[[#Totals],[Column5]]/(تسعير!S87*تسعير!S88/10000)</totalsRowFormula>
    </tableColumn>
    <tableColumn id="7" xr3:uid="{00000000-0010-0000-4100-000007000000}" name="Column7" totalsRowFunction="count"/>
  </tableColumns>
  <tableStyleInfo name="TableStyleLight17" showFirstColumn="0" showLastColumn="0" showRowStripes="1" showColumnStripes="0"/>
</table>
</file>

<file path=xl/tables/table7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9" xr:uid="{00000000-000C-0000-FFFF-FFFF42000000}" name="Table16124360" displayName="Table16124360" ref="I63:S77" totalsRowCount="1">
  <autoFilter ref="I63:S76" xr:uid="{00000000-0009-0000-0100-00003B000000}"/>
  <tableColumns count="11">
    <tableColumn id="2" xr3:uid="{00000000-0010-0000-4200-000002000000}" name="عدد" dataDxfId="250" totalsRowDxfId="278">
      <calculatedColumnFormula>I61</calculatedColumnFormula>
    </tableColumn>
    <tableColumn id="3" xr3:uid="{00000000-0010-0000-4200-000003000000}" name="بيان" totalsRowLabel="Total" dataDxfId="818" totalsRowDxfId="278"/>
    <tableColumn id="5" xr3:uid="{00000000-0010-0000-4200-000005000000}" name="اليومية / الاجرة" dataDxfId="289" totalsRowDxfId="278"/>
    <tableColumn id="6" xr3:uid="{00000000-0010-0000-4200-000006000000}" name="بدل الوجبة" dataDxfId="287" totalsRowDxfId="278"/>
    <tableColumn id="11" xr3:uid="{00000000-0010-0000-4200-00000B000000}" name="موقع العمل" dataDxfId="252" totalsRowDxfId="278">
      <calculatedColumnFormula>تسعير!$T$63</calculatedColumnFormula>
    </tableColumn>
    <tableColumn id="10" xr3:uid="{00000000-0010-0000-4200-00000A000000}" name="شيفت العمل" dataDxfId="237" totalsRowDxfId="278"/>
    <tableColumn id="12" xr3:uid="{00000000-0010-0000-4200-00000C000000}" name="Column12" totalsRowFunction="sum" dataDxfId="239" totalsRowDxfId="93">
      <calculatedColumnFormula>SUMIF(Table17[Column1],Table16124360[[#This Row],[موقع العمل]],Table17[الاقامة])</calculatedColumnFormula>
    </tableColumn>
    <tableColumn id="4" xr3:uid="{00000000-0010-0000-4200-000004000000}" name="عدد الايام" dataDxfId="279" totalsRowDxfId="278"/>
    <tableColumn id="7" xr3:uid="{00000000-0010-0000-4200-000007000000}" name="اجمالي التكلفة للعامل" dataDxfId="277" totalsRowDxfId="276">
      <calculatedColumnFormula>Table16124360[[#This Row],[Column12]]</calculatedColumnFormula>
    </tableColumn>
    <tableColumn id="8" xr3:uid="{00000000-0010-0000-4200-000008000000}" name="اجمالي" totalsRowFunction="sum" dataDxfId="230" totalsRowDxfId="274">
      <calculatedColumnFormula>I64*Q64</calculatedColumnFormula>
    </tableColumn>
    <tableColumn id="9" xr3:uid="{00000000-0010-0000-4200-000009000000}" name="%" totalsRowFunction="custom" totalsRowDxfId="273">
      <calculatedColumnFormula>Table16124360[[#Totals],[اجمالي]]/$G$84</calculatedColumnFormula>
      <totalsRowFormula>Table16124360[[#Totals],[اجمالي]]/$G$84</totalsRowFormula>
    </tableColumn>
  </tableColumns>
  <tableStyleInfo name="TableStyleLight16" showFirstColumn="0" showLastColumn="0" showRowStripes="1" showColumnStripes="0"/>
</table>
</file>

<file path=xl/tables/table7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4" xr:uid="{00000000-000C-0000-FFFF-FFFF43000000}" name="Table185665" displayName="Table185665" ref="J80:N84" totalsRowShown="0">
  <autoFilter ref="J80:N84" xr:uid="{00000000-0009-0000-0100-000040000000}"/>
  <tableColumns count="5">
    <tableColumn id="1" xr3:uid="{00000000-0010-0000-4300-000001000000}" name="Column1" dataDxfId="252"/>
    <tableColumn id="4" xr3:uid="{00000000-0010-0000-4300-000004000000}" name="Column22" dataDxfId="252"/>
    <tableColumn id="5" xr3:uid="{00000000-0010-0000-4300-000005000000}" name="Column23" dataDxfId="252"/>
    <tableColumn id="3" xr3:uid="{00000000-0010-0000-4300-000003000000}" name="Column3" dataDxfId="251">
      <calculatedColumnFormula>IF((M70="المقطم"),0.3,IF((M70="التجمع"),0.3,IF((M70="الشيخ زايد"),0.3,IF((M70="الاسكندرية"),0.5,IF((M70="الساحل"),0.5,0.35)))))</calculatedColumnFormula>
    </tableColumn>
    <tableColumn id="2" xr3:uid="{00000000-0010-0000-4300-000002000000}" name="Column2" dataDxfId="250">
      <calculatedColumnFormula>N80*(1+Table185665[[#This Row],[Column3]])</calculatedColumnFormula>
    </tableColumn>
  </tableColumns>
  <tableStyleInfo name="TableStyleLight16" showFirstColumn="0" showLastColumn="0" showRowStripes="1" showColumnStripes="0"/>
</table>
</file>

<file path=xl/tables/table7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0" xr:uid="{00000000-000C-0000-FFFF-FFFF44000000}" name="Table135971" displayName="Table135971" ref="L27:W43" totalsRowCount="1">
  <autoFilter ref="L27:W42" xr:uid="{00000000-0009-0000-0100-000046000000}"/>
  <tableColumns count="12">
    <tableColumn id="1" xr3:uid="{00000000-0010-0000-4400-000001000000}" name="م" totalsRowLabel="Total" dataDxfId="237" totalsRowDxfId="233"/>
    <tableColumn id="2" xr3:uid="{00000000-0010-0000-4400-000002000000}" name="عدد" dataDxfId="234" totalsRowDxfId="233"/>
    <tableColumn id="3" xr3:uid="{00000000-0010-0000-4400-000003000000}" name="بيان" totalsRowLabel="Total" dataDxfId="237" totalsRowDxfId="233"/>
    <tableColumn id="11" xr3:uid="{00000000-0010-0000-4400-00000B000000}" name="Column2" dataDxfId="237" totalsRowDxfId="233"/>
    <tableColumn id="10" xr3:uid="{00000000-0010-0000-4400-00000A000000}" name="Column1" dataDxfId="237" totalsRowDxfId="233"/>
    <tableColumn id="12" xr3:uid="{00000000-0010-0000-4400-00000C000000}" name="Column12" dataDxfId="237" totalsRowDxfId="233"/>
    <tableColumn id="4" xr3:uid="{00000000-0010-0000-4400-000004000000}" name="الوحده" totalsRowLabel="total" dataDxfId="237" totalsRowDxfId="233"/>
    <tableColumn id="5" xr3:uid="{00000000-0010-0000-4400-000005000000}" name="الوزن" dataDxfId="237" totalsRowDxfId="233"/>
    <tableColumn id="6" xr3:uid="{00000000-0010-0000-4400-000006000000}" name="سعر الكيلو" dataDxfId="237" totalsRowDxfId="233"/>
    <tableColumn id="7" xr3:uid="{00000000-0010-0000-4400-000007000000}" name="سعر الشبك " dataDxfId="306" totalsRowDxfId="231">
      <calculatedColumnFormula>Sheet2!B6</calculatedColumnFormula>
    </tableColumn>
    <tableColumn id="8" xr3:uid="{00000000-0010-0000-4400-000008000000}" name="اجمالي" totalsRowFunction="sum" dataDxfId="230" totalsRowDxfId="229">
      <calculatedColumnFormula>M28*U28</calculatedColumnFormula>
    </tableColumn>
    <tableColumn id="9" xr3:uid="{00000000-0010-0000-4400-000009000000}" name="%" totalsRowFunction="custom" totalsRowDxfId="228">
      <calculatedColumnFormula>Table135971[[#Totals],[اجمالي]]/$R$68</calculatedColumnFormula>
      <totalsRowFormula>Table135971[[#Totals],[اجمالي]]/$R$68</totalsRowFormula>
    </tableColumn>
  </tableColumns>
  <tableStyleInfo name="TableStyleLight16" showFirstColumn="0" showLastColumn="0" showRowStripes="1" showColumnStripes="0"/>
</table>
</file>

<file path=xl/tables/table7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1" xr:uid="{00000000-000C-0000-FFFF-FFFF45000000}" name="Table156172" displayName="Table156172" ref="L13:W19" totalsRowCount="1">
  <autoFilter ref="L13:W18" xr:uid="{00000000-0009-0000-0100-000047000000}"/>
  <tableColumns count="12">
    <tableColumn id="1" xr3:uid="{00000000-0010-0000-4500-000001000000}" name="م" totalsRowLabel="Total" dataDxfId="237" totalsRowDxfId="233"/>
    <tableColumn id="2" xr3:uid="{00000000-0010-0000-4500-000002000000}" name="عدد" dataDxfId="234" totalsRowDxfId="233"/>
    <tableColumn id="3" xr3:uid="{00000000-0010-0000-4500-000003000000}" name="بيان" totalsRowLabel="Total" dataDxfId="237" totalsRowDxfId="233"/>
    <tableColumn id="11" xr3:uid="{00000000-0010-0000-4500-00000B000000}" name="Column2" dataDxfId="237" totalsRowDxfId="233"/>
    <tableColumn id="10" xr3:uid="{00000000-0010-0000-4500-00000A000000}" name="Column1" dataDxfId="237" totalsRowDxfId="233"/>
    <tableColumn id="12" xr3:uid="{00000000-0010-0000-4500-00000C000000}" name="Column12" dataDxfId="239" totalsRowDxfId="238"/>
    <tableColumn id="4" xr3:uid="{00000000-0010-0000-4500-000004000000}" name="الوحده" dataDxfId="237" totalsRowDxfId="233"/>
    <tableColumn id="5" xr3:uid="{00000000-0010-0000-4500-000005000000}" name="الوزن" dataDxfId="237" totalsRowDxfId="233"/>
    <tableColumn id="6" xr3:uid="{00000000-0010-0000-4500-000006000000}" name="سعر الكيلو" dataDxfId="237" totalsRowDxfId="233"/>
    <tableColumn id="7" xr3:uid="{00000000-0010-0000-4500-000007000000}" name="سعر الشبك " dataDxfId="306" totalsRowDxfId="231">
      <calculatedColumnFormula>Sheet2!B26</calculatedColumnFormula>
    </tableColumn>
    <tableColumn id="8" xr3:uid="{00000000-0010-0000-4500-000008000000}" name="اجمالي" totalsRowFunction="sum" dataDxfId="230" totalsRowDxfId="229">
      <calculatedColumnFormula>M14*U14</calculatedColumnFormula>
    </tableColumn>
    <tableColumn id="9" xr3:uid="{00000000-0010-0000-4500-000009000000}" name="%" totalsRowFunction="custom" totalsRowDxfId="228">
      <calculatedColumnFormula>Table156172[[#Totals],[اجمالي]]/$R$68</calculatedColumnFormula>
      <totalsRowFormula>Table156172[[#Totals],[اجمالي]]/$R$68</totalsRowFormula>
    </tableColumn>
  </tableColumns>
  <tableStyleInfo name="TableStyleLight16" showFirstColumn="0" showLastColumn="0" showRowStripes="1" showColumnStripes="0"/>
</table>
</file>

<file path=xl/tables/table7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2" xr:uid="{00000000-000C-0000-FFFF-FFFF46000000}" name="Table166273" displayName="Table166273" ref="L21:W25" totalsRowCount="1">
  <autoFilter ref="L21:W24" xr:uid="{00000000-0009-0000-0100-000048000000}"/>
  <tableColumns count="12">
    <tableColumn id="1" xr3:uid="{00000000-0010-0000-4600-000001000000}" name="م" totalsRowLabel="Total" dataDxfId="237"/>
    <tableColumn id="2" xr3:uid="{00000000-0010-0000-4600-000002000000}" name="عدد" totalsRowFunction="count" dataDxfId="237">
      <calculatedColumnFormula>M20*4</calculatedColumnFormula>
    </tableColumn>
    <tableColumn id="3" xr3:uid="{00000000-0010-0000-4600-000003000000}" name="بيان" totalsRowLabel="Total" dataDxfId="237"/>
    <tableColumn id="11" xr3:uid="{00000000-0010-0000-4600-00000B000000}" name="Column2" dataDxfId="237"/>
    <tableColumn id="10" xr3:uid="{00000000-0010-0000-4600-00000A000000}" name="Column1" dataDxfId="237"/>
    <tableColumn id="12" xr3:uid="{00000000-0010-0000-4600-00000C000000}" name="Column12" totalsRowFunction="sum" dataDxfId="239">
      <calculatedColumnFormula>(Table166273[[#This Row],[Column1]]*Table166273[[#This Row],[Column2]])*Table166273[[#This Row],[عدد]]</calculatedColumnFormula>
    </tableColumn>
    <tableColumn id="4" xr3:uid="{00000000-0010-0000-4600-000004000000}" name="الوحده" dataDxfId="237"/>
    <tableColumn id="5" xr3:uid="{00000000-0010-0000-4600-000005000000}" name="الوزن" totalsRowFunction="custom">
      <totalsRowFormula>(S23*M23)+(M24*S24)</totalsRowFormula>
    </tableColumn>
    <tableColumn id="6" xr3:uid="{00000000-0010-0000-4600-000006000000}" name="سعر الكيلو" dataDxfId="234"/>
    <tableColumn id="7" xr3:uid="{00000000-0010-0000-4600-000007000000}" name="سعر الشبك " dataDxfId="306">
      <calculatedColumnFormula>S22*$S$2/1000</calculatedColumnFormula>
    </tableColumn>
    <tableColumn id="8" xr3:uid="{00000000-0010-0000-4600-000008000000}" name="اجمالي" totalsRowFunction="sum" dataDxfId="230">
      <calculatedColumnFormula>M22*U22</calculatedColumnFormula>
    </tableColumn>
    <tableColumn id="9" xr3:uid="{00000000-0010-0000-4600-000009000000}" name="%" totalsRowFunction="custom">
      <calculatedColumnFormula>Table166273[[#Totals],[اجمالي]]/$R$68</calculatedColumnFormula>
      <totalsRowFormula>Table166273[[#Totals],[اجمالي]]/$R$68</totalsRowFormula>
    </tableColumn>
  </tableColumns>
  <tableStyleInfo name="TableStyleLight16" showFirstColumn="0" showLastColumn="0" showRowStripes="1" showColumnStripes="0"/>
</table>
</file>

<file path=xl/tables/table7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3" xr:uid="{00000000-000C-0000-FFFF-FFFF47000000}" name="Table66374" displayName="Table66374" ref="AJ4:AM15" totalsRowShown="0">
  <autoFilter ref="AJ4:AM15" xr:uid="{00000000-0009-0000-0100-000049000000}"/>
  <tableColumns count="4">
    <tableColumn id="1" xr3:uid="{00000000-0010-0000-4700-000001000000}" name="المادة" dataDxfId="255"/>
    <tableColumn id="2" xr3:uid="{00000000-0010-0000-4700-000002000000}" name="المعدل" dataDxfId="255"/>
    <tableColumn id="3" xr3:uid="{00000000-0010-0000-4700-000003000000}" name="الوحدة" dataDxfId="255"/>
    <tableColumn id="4" xr3:uid="{00000000-0010-0000-4700-000004000000}" name="Column4" dataDxfId="299"/>
  </tableColumns>
  <tableStyleInfo name="TableStyleLight16" showFirstColumn="0" showLastColumn="0" showRowStripes="1" showColumnStripes="0"/>
</table>
</file>

<file path=xl/tables/table7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4" xr:uid="{00000000-000C-0000-FFFF-FFFF48000000}" name="Table76475" displayName="Table76475" ref="AO4:AS19" totalsRowShown="0">
  <autoFilter ref="AO4:AS19" xr:uid="{00000000-0009-0000-0100-00004A000000}"/>
  <tableColumns count="5">
    <tableColumn id="1" xr3:uid="{00000000-0010-0000-4800-000001000000}" name="Column1" dataDxfId="255"/>
    <tableColumn id="2" xr3:uid="{00000000-0010-0000-4800-000002000000}" name="Column2" dataDxfId="299"/>
    <tableColumn id="3" xr3:uid="{00000000-0010-0000-4800-000003000000}" name="Column3" dataDxfId="255"/>
    <tableColumn id="4" xr3:uid="{00000000-0010-0000-4800-000004000000}" name="Column4" dataDxfId="255"/>
    <tableColumn id="5" xr3:uid="{00000000-0010-0000-4800-000005000000}" name="Column5" dataDxfId="255"/>
  </tableColumns>
  <tableStyleInfo name="TableStyleLight16" showFirstColumn="0" showLastColumn="0" showRowStripes="1" showColumnStripes="0"/>
</table>
</file>

<file path=xl/tables/table7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5" xr:uid="{00000000-000C-0000-FFFF-FFFF49000000}" name="Table16126776" displayName="Table16126776" ref="L51:W65" totalsRowCount="1">
  <autoFilter ref="L51:W64" xr:uid="{00000000-0009-0000-0100-00004B000000}"/>
  <tableColumns count="12">
    <tableColumn id="1" xr3:uid="{00000000-0010-0000-4900-000001000000}" name="م" totalsRowLabel="Total" dataDxfId="237" totalsRowDxfId="278"/>
    <tableColumn id="2" xr3:uid="{00000000-0010-0000-4900-000002000000}" name="عدد" dataDxfId="250" totalsRowDxfId="278">
      <calculatedColumnFormula>IF((تسعير!$AU$14="بالتات"),0,M49-2)</calculatedColumnFormula>
    </tableColumn>
    <tableColumn id="3" xr3:uid="{00000000-0010-0000-4900-000003000000}" name="بيان" totalsRowLabel="Total" dataDxfId="289" totalsRowDxfId="278"/>
    <tableColumn id="5" xr3:uid="{00000000-0010-0000-4900-000005000000}" name="اليومية / الاجرة" dataDxfId="289" totalsRowDxfId="278"/>
    <tableColumn id="6" xr3:uid="{00000000-0010-0000-4900-000006000000}" name="بدل الوجبة" dataDxfId="287" totalsRowDxfId="278"/>
    <tableColumn id="11" xr3:uid="{00000000-0010-0000-4900-00000B000000}" name="موقع العمل" dataDxfId="252" totalsRowDxfId="278">
      <calculatedColumnFormula>تسعير!$AT$24</calculatedColumnFormula>
    </tableColumn>
    <tableColumn id="10" xr3:uid="{00000000-0010-0000-4900-00000A000000}" name="شيفت العمل" dataDxfId="237" totalsRowDxfId="278"/>
    <tableColumn id="12" xr3:uid="{00000000-0010-0000-4900-00000C000000}" name="Column12" totalsRowFunction="sum" dataDxfId="239" totalsRowDxfId="93">
      <calculatedColumnFormula>SUMIF(Table176978[Column1],Table16126776[[#This Row],[موقع العمل]],$AE$2:$AE$8)</calculatedColumnFormula>
    </tableColumn>
    <tableColumn id="4" xr3:uid="{00000000-0010-0000-4900-000004000000}" name="عدد الايام" dataDxfId="279" totalsRowDxfId="278"/>
    <tableColumn id="7" xr3:uid="{00000000-0010-0000-4900-000007000000}" name="اجمالي التكلفة للعامل" dataDxfId="277" totalsRowDxfId="276">
      <calculatedColumnFormula>Table16126776[[#This Row],[Column12]]</calculatedColumnFormula>
    </tableColumn>
    <tableColumn id="8" xr3:uid="{00000000-0010-0000-4900-000008000000}" name="اجمالي" totalsRowFunction="sum" dataDxfId="230" totalsRowDxfId="274">
      <calculatedColumnFormula>M52*U52</calculatedColumnFormula>
    </tableColumn>
    <tableColumn id="9" xr3:uid="{00000000-0010-0000-4900-000009000000}" name="%" totalsRowFunction="custom" totalsRowDxfId="273">
      <calculatedColumnFormula>Table16126776[[#Totals],[اجمالي]]/$R$68</calculatedColumnFormula>
      <totalsRowFormula>Table16126776[[#Totals],[اجمالي]]/$R$68</totalsRowFormula>
    </tableColumn>
  </tableColumns>
  <tableStyleInfo name="TableStyleLight16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8" xr:uid="{A0A9BA43-3B7A-4959-ADE5-95A46E8AD381}" name="Table17118" displayName="Table17118" ref="A25:D34" totalsRowCount="1">
  <autoFilter ref="A25:D33" xr:uid="{A0A9BA43-3B7A-4959-ADE5-95A46E8AD381}"/>
  <tableColumns count="4">
    <tableColumn id="1" xr3:uid="{E85D4349-1753-43F4-A09C-8DA677ED62A1}" name="القطاع" totalsRowLabel="Total"/>
    <tableColumn id="2" xr3:uid="{524CB77B-8458-43DA-BC5F-CC78AB991B01}" name="العدد"/>
    <tableColumn id="3" xr3:uid="{A45257A0-1F37-4A17-BE10-9ABC5BF45580}" name="القيمة"/>
    <tableColumn id="4" xr3:uid="{1F615246-D4A5-48DF-A4A4-A2D49E78F3D6}" name="Column4" totalsRowFunction="sum" totalsRowDxfId="139">
      <calculatedColumnFormula>Table17118[[#This Row],[القيمة]]*Table17118[[#This Row],[العدد]]</calculatedColumnFormula>
    </tableColumn>
  </tableColumns>
  <tableStyleInfo name="TableStyleLight16" showFirstColumn="0" showLastColumn="0" showRowStripes="1" showColumnStripes="0"/>
</table>
</file>

<file path=xl/tables/table8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6" xr:uid="{00000000-000C-0000-FFFF-FFFF4A000000}" name="Table16136877" displayName="Table16136877" ref="L46:W49" totalsRowCount="1">
  <autoFilter ref="L46:W48" xr:uid="{00000000-0009-0000-0100-00004C000000}"/>
  <tableColumns count="12">
    <tableColumn id="1" xr3:uid="{00000000-0010-0000-4A00-000001000000}" name="م" totalsRowLabel="Total" dataDxfId="252" totalsRowDxfId="233"/>
    <tableColumn id="2" xr3:uid="{00000000-0010-0000-4A00-000002000000}" name="عدد" dataDxfId="250" totalsRowDxfId="233">
      <calculatedColumnFormula>IF((Q63="الاسكندرية"),0.25,0.1)</calculatedColumnFormula>
    </tableColumn>
    <tableColumn id="3" xr3:uid="{00000000-0010-0000-4A00-000003000000}" name="بيان" totalsRowLabel="Total" dataDxfId="252" totalsRowDxfId="233"/>
    <tableColumn id="11" xr3:uid="{00000000-0010-0000-4A00-00000B000000}" name="Column2" dataDxfId="252" totalsRowDxfId="233"/>
    <tableColumn id="10" xr3:uid="{00000000-0010-0000-4A00-00000A000000}" name="Column1" dataDxfId="252" totalsRowDxfId="233"/>
    <tableColumn id="12" xr3:uid="{00000000-0010-0000-4A00-00000C000000}" name="Column12" totalsRowFunction="sum" dataDxfId="267" totalsRowDxfId="238"/>
    <tableColumn id="4" xr3:uid="{00000000-0010-0000-4A00-000004000000}" name="الوحده" dataDxfId="266" totalsRowDxfId="233"/>
    <tableColumn id="5" xr3:uid="{00000000-0010-0000-4A00-000005000000}" name="الوزن" dataDxfId="252" totalsRowDxfId="233"/>
    <tableColumn id="6" xr3:uid="{00000000-0010-0000-4A00-000006000000}" name="سعر الكيلو" dataDxfId="252" totalsRowDxfId="233"/>
    <tableColumn id="7" xr3:uid="{00000000-0010-0000-4A00-000007000000}" name="سعر الشبك " dataDxfId="263" totalsRowDxfId="231">
      <calculatedColumnFormula>Table80102114[[#Totals],[price]]</calculatedColumnFormula>
    </tableColumn>
    <tableColumn id="8" xr3:uid="{00000000-0010-0000-4A00-000008000000}" name="اجمالي" totalsRowFunction="sum" dataDxfId="230" totalsRowDxfId="229">
      <calculatedColumnFormula>M47*Table16136877[[#This Row],[سعر الشبك ]]</calculatedColumnFormula>
    </tableColumn>
    <tableColumn id="9" xr3:uid="{00000000-0010-0000-4A00-000009000000}" name="%" totalsRowFunction="custom" totalsRowDxfId="228">
      <calculatedColumnFormula>Table16136877[[#Totals],[اجمالي]]/$R$68</calculatedColumnFormula>
      <totalsRowFormula>Table16136877[[#Totals],[اجمالي]]/$R$68</totalsRowFormula>
    </tableColumn>
  </tableColumns>
  <tableStyleInfo name="TableStyleLight16" showFirstColumn="0" showLastColumn="0" showRowStripes="1" showColumnStripes="0"/>
</table>
</file>

<file path=xl/tables/table8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7" xr:uid="{00000000-000C-0000-FFFF-FFFF4B000000}" name="Table176978" displayName="Table176978" ref="Y1:AE28" totalsRowShown="0">
  <autoFilter ref="Y1:AE28" xr:uid="{00000000-0009-0000-0100-00004D000000}"/>
  <tableColumns count="7">
    <tableColumn id="1" xr3:uid="{00000000-0010-0000-4B00-000001000000}" name="Column1" dataDxfId="255"/>
    <tableColumn id="2" xr3:uid="{00000000-0010-0000-4B00-000002000000}" name="خارجي" dataDxfId="255"/>
    <tableColumn id="3" xr3:uid="{00000000-0010-0000-4B00-000003000000}" name="داخلي" dataDxfId="255"/>
    <tableColumn id="4" xr3:uid="{00000000-0010-0000-4B00-000004000000}" name="بدل الوجبة" dataDxfId="255"/>
    <tableColumn id="5" xr3:uid="{00000000-0010-0000-4B00-000005000000}" name="دبابة" dataDxfId="255"/>
    <tableColumn id="6" xr3:uid="{00000000-0010-0000-4B00-000006000000}" name="جامبو" dataDxfId="255"/>
    <tableColumn id="7" xr3:uid="{00000000-0010-0000-4B00-000007000000}" name="الاقامة" dataDxfId="255"/>
  </tableColumns>
  <tableStyleInfo name="TableStyleLight16" showFirstColumn="0" showLastColumn="0" showRowStripes="1" showColumnStripes="0"/>
</table>
</file>

<file path=xl/tables/table8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8" xr:uid="{00000000-000C-0000-FFFF-FFFF4C000000}" name="Table187079" displayName="Table187079" ref="N67:R69" totalsRowShown="0">
  <autoFilter ref="N67:R69" xr:uid="{00000000-0009-0000-0100-00004E000000}"/>
  <tableColumns count="5">
    <tableColumn id="1" xr3:uid="{00000000-0010-0000-4C00-000001000000}" name="Column1" dataDxfId="252"/>
    <tableColumn id="4" xr3:uid="{00000000-0010-0000-4C00-000004000000}" name="Column22" dataDxfId="252"/>
    <tableColumn id="5" xr3:uid="{00000000-0010-0000-4C00-000005000000}" name="Column23" dataDxfId="252"/>
    <tableColumn id="3" xr3:uid="{00000000-0010-0000-4C00-000003000000}" name="Column3" dataDxfId="251">
      <calculatedColumnFormula>IF((Q63="المقطم"),0.3,IF((Q63="التجمع"),0.3,IF((Q63="الشيخ زايد"),0.3,IF((Q63="الاسكندرية"),0.5,0.35))))</calculatedColumnFormula>
    </tableColumn>
    <tableColumn id="2" xr3:uid="{00000000-0010-0000-4C00-000002000000}" name="Column2" dataDxfId="250">
      <calculatedColumnFormula>R67*(1+Table187079[[#This Row],[Column3]])</calculatedColumnFormula>
    </tableColumn>
  </tableColumns>
  <tableStyleInfo name="TableStyleLight16" showFirstColumn="0" showLastColumn="0" showRowStripes="1" showColumnStripes="0"/>
</table>
</file>

<file path=xl/tables/table8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9" xr:uid="{00000000-000C-0000-FFFF-FFFF4D000000}" name="Table15880" displayName="Table15880" ref="L5:W11" totalsRowCount="1">
  <autoFilter ref="L5:W10" xr:uid="{00000000-0009-0000-0100-00004F000000}"/>
  <tableColumns count="12">
    <tableColumn id="1" xr3:uid="{00000000-0010-0000-4D00-000001000000}" name="م" dataDxfId="237" totalsRowDxfId="233"/>
    <tableColumn id="2" xr3:uid="{00000000-0010-0000-4D00-000002000000}" name="عدد" dataDxfId="237" totalsRowDxfId="233"/>
    <tableColumn id="3" xr3:uid="{00000000-0010-0000-4D00-000003000000}" name="بيان" totalsRowLabel="Total" dataDxfId="237" totalsRowDxfId="233"/>
    <tableColumn id="11" xr3:uid="{00000000-0010-0000-4D00-00000B000000}" name="Column2" dataDxfId="237" totalsRowDxfId="233"/>
    <tableColumn id="10" xr3:uid="{00000000-0010-0000-4D00-00000A000000}" name="Column1" dataDxfId="237" totalsRowDxfId="233"/>
    <tableColumn id="12" xr3:uid="{00000000-0010-0000-4D00-00000C000000}" name="المسطح" totalsRowFunction="sum" dataDxfId="239" totalsRowDxfId="238">
      <calculatedColumnFormula>(Table15880[[#This Row],[Column1]]+Table15880[[#This Row],[Column2]])*12*Table15880[[#This Row],[عدد]]</calculatedColumnFormula>
    </tableColumn>
    <tableColumn id="4" xr3:uid="{00000000-0010-0000-4D00-000004000000}" name="الوحده" dataDxfId="237" totalsRowDxfId="233"/>
    <tableColumn id="5" xr3:uid="{00000000-0010-0000-4D00-000005000000}" name="الوزن" totalsRowFunction="custom" totalsRowDxfId="233">
      <totalsRowFormula>(S6*M6)+(S7*M7)+(M8*S8)+(S9*M9)</totalsRowFormula>
    </tableColumn>
    <tableColumn id="6" xr3:uid="{00000000-0010-0000-4D00-000006000000}" name="اجمالي المسطح" totalsRowFunction="sum" dataDxfId="234" totalsRowDxfId="233">
      <calculatedColumnFormula>Table15880[[#This Row],[المسطح]]*Table15880[[#This Row],[عدد]]</calculatedColumnFormula>
    </tableColumn>
    <tableColumn id="7" xr3:uid="{00000000-0010-0000-4D00-000007000000}" name="سعر الشبك " dataDxfId="232" totalsRowDxfId="231">
      <calculatedColumnFormula>S6*$S$2/1000</calculatedColumnFormula>
    </tableColumn>
    <tableColumn id="8" xr3:uid="{00000000-0010-0000-4D00-000008000000}" name="اجمالي" totalsRowFunction="sum" dataDxfId="230" totalsRowDxfId="229">
      <calculatedColumnFormula>M6*U6</calculatedColumnFormula>
    </tableColumn>
    <tableColumn id="9" xr3:uid="{00000000-0010-0000-4D00-000009000000}" name="%" totalsRowFunction="custom" totalsRowDxfId="228">
      <calculatedColumnFormula>Table15880[[#Totals],[اجمالي]]/$R$68</calculatedColumnFormula>
      <totalsRowFormula>Table15880[[#Totals],[اجمالي]]/$R$68</totalsRowFormula>
    </tableColumn>
  </tableColumns>
  <tableStyleInfo name="TableStyleLight16" showFirstColumn="0" showLastColumn="0" showRowStripes="1" showColumnStripes="0"/>
</table>
</file>

<file path=xl/tables/table8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1" xr:uid="{00000000-000C-0000-FFFF-FFFF4E000000}" name="Table13597192" displayName="Table13597192" ref="L98:W114" totalsRowCount="1">
  <autoFilter ref="L98:W113" xr:uid="{00000000-0009-0000-0100-00005B000000}"/>
  <tableColumns count="12">
    <tableColumn id="1" xr3:uid="{00000000-0010-0000-4E00-000001000000}" name="م" totalsRowLabel="Total" dataDxfId="237" totalsRowDxfId="233"/>
    <tableColumn id="2" xr3:uid="{00000000-0010-0000-4E00-000002000000}" name="عدد" dataDxfId="234" totalsRowDxfId="233">
      <calculatedColumnFormula>IF(AND((AM72&gt;0),(AM72&lt;=5)),5,IF(AND((AM72&gt;5),(AM72&lt;=10)),10,IF(AND((AM72&gt;10),(AM72&lt;=15)),15,IF(AND((AM72&gt;15),(AM72&lt;=20)),20,IF(AND((AM72&gt;20),(AM72&lt;=25)),25,IF(AND((AM72&gt;25),(AM72&lt;=30)),30,IF(AND((AM72&gt;30),(AM72&lt;=35)),35,IF(AND((AM72&gt;35),(AM72&lt;=40)),40,IF(AND((AM72&gt;40),(AM72&lt;=45)),45,IF(AND((AM72&gt;45),(AM72&lt;=50)),50,IF(AND((AM72&gt;50),(AM72&lt;=55)),55,IF(AND((AM72&gt;55),(AM72&lt;=60)),60,0))))))))))))</calculatedColumnFormula>
    </tableColumn>
    <tableColumn id="3" xr3:uid="{00000000-0010-0000-4E00-000003000000}" name="بيان" totalsRowLabel="Total" dataDxfId="237" totalsRowDxfId="233"/>
    <tableColumn id="11" xr3:uid="{00000000-0010-0000-4E00-00000B000000}" name="Column2" dataDxfId="237" totalsRowDxfId="233"/>
    <tableColumn id="10" xr3:uid="{00000000-0010-0000-4E00-00000A000000}" name="Column1" dataDxfId="237" totalsRowDxfId="233"/>
    <tableColumn id="12" xr3:uid="{00000000-0010-0000-4E00-00000C000000}" name="Column12" dataDxfId="237" totalsRowDxfId="233"/>
    <tableColumn id="4" xr3:uid="{00000000-0010-0000-4E00-000004000000}" name="الوحده" totalsRowLabel="total" dataDxfId="237" totalsRowDxfId="233"/>
    <tableColumn id="5" xr3:uid="{00000000-0010-0000-4E00-000005000000}" name="الوزن" dataDxfId="237" totalsRowDxfId="233"/>
    <tableColumn id="6" xr3:uid="{00000000-0010-0000-4E00-000006000000}" name="سعر الكيلو" dataDxfId="237" totalsRowDxfId="233"/>
    <tableColumn id="7" xr3:uid="{00000000-0010-0000-4E00-000007000000}" name="سعر الشبك " dataDxfId="306" totalsRowDxfId="231">
      <calculatedColumnFormula>Sheet2!B6</calculatedColumnFormula>
    </tableColumn>
    <tableColumn id="8" xr3:uid="{00000000-0010-0000-4E00-000008000000}" name="اجمالي" totalsRowFunction="sum" dataDxfId="230" totalsRowDxfId="229">
      <calculatedColumnFormula>M99*U100</calculatedColumnFormula>
    </tableColumn>
    <tableColumn id="9" xr3:uid="{00000000-0010-0000-4E00-000009000000}" name="%" totalsRowFunction="custom" totalsRowDxfId="228">
      <calculatedColumnFormula>Table13597192[[#Totals],[اجمالي]]/$R$68</calculatedColumnFormula>
      <totalsRowFormula>Table13597192[[#Totals],[اجمالي]]/$R$68</totalsRowFormula>
    </tableColumn>
  </tableColumns>
  <tableStyleInfo name="TableStyleLight16" showFirstColumn="0" showLastColumn="0" showRowStripes="1" showColumnStripes="0"/>
</table>
</file>

<file path=xl/tables/table8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2" xr:uid="{00000000-000C-0000-FFFF-FFFF4F000000}" name="Table15617293" displayName="Table15617293" ref="L84:W90" totalsRowCount="1">
  <autoFilter ref="L84:W89" xr:uid="{00000000-0009-0000-0100-00005C000000}"/>
  <tableColumns count="12">
    <tableColumn id="1" xr3:uid="{00000000-0010-0000-4F00-000001000000}" name="م" totalsRowLabel="Total" dataDxfId="237" totalsRowDxfId="233"/>
    <tableColumn id="2" xr3:uid="{00000000-0010-0000-4F00-000002000000}" name="عدد" dataDxfId="234" totalsRowDxfId="233">
      <calculatedColumnFormula>IF((I70="بالتات"),0,4)</calculatedColumnFormula>
    </tableColumn>
    <tableColumn id="3" xr3:uid="{00000000-0010-0000-4F00-000003000000}" name="بيان" totalsRowLabel="Total" dataDxfId="237" totalsRowDxfId="233"/>
    <tableColumn id="11" xr3:uid="{00000000-0010-0000-4F00-00000B000000}" name="Column2" dataDxfId="237" totalsRowDxfId="233"/>
    <tableColumn id="10" xr3:uid="{00000000-0010-0000-4F00-00000A000000}" name="Column1" dataDxfId="237" totalsRowDxfId="233"/>
    <tableColumn id="12" xr3:uid="{00000000-0010-0000-4F00-00000C000000}" name="Column12" dataDxfId="239" totalsRowDxfId="238"/>
    <tableColumn id="4" xr3:uid="{00000000-0010-0000-4F00-000004000000}" name="الوحده" dataDxfId="237" totalsRowDxfId="233"/>
    <tableColumn id="5" xr3:uid="{00000000-0010-0000-4F00-000005000000}" name="الوزن" dataDxfId="237" totalsRowDxfId="233"/>
    <tableColumn id="6" xr3:uid="{00000000-0010-0000-4F00-000006000000}" name="سعر الكيلو" dataDxfId="237" totalsRowDxfId="233"/>
    <tableColumn id="7" xr3:uid="{00000000-0010-0000-4F00-000007000000}" name="سعر الشبك " dataDxfId="306" totalsRowDxfId="231">
      <calculatedColumnFormula>Sheet2!B26</calculatedColumnFormula>
    </tableColumn>
    <tableColumn id="8" xr3:uid="{00000000-0010-0000-4F00-000008000000}" name="اجمالي" totalsRowFunction="sum" dataDxfId="230" totalsRowDxfId="229">
      <calculatedColumnFormula>M85*U85</calculatedColumnFormula>
    </tableColumn>
    <tableColumn id="9" xr3:uid="{00000000-0010-0000-4F00-000009000000}" name="%" totalsRowFunction="custom" totalsRowDxfId="228">
      <calculatedColumnFormula>Table15617293[[#Totals],[اجمالي]]/$R$68</calculatedColumnFormula>
      <totalsRowFormula>Table15617293[[#Totals],[اجمالي]]/$R$68</totalsRowFormula>
    </tableColumn>
  </tableColumns>
  <tableStyleInfo name="TableStyleLight16" showFirstColumn="0" showLastColumn="0" showRowStripes="1" showColumnStripes="0"/>
</table>
</file>

<file path=xl/tables/table8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3" xr:uid="{00000000-000C-0000-FFFF-FFFF50000000}" name="Table16627394" displayName="Table16627394" ref="L92:W96" totalsRowCount="1">
  <autoFilter ref="L92:W95" xr:uid="{00000000-0009-0000-0100-00005D000000}"/>
  <tableColumns count="12">
    <tableColumn id="1" xr3:uid="{00000000-0010-0000-5000-000001000000}" name="م" totalsRowLabel="Total" dataDxfId="237"/>
    <tableColumn id="2" xr3:uid="{00000000-0010-0000-5000-000002000000}" name="عدد" totalsRowFunction="sum" dataDxfId="237">
      <calculatedColumnFormula>M91*4</calculatedColumnFormula>
    </tableColumn>
    <tableColumn id="3" xr3:uid="{00000000-0010-0000-5000-000003000000}" name="بيان" totalsRowLabel="Total" dataDxfId="237"/>
    <tableColumn id="11" xr3:uid="{00000000-0010-0000-5000-00000B000000}" name="Column2" dataDxfId="237"/>
    <tableColumn id="10" xr3:uid="{00000000-0010-0000-5000-00000A000000}" name="Column1" dataDxfId="237"/>
    <tableColumn id="12" xr3:uid="{00000000-0010-0000-5000-00000C000000}" name="Column12" totalsRowFunction="sum" dataDxfId="239">
      <calculatedColumnFormula>(Table16627394[[#This Row],[Column1]]*Table16627394[[#This Row],[Column2]])*Table16627394[[#This Row],[عدد]]</calculatedColumnFormula>
    </tableColumn>
    <tableColumn id="4" xr3:uid="{00000000-0010-0000-5000-000004000000}" name="الوحده" dataDxfId="237"/>
    <tableColumn id="5" xr3:uid="{00000000-0010-0000-5000-000005000000}" name="الوزن" totalsRowFunction="custom">
      <totalsRowFormula>(S94*M94)+(M95*S95)</totalsRowFormula>
    </tableColumn>
    <tableColumn id="6" xr3:uid="{00000000-0010-0000-5000-000006000000}" name="سعر الكيلو" dataDxfId="234"/>
    <tableColumn id="7" xr3:uid="{00000000-0010-0000-5000-000007000000}" name="سعر الشبك " dataDxfId="306">
      <calculatedColumnFormula>S93*$S$2/1000</calculatedColumnFormula>
    </tableColumn>
    <tableColumn id="8" xr3:uid="{00000000-0010-0000-5000-000008000000}" name="اجمالي" totalsRowFunction="sum" dataDxfId="230">
      <calculatedColumnFormula>M93*U93</calculatedColumnFormula>
    </tableColumn>
    <tableColumn id="9" xr3:uid="{00000000-0010-0000-5000-000009000000}" name="%" totalsRowFunction="custom">
      <calculatedColumnFormula>Table16627394[[#Totals],[اجمالي]]/$R$68</calculatedColumnFormula>
      <totalsRowFormula>Table16627394[[#Totals],[اجمالي]]/$R$68</totalsRowFormula>
    </tableColumn>
  </tableColumns>
  <tableStyleInfo name="TableStyleLight16" showFirstColumn="0" showLastColumn="0" showRowStripes="1" showColumnStripes="0"/>
</table>
</file>

<file path=xl/tables/table8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4" xr:uid="{00000000-000C-0000-FFFF-FFFF51000000}" name="Table6637495" displayName="Table6637495" ref="AJ77:AM88" totalsRowShown="0">
  <autoFilter ref="AJ77:AM88" xr:uid="{00000000-0009-0000-0100-00005E000000}"/>
  <tableColumns count="4">
    <tableColumn id="1" xr3:uid="{00000000-0010-0000-5100-000001000000}" name="المادة" dataDxfId="255"/>
    <tableColumn id="2" xr3:uid="{00000000-0010-0000-5100-000002000000}" name="المعدل" dataDxfId="255"/>
    <tableColumn id="3" xr3:uid="{00000000-0010-0000-5100-000003000000}" name="الوحدة" dataDxfId="255"/>
    <tableColumn id="4" xr3:uid="{00000000-0010-0000-5100-000004000000}" name="Column4" dataDxfId="299"/>
  </tableColumns>
  <tableStyleInfo name="TableStyleLight16" showFirstColumn="0" showLastColumn="0" showRowStripes="1" showColumnStripes="0"/>
</table>
</file>

<file path=xl/tables/table8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5" xr:uid="{00000000-000C-0000-FFFF-FFFF52000000}" name="Table7647596" displayName="Table7647596" ref="AO76:AS91" totalsRowShown="0">
  <autoFilter ref="AO76:AS91" xr:uid="{00000000-0009-0000-0100-00005F000000}"/>
  <tableColumns count="5">
    <tableColumn id="1" xr3:uid="{00000000-0010-0000-5200-000001000000}" name="Column1" dataDxfId="255"/>
    <tableColumn id="2" xr3:uid="{00000000-0010-0000-5200-000002000000}" name="Column2" dataDxfId="299"/>
    <tableColumn id="3" xr3:uid="{00000000-0010-0000-5200-000003000000}" name="Column3" dataDxfId="255"/>
    <tableColumn id="4" xr3:uid="{00000000-0010-0000-5200-000004000000}" name="Column4" dataDxfId="255"/>
    <tableColumn id="5" xr3:uid="{00000000-0010-0000-5200-000005000000}" name="Column5" dataDxfId="255"/>
  </tableColumns>
  <tableStyleInfo name="TableStyleLight16" showFirstColumn="0" showLastColumn="0" showRowStripes="1" showColumnStripes="0"/>
</table>
</file>

<file path=xl/tables/table8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6" xr:uid="{00000000-000C-0000-FFFF-FFFF53000000}" name="Table1612677697" displayName="Table1612677697" ref="L122:W136" totalsRowCount="1">
  <autoFilter ref="L122:W135" xr:uid="{00000000-0009-0000-0100-000060000000}"/>
  <tableColumns count="12">
    <tableColumn id="1" xr3:uid="{00000000-0010-0000-5300-000001000000}" name="م" totalsRowLabel="Total" dataDxfId="237" totalsRowDxfId="278"/>
    <tableColumn id="2" xr3:uid="{00000000-0010-0000-5300-000002000000}" name="عدد" dataDxfId="250" totalsRowDxfId="278">
      <calculatedColumnFormula>IF((تسعير!$AU$14="بالتات"),0,M120-2)</calculatedColumnFormula>
    </tableColumn>
    <tableColumn id="3" xr3:uid="{00000000-0010-0000-5300-000003000000}" name="بيان" totalsRowLabel="Total" dataDxfId="289" totalsRowDxfId="278"/>
    <tableColumn id="5" xr3:uid="{00000000-0010-0000-5300-000005000000}" name="اليومية / الاجرة" dataDxfId="289" totalsRowDxfId="278"/>
    <tableColumn id="6" xr3:uid="{00000000-0010-0000-5300-000006000000}" name="بدل الوجبة" dataDxfId="287" totalsRowDxfId="278"/>
    <tableColumn id="11" xr3:uid="{00000000-0010-0000-5300-00000B000000}" name="موقع العمل" dataDxfId="252" totalsRowDxfId="278">
      <calculatedColumnFormula>تسعير!$AT$44</calculatedColumnFormula>
    </tableColumn>
    <tableColumn id="10" xr3:uid="{00000000-0010-0000-5300-00000A000000}" name="شيفت العمل" dataDxfId="237" totalsRowDxfId="278"/>
    <tableColumn id="12" xr3:uid="{00000000-0010-0000-5300-00000C000000}" name="Column12" totalsRowFunction="sum" dataDxfId="239" totalsRowDxfId="93">
      <calculatedColumnFormula>SUMIF(Table17697899[Column1],Table1612677697[[#This Row],[موقع العمل]],$AE$2:$AE$8)</calculatedColumnFormula>
    </tableColumn>
    <tableColumn id="4" xr3:uid="{00000000-0010-0000-5300-000004000000}" name="عدد الايام" dataDxfId="279" totalsRowDxfId="278"/>
    <tableColumn id="7" xr3:uid="{00000000-0010-0000-5300-000007000000}" name="اجمالي التكلفة للعامل" dataDxfId="277" totalsRowDxfId="276">
      <calculatedColumnFormula>Table1612677697[[#This Row],[Column12]]</calculatedColumnFormula>
    </tableColumn>
    <tableColumn id="8" xr3:uid="{00000000-0010-0000-5300-000008000000}" name="اجمالي" totalsRowFunction="sum" dataDxfId="230" totalsRowDxfId="274">
      <calculatedColumnFormula>M123*U123</calculatedColumnFormula>
    </tableColumn>
    <tableColumn id="9" xr3:uid="{00000000-0010-0000-5300-000009000000}" name="%" totalsRowFunction="custom" totalsRowDxfId="273">
      <calculatedColumnFormula>Table1612677697[[#Totals],[اجمالي]]/$R$68</calculatedColumnFormula>
      <totalsRowFormula>Table1612677697[[#Totals],[اجمالي]]/$R$68</totalsRowFormula>
    </tableColumn>
  </tableColumns>
  <tableStyleInfo name="TableStyleLight16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9" xr:uid="{562E192F-DDCB-4E63-AFA2-EA96B92F2C7F}" name="Table1718" displayName="Table1718" ref="P26:S39" totalsRowCount="1">
  <autoFilter ref="P26:S38" xr:uid="{562E192F-DDCB-4E63-AFA2-EA96B92F2C7F}"/>
  <tableColumns count="4">
    <tableColumn id="1" xr3:uid="{11C8B018-BEFB-4EF7-949C-302B49829FE5}" name="القطاع" totalsRowLabel="Total"/>
    <tableColumn id="2" xr3:uid="{F5AB91CC-C456-4ADA-BBD3-4E0D2311CEFA}" name="العدد"/>
    <tableColumn id="3" xr3:uid="{9351A7EB-60A7-40A0-8BE2-D640CA985201}" name="القيمة"/>
    <tableColumn id="4" xr3:uid="{4D2A77AE-94D2-4EF7-8241-E75068CE5B8D}" name="Column4" totalsRowFunction="sum" totalsRowDxfId="139"/>
  </tableColumns>
  <tableStyleInfo name="TableStyleLight16" showFirstColumn="0" showLastColumn="0" showRowStripes="1" showColumnStripes="0"/>
</table>
</file>

<file path=xl/tables/table9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7" xr:uid="{00000000-000C-0000-FFFF-FFFF54000000}" name="Table1613687798" displayName="Table1613687798" ref="L117:W120" totalsRowCount="1">
  <autoFilter ref="L117:W119" xr:uid="{00000000-0009-0000-0100-000061000000}"/>
  <tableColumns count="12">
    <tableColumn id="1" xr3:uid="{00000000-0010-0000-5400-000001000000}" name="م" totalsRowLabel="Total" dataDxfId="252" totalsRowDxfId="233"/>
    <tableColumn id="2" xr3:uid="{00000000-0010-0000-5400-000002000000}" name="عدد" dataDxfId="250" totalsRowDxfId="233">
      <calculatedColumnFormula>IF((Q134="الاسكندرية"),0.25,0.1)</calculatedColumnFormula>
    </tableColumn>
    <tableColumn id="3" xr3:uid="{00000000-0010-0000-5400-000003000000}" name="بيان" totalsRowLabel="Total" dataDxfId="252" totalsRowDxfId="233"/>
    <tableColumn id="11" xr3:uid="{00000000-0010-0000-5400-00000B000000}" name="Column2" dataDxfId="252" totalsRowDxfId="233"/>
    <tableColumn id="10" xr3:uid="{00000000-0010-0000-5400-00000A000000}" name="Column1" dataDxfId="252" totalsRowDxfId="233"/>
    <tableColumn id="12" xr3:uid="{00000000-0010-0000-5400-00000C000000}" name="Column12" totalsRowFunction="sum" dataDxfId="267" totalsRowDxfId="238"/>
    <tableColumn id="4" xr3:uid="{00000000-0010-0000-5400-000004000000}" name="الوحده" dataDxfId="266" totalsRowDxfId="233"/>
    <tableColumn id="5" xr3:uid="{00000000-0010-0000-5400-000005000000}" name="الوزن" dataDxfId="252" totalsRowDxfId="233"/>
    <tableColumn id="6" xr3:uid="{00000000-0010-0000-5400-000006000000}" name="سعر الكيلو" dataDxfId="252" totalsRowDxfId="233"/>
    <tableColumn id="7" xr3:uid="{00000000-0010-0000-5400-000007000000}" name="سعر الشبك " dataDxfId="263" totalsRowDxfId="231">
      <calculatedColumnFormula>F96</calculatedColumnFormula>
    </tableColumn>
    <tableColumn id="8" xr3:uid="{00000000-0010-0000-5400-000008000000}" name="اجمالي" totalsRowFunction="sum" dataDxfId="230" totalsRowDxfId="229">
      <calculatedColumnFormula>M118*Table1613687798[[#This Row],[سعر الشبك ]]</calculatedColumnFormula>
    </tableColumn>
    <tableColumn id="9" xr3:uid="{00000000-0010-0000-5400-000009000000}" name="%" totalsRowFunction="custom" totalsRowDxfId="228">
      <calculatedColumnFormula>Table1613687798[[#Totals],[اجمالي]]/$R$68</calculatedColumnFormula>
      <totalsRowFormula>Table1613687798[[#Totals],[اجمالي]]/$R$68</totalsRowFormula>
    </tableColumn>
  </tableColumns>
  <tableStyleInfo name="TableStyleLight16" showFirstColumn="0" showLastColumn="0" showRowStripes="1" showColumnStripes="0"/>
</table>
</file>

<file path=xl/tables/table9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8" xr:uid="{00000000-000C-0000-FFFF-FFFF55000000}" name="Table17697899" displayName="Table17697899" ref="Y74:AE101" totalsRowShown="0">
  <autoFilter ref="Y74:AE101" xr:uid="{00000000-0009-0000-0100-000062000000}"/>
  <tableColumns count="7">
    <tableColumn id="1" xr3:uid="{00000000-0010-0000-5500-000001000000}" name="Column1" dataDxfId="255"/>
    <tableColumn id="2" xr3:uid="{00000000-0010-0000-5500-000002000000}" name="خارجي" dataDxfId="255"/>
    <tableColumn id="3" xr3:uid="{00000000-0010-0000-5500-000003000000}" name="داخلي" dataDxfId="255"/>
    <tableColumn id="4" xr3:uid="{00000000-0010-0000-5500-000004000000}" name="بدل الوجبة" dataDxfId="255"/>
    <tableColumn id="5" xr3:uid="{00000000-0010-0000-5500-000005000000}" name="دبابة" dataDxfId="255"/>
    <tableColumn id="6" xr3:uid="{00000000-0010-0000-5500-000006000000}" name="جامبو" dataDxfId="255"/>
    <tableColumn id="7" xr3:uid="{00000000-0010-0000-5500-000007000000}" name="الاقامة" dataDxfId="255"/>
  </tableColumns>
  <tableStyleInfo name="TableStyleLight16" showFirstColumn="0" showLastColumn="0" showRowStripes="1" showColumnStripes="0"/>
</table>
</file>

<file path=xl/tables/table9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9" xr:uid="{00000000-000C-0000-FFFF-FFFF56000000}" name="Table187079100" displayName="Table187079100" ref="N138:R140" totalsRowShown="0">
  <autoFilter ref="N138:R140" xr:uid="{00000000-0009-0000-0100-000063000000}"/>
  <tableColumns count="5">
    <tableColumn id="1" xr3:uid="{00000000-0010-0000-5600-000001000000}" name="Column1" dataDxfId="252"/>
    <tableColumn id="4" xr3:uid="{00000000-0010-0000-5600-000004000000}" name="Column22" dataDxfId="252"/>
    <tableColumn id="5" xr3:uid="{00000000-0010-0000-5600-000005000000}" name="Column23" dataDxfId="252"/>
    <tableColumn id="3" xr3:uid="{00000000-0010-0000-5600-000003000000}" name="Column3" dataDxfId="251">
      <calculatedColumnFormula>IF((Q134="المقطم"),0.3,IF((Q134="التجمع"),0.3,IF((Q134="الشيخ زايد"),0.3,IF((Q134="الاسكندرية"),0.5,0.35))))</calculatedColumnFormula>
    </tableColumn>
    <tableColumn id="2" xr3:uid="{00000000-0010-0000-5600-000002000000}" name="Column2" dataDxfId="250">
      <calculatedColumnFormula>R138*(1+Table187079100[[#This Row],[Column3]])</calculatedColumnFormula>
    </tableColumn>
  </tableColumns>
  <tableStyleInfo name="TableStyleLight16" showFirstColumn="0" showLastColumn="0" showRowStripes="1" showColumnStripes="0"/>
</table>
</file>

<file path=xl/tables/table9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0" xr:uid="{00000000-000C-0000-FFFF-FFFF57000000}" name="Table15880101" displayName="Table15880101" ref="L76:W82" totalsRowCount="1">
  <autoFilter ref="L76:W81" xr:uid="{00000000-0009-0000-0100-000064000000}"/>
  <tableColumns count="12">
    <tableColumn id="1" xr3:uid="{00000000-0010-0000-5700-000001000000}" name="م" dataDxfId="237" totalsRowDxfId="233"/>
    <tableColumn id="2" xr3:uid="{00000000-0010-0000-5700-000002000000}" name="عدد" dataDxfId="237" totalsRowDxfId="233">
      <calculatedColumnFormula>IF(OR((N70="B11"),(N70="B12"),(N70="B21"),(N70="B22"),(N70="B31"),(N70="B32")),3,0)</calculatedColumnFormula>
    </tableColumn>
    <tableColumn id="3" xr3:uid="{00000000-0010-0000-5700-000003000000}" name="بيان" totalsRowLabel="Total" dataDxfId="237" totalsRowDxfId="233"/>
    <tableColumn id="11" xr3:uid="{00000000-0010-0000-5700-00000B000000}" name="Column2" dataDxfId="237" totalsRowDxfId="233"/>
    <tableColumn id="10" xr3:uid="{00000000-0010-0000-5700-00000A000000}" name="Column1" dataDxfId="237" totalsRowDxfId="233"/>
    <tableColumn id="12" xr3:uid="{00000000-0010-0000-5700-00000C000000}" name="المسطح" totalsRowFunction="sum" dataDxfId="239" totalsRowDxfId="238">
      <calculatedColumnFormula>(Table15880101[[#This Row],[Column1]]+Table15880101[[#This Row],[Column2]])*12*Table15880101[[#This Row],[عدد]]</calculatedColumnFormula>
    </tableColumn>
    <tableColumn id="4" xr3:uid="{00000000-0010-0000-5700-000004000000}" name="الوحده" dataDxfId="237" totalsRowDxfId="233"/>
    <tableColumn id="5" xr3:uid="{00000000-0010-0000-5700-000005000000}" name="الوزن" totalsRowFunction="custom" totalsRowDxfId="233">
      <totalsRowFormula>(S77*M77)+(S78*M78)+(M79*S79)+(S80*M80)</totalsRowFormula>
    </tableColumn>
    <tableColumn id="6" xr3:uid="{00000000-0010-0000-5700-000006000000}" name="اجمالي المسطح" totalsRowFunction="sum" dataDxfId="234" totalsRowDxfId="233">
      <calculatedColumnFormula>Table15880101[[#This Row],[المسطح]]*Table15880101[[#This Row],[عدد]]</calculatedColumnFormula>
    </tableColumn>
    <tableColumn id="7" xr3:uid="{00000000-0010-0000-5700-000007000000}" name="سعر الشبك " dataDxfId="232" totalsRowDxfId="231">
      <calculatedColumnFormula>S77*$S$2/1000</calculatedColumnFormula>
    </tableColumn>
    <tableColumn id="8" xr3:uid="{00000000-0010-0000-5700-000008000000}" name="اجمالي" totalsRowFunction="sum" dataDxfId="230" totalsRowDxfId="229">
      <calculatedColumnFormula>M77*U77</calculatedColumnFormula>
    </tableColumn>
    <tableColumn id="9" xr3:uid="{00000000-0010-0000-5700-000009000000}" name="%" totalsRowFunction="custom" totalsRowDxfId="228">
      <calculatedColumnFormula>Table15880101[[#Totals],[اجمالي]]/$R$68</calculatedColumnFormula>
      <totalsRowFormula>Table15880101[[#Totals],[اجمالي]]/$R$68</totalsRowFormula>
    </tableColumn>
  </tableColumns>
  <tableStyleInfo name="TableStyleLight16" showFirstColumn="0" showLastColumn="0" showRowStripes="1" showColumnStripes="0"/>
</table>
</file>

<file path=xl/tables/table9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5" xr:uid="{00000000-000C-0000-FFFF-FFFF58000000}" name="Table13597166" displayName="Table13597166" ref="BG27:BR42" totalsRowCount="1">
  <autoFilter ref="BG27:BR41" xr:uid="{00000000-0009-0000-0100-000041000000}"/>
  <tableColumns count="12">
    <tableColumn id="1" xr3:uid="{00000000-0010-0000-5800-000001000000}" name="م" totalsRowLabel="Total" dataDxfId="237" totalsRowDxfId="233"/>
    <tableColumn id="2" xr3:uid="{00000000-0010-0000-5800-000002000000}" name="عدد" dataDxfId="234" totalsRowDxfId="233"/>
    <tableColumn id="3" xr3:uid="{00000000-0010-0000-5800-000003000000}" name="بيان" totalsRowLabel="Total" dataDxfId="237" totalsRowDxfId="233"/>
    <tableColumn id="11" xr3:uid="{00000000-0010-0000-5800-00000B000000}" name="Column2" dataDxfId="237" totalsRowDxfId="233"/>
    <tableColumn id="10" xr3:uid="{00000000-0010-0000-5800-00000A000000}" name="Column1" dataDxfId="237" totalsRowDxfId="233"/>
    <tableColumn id="12" xr3:uid="{00000000-0010-0000-5800-00000C000000}" name="Column12" dataDxfId="237" totalsRowDxfId="233"/>
    <tableColumn id="4" xr3:uid="{00000000-0010-0000-5800-000004000000}" name="الوحده" totalsRowLabel="total" dataDxfId="237" totalsRowDxfId="233"/>
    <tableColumn id="5" xr3:uid="{00000000-0010-0000-5800-000005000000}" name="الوزن" dataDxfId="237" totalsRowDxfId="233"/>
    <tableColumn id="6" xr3:uid="{00000000-0010-0000-5800-000006000000}" name="سعر الكيلو" dataDxfId="237" totalsRowDxfId="233"/>
    <tableColumn id="7" xr3:uid="{00000000-0010-0000-5800-000007000000}" name="سعر الشبك " dataDxfId="306" totalsRowDxfId="231">
      <calculatedColumnFormula>Sheet2!AW6</calculatedColumnFormula>
    </tableColumn>
    <tableColumn id="8" xr3:uid="{00000000-0010-0000-5800-000008000000}" name="اجمالي" totalsRowFunction="sum" dataDxfId="230" totalsRowDxfId="229">
      <calculatedColumnFormula>BH28*BP28</calculatedColumnFormula>
    </tableColumn>
    <tableColumn id="9" xr3:uid="{00000000-0010-0000-5800-000009000000}" name="%" totalsRowFunction="custom" totalsRowDxfId="228">
      <calculatedColumnFormula>Table13597166[[#Totals],[اجمالي]]/$R$68</calculatedColumnFormula>
      <totalsRowFormula>Table13597166[[#Totals],[اجمالي]]/$R$68</totalsRowFormula>
    </tableColumn>
  </tableColumns>
  <tableStyleInfo name="TableStyleLight16" showFirstColumn="0" showLastColumn="0" showRowStripes="1" showColumnStripes="0"/>
</table>
</file>

<file path=xl/tables/table9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1" xr:uid="{00000000-000C-0000-FFFF-FFFF59000000}" name="Table15617282" displayName="Table15617282" ref="BG13:BR19" totalsRowCount="1">
  <autoFilter ref="BG13:BR18" xr:uid="{00000000-0009-0000-0100-000051000000}"/>
  <tableColumns count="12">
    <tableColumn id="1" xr3:uid="{00000000-0010-0000-5900-000001000000}" name="م" totalsRowLabel="Total" dataDxfId="237" totalsRowDxfId="233"/>
    <tableColumn id="2" xr3:uid="{00000000-0010-0000-5900-000002000000}" name="عدد" dataDxfId="234" totalsRowDxfId="233"/>
    <tableColumn id="3" xr3:uid="{00000000-0010-0000-5900-000003000000}" name="بيان" totalsRowLabel="Total" dataDxfId="237" totalsRowDxfId="233"/>
    <tableColumn id="11" xr3:uid="{00000000-0010-0000-5900-00000B000000}" name="Column2" dataDxfId="237" totalsRowDxfId="233"/>
    <tableColumn id="10" xr3:uid="{00000000-0010-0000-5900-00000A000000}" name="Column1" dataDxfId="237" totalsRowDxfId="233"/>
    <tableColumn id="12" xr3:uid="{00000000-0010-0000-5900-00000C000000}" name="Column12" dataDxfId="239" totalsRowDxfId="238"/>
    <tableColumn id="4" xr3:uid="{00000000-0010-0000-5900-000004000000}" name="الوحده" dataDxfId="237" totalsRowDxfId="233"/>
    <tableColumn id="5" xr3:uid="{00000000-0010-0000-5900-000005000000}" name="الوزن" dataDxfId="237" totalsRowDxfId="233"/>
    <tableColumn id="6" xr3:uid="{00000000-0010-0000-5900-000006000000}" name="سعر الكيلو" dataDxfId="237" totalsRowDxfId="233"/>
    <tableColumn id="7" xr3:uid="{00000000-0010-0000-5900-000007000000}" name="سعر الشبك " dataDxfId="306" totalsRowDxfId="231">
      <calculatedColumnFormula>Sheet2!AW26</calculatedColumnFormula>
    </tableColumn>
    <tableColumn id="8" xr3:uid="{00000000-0010-0000-5900-000008000000}" name="اجمالي" totalsRowFunction="sum" dataDxfId="230" totalsRowDxfId="229">
      <calculatedColumnFormula>BH14*BP14</calculatedColumnFormula>
    </tableColumn>
    <tableColumn id="9" xr3:uid="{00000000-0010-0000-5900-000009000000}" name="%" totalsRowFunction="custom" totalsRowDxfId="228">
      <calculatedColumnFormula>Table15617282[[#Totals],[اجمالي]]/$R$68</calculatedColumnFormula>
      <totalsRowFormula>Table15617282[[#Totals],[اجمالي]]/$R$68</totalsRowFormula>
    </tableColumn>
  </tableColumns>
  <tableStyleInfo name="TableStyleLight16" showFirstColumn="0" showLastColumn="0" showRowStripes="1" showColumnStripes="0"/>
</table>
</file>

<file path=xl/tables/table9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2" xr:uid="{00000000-000C-0000-FFFF-FFFF5A000000}" name="Table16627383" displayName="Table16627383" ref="BG21:BR25" totalsRowCount="1">
  <autoFilter ref="BG21:BR24" xr:uid="{00000000-0009-0000-0100-000052000000}"/>
  <tableColumns count="12">
    <tableColumn id="1" xr3:uid="{00000000-0010-0000-5A00-000001000000}" name="م" totalsRowLabel="Total" dataDxfId="237"/>
    <tableColumn id="2" xr3:uid="{00000000-0010-0000-5A00-000002000000}" name="عدد" totalsRowFunction="count" dataDxfId="237">
      <calculatedColumnFormula>BH20*4</calculatedColumnFormula>
    </tableColumn>
    <tableColumn id="3" xr3:uid="{00000000-0010-0000-5A00-000003000000}" name="بيان" totalsRowLabel="Total" dataDxfId="237"/>
    <tableColumn id="11" xr3:uid="{00000000-0010-0000-5A00-00000B000000}" name="Column2" dataDxfId="237"/>
    <tableColumn id="10" xr3:uid="{00000000-0010-0000-5A00-00000A000000}" name="Column1" dataDxfId="237"/>
    <tableColumn id="12" xr3:uid="{00000000-0010-0000-5A00-00000C000000}" name="Column12" totalsRowFunction="sum" dataDxfId="239">
      <calculatedColumnFormula>(Table16627383[[#This Row],[Column1]]*Table16627383[[#This Row],[Column2]])*Table16627383[[#This Row],[عدد]]</calculatedColumnFormula>
    </tableColumn>
    <tableColumn id="4" xr3:uid="{00000000-0010-0000-5A00-000004000000}" name="الوحده" dataDxfId="237"/>
    <tableColumn id="5" xr3:uid="{00000000-0010-0000-5A00-000005000000}" name="الوزن" totalsRowFunction="custom">
      <totalsRowFormula>(BN23*BH23)+(BH24*BN24)</totalsRowFormula>
    </tableColumn>
    <tableColumn id="6" xr3:uid="{00000000-0010-0000-5A00-000006000000}" name="سعر الكيلو" dataDxfId="234"/>
    <tableColumn id="7" xr3:uid="{00000000-0010-0000-5A00-000007000000}" name="سعر الشبك " dataDxfId="306">
      <calculatedColumnFormula>BN22*$S$2/1000</calculatedColumnFormula>
    </tableColumn>
    <tableColumn id="8" xr3:uid="{00000000-0010-0000-5A00-000008000000}" name="اجمالي" totalsRowFunction="sum" dataDxfId="230">
      <calculatedColumnFormula>BH22*BP22</calculatedColumnFormula>
    </tableColumn>
    <tableColumn id="9" xr3:uid="{00000000-0010-0000-5A00-000009000000}" name="%" totalsRowFunction="custom">
      <calculatedColumnFormula>Table16627383[[#Totals],[اجمالي]]/$R$68</calculatedColumnFormula>
      <totalsRowFormula>Table16627383[[#Totals],[اجمالي]]/$R$68</totalsRowFormula>
    </tableColumn>
  </tableColumns>
  <tableStyleInfo name="TableStyleLight16" showFirstColumn="0" showLastColumn="0" showRowStripes="1" showColumnStripes="0"/>
</table>
</file>

<file path=xl/tables/table9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3" xr:uid="{00000000-000C-0000-FFFF-FFFF5B000000}" name="Table6637484" displayName="Table6637484" ref="CE4:CH15" totalsRowShown="0">
  <autoFilter ref="CE4:CH15" xr:uid="{00000000-0009-0000-0100-000053000000}"/>
  <tableColumns count="4">
    <tableColumn id="1" xr3:uid="{00000000-0010-0000-5B00-000001000000}" name="المادة" dataDxfId="255"/>
    <tableColumn id="2" xr3:uid="{00000000-0010-0000-5B00-000002000000}" name="المعدل" dataDxfId="255"/>
    <tableColumn id="3" xr3:uid="{00000000-0010-0000-5B00-000003000000}" name="الوحدة" dataDxfId="255"/>
    <tableColumn id="4" xr3:uid="{00000000-0010-0000-5B00-000004000000}" name="Column4" dataDxfId="299"/>
  </tableColumns>
  <tableStyleInfo name="TableStyleLight16" showFirstColumn="0" showLastColumn="0" showRowStripes="1" showColumnStripes="0"/>
</table>
</file>

<file path=xl/tables/table9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4" xr:uid="{00000000-000C-0000-FFFF-FFFF5C000000}" name="Table7647585" displayName="Table7647585" ref="CJ4:CN19" totalsRowShown="0">
  <autoFilter ref="CJ4:CN19" xr:uid="{00000000-0009-0000-0100-000054000000}"/>
  <tableColumns count="5">
    <tableColumn id="1" xr3:uid="{00000000-0010-0000-5C00-000001000000}" name="Column1" dataDxfId="255"/>
    <tableColumn id="2" xr3:uid="{00000000-0010-0000-5C00-000002000000}" name="Column2" dataDxfId="299"/>
    <tableColumn id="3" xr3:uid="{00000000-0010-0000-5C00-000003000000}" name="Column3" dataDxfId="255"/>
    <tableColumn id="4" xr3:uid="{00000000-0010-0000-5C00-000004000000}" name="Column4" dataDxfId="255"/>
    <tableColumn id="5" xr3:uid="{00000000-0010-0000-5C00-000005000000}" name="Column5" dataDxfId="255"/>
  </tableColumns>
  <tableStyleInfo name="TableStyleLight16" showFirstColumn="0" showLastColumn="0" showRowStripes="1" showColumnStripes="0"/>
</table>
</file>

<file path=xl/tables/table9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5" xr:uid="{00000000-000C-0000-FFFF-FFFF5D000000}" name="Table1612677686" displayName="Table1612677686" ref="BG50:BR64" totalsRowCount="1">
  <autoFilter ref="BG50:BR63" xr:uid="{00000000-0009-0000-0100-000055000000}"/>
  <tableColumns count="12">
    <tableColumn id="1" xr3:uid="{00000000-0010-0000-5D00-000001000000}" name="م" totalsRowLabel="Total" dataDxfId="237" totalsRowDxfId="278"/>
    <tableColumn id="2" xr3:uid="{00000000-0010-0000-5D00-000002000000}" name="عدد" dataDxfId="250" totalsRowDxfId="278">
      <calculatedColumnFormula>IF((تسعير!$AU$14="بالتات"),0,BH48-2)</calculatedColumnFormula>
    </tableColumn>
    <tableColumn id="3" xr3:uid="{00000000-0010-0000-5D00-000003000000}" name="بيان" totalsRowLabel="Total" dataDxfId="289" totalsRowDxfId="278"/>
    <tableColumn id="5" xr3:uid="{00000000-0010-0000-5D00-000005000000}" name="اليومية / الاجرة" dataDxfId="289" totalsRowDxfId="278"/>
    <tableColumn id="6" xr3:uid="{00000000-0010-0000-5D00-000006000000}" name="بدل الوجبة" dataDxfId="287" totalsRowDxfId="278"/>
    <tableColumn id="11" xr3:uid="{00000000-0010-0000-5D00-00000B000000}" name="موقع العمل" dataDxfId="252" totalsRowDxfId="278">
      <calculatedColumnFormula>تسعير!$AT$44</calculatedColumnFormula>
    </tableColumn>
    <tableColumn id="10" xr3:uid="{00000000-0010-0000-5D00-00000A000000}" name="شيفت العمل" dataDxfId="237" totalsRowDxfId="278"/>
    <tableColumn id="12" xr3:uid="{00000000-0010-0000-5D00-00000C000000}" name="Column12" totalsRowFunction="sum" dataDxfId="239" totalsRowDxfId="93">
      <calculatedColumnFormula>SUMIF(Table17697888[Column1],Table1612677686[[#This Row],[موقع العمل]],$AE$2:$AE$8)</calculatedColumnFormula>
    </tableColumn>
    <tableColumn id="4" xr3:uid="{00000000-0010-0000-5D00-000004000000}" name="عدد الايام" dataDxfId="279" totalsRowDxfId="278"/>
    <tableColumn id="7" xr3:uid="{00000000-0010-0000-5D00-000007000000}" name="اجمالي التكلفة للعامل" dataDxfId="277" totalsRowDxfId="276">
      <calculatedColumnFormula>Table1612677686[[#This Row],[Column12]]</calculatedColumnFormula>
    </tableColumn>
    <tableColumn id="8" xr3:uid="{00000000-0010-0000-5D00-000008000000}" name="اجمالي" totalsRowFunction="sum" dataDxfId="230" totalsRowDxfId="274">
      <calculatedColumnFormula>BH51*BP51</calculatedColumnFormula>
    </tableColumn>
    <tableColumn id="9" xr3:uid="{00000000-0010-0000-5D00-000009000000}" name="%" totalsRowFunction="custom" totalsRowDxfId="273">
      <calculatedColumnFormula>Table1612677686[[#Totals],[اجمالي]]/$R$68</calculatedColumnFormula>
      <totalsRowFormula>Table1612677686[[#Totals],[اجمالي]]/$R$68</totalsRowFormula>
    </tableColumn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6" Type="http://schemas.openxmlformats.org/officeDocument/2006/relationships/hyperlink" Target="http://www.steel-network.com/index.php?go=SteelPricesCountry" TargetMode="Externa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6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" Type="http://schemas.openxmlformats.org/officeDocument/2006/relationships/ctrlProp" Target="../ctrlProps/ctrlProp1.xml"/><Relationship Id="rId7" Type="http://schemas.openxmlformats.org/officeDocument/2006/relationships/ctrlProp" Target="../ctrlProps/ctrlProp5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4.xml"/><Relationship Id="rId1" Type="http://schemas.openxmlformats.org/officeDocument/2006/relationships/drawing" Target="../drawings/drawing2.xml"/><Relationship Id="rId6" Type="http://schemas.openxmlformats.org/officeDocument/2006/relationships/ctrlProp" Target="../ctrlProps/ctrlProp4.xml"/><Relationship Id="rId11" Type="http://schemas.openxmlformats.org/officeDocument/2006/relationships/ctrlProp" Target="../ctrlProps/ctrlProp9.xml"/><Relationship Id="rId5" Type="http://schemas.openxmlformats.org/officeDocument/2006/relationships/ctrlProp" Target="../ctrlProps/ctrlProp3.xml"/><Relationship Id="rId15" Type="http://schemas.openxmlformats.org/officeDocument/2006/relationships/ctrlProp" Target="../ctrlProps/ctrlProp13.xml"/><Relationship Id="rId10" Type="http://schemas.openxmlformats.org/officeDocument/2006/relationships/ctrlProp" Target="../ctrlProps/ctrlProp8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4" Type="http://schemas.openxmlformats.org/officeDocument/2006/relationships/ctrlProp" Target="../ctrlProps/ctrlProp12.xml"/></Relationships>
</file>

<file path=xl/worksheets/_rels/sheet11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2.xml.rels><?xml version="1.0" encoding="UTF-8" standalone="yes"?><Relationships xmlns="http://schemas.openxmlformats.org/package/2006/relationships"><Relationship Id="rId13" Type="http://schemas.openxmlformats.org/officeDocument/2006/relationships/ctrlProp" Target="../ctrlProps/ctrlProp27.xml"/><Relationship Id="rId18" Type="http://schemas.openxmlformats.org/officeDocument/2006/relationships/ctrlProp" Target="../ctrlProps/ctrlProp32.xml"/><Relationship Id="rId26" Type="http://schemas.openxmlformats.org/officeDocument/2006/relationships/ctrlProp" Target="../ctrlProps/ctrlProp40.xml"/><Relationship Id="rId39" Type="http://schemas.openxmlformats.org/officeDocument/2006/relationships/table" Target="../tables/table122.xml"/><Relationship Id="rId21" Type="http://schemas.openxmlformats.org/officeDocument/2006/relationships/ctrlProp" Target="../ctrlProps/ctrlProp35.xml"/><Relationship Id="rId34" Type="http://schemas.openxmlformats.org/officeDocument/2006/relationships/ctrlProp" Target="../ctrlProps/ctrlProp48.xml"/><Relationship Id="rId42" Type="http://schemas.openxmlformats.org/officeDocument/2006/relationships/table" Target="../tables/table125.xml"/><Relationship Id="rId47" Type="http://schemas.openxmlformats.org/officeDocument/2006/relationships/table" Target="../tables/table130.xml"/><Relationship Id="rId7" Type="http://schemas.openxmlformats.org/officeDocument/2006/relationships/ctrlProp" Target="../ctrlProps/ctrlProp21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30.xml"/><Relationship Id="rId29" Type="http://schemas.openxmlformats.org/officeDocument/2006/relationships/ctrlProp" Target="../ctrlProps/ctrlProp43.xml"/><Relationship Id="rId1" Type="http://schemas.openxmlformats.org/officeDocument/2006/relationships/drawing" Target="../drawings/drawing4.xml"/><Relationship Id="rId6" Type="http://schemas.openxmlformats.org/officeDocument/2006/relationships/ctrlProp" Target="../ctrlProps/ctrlProp20.xml"/><Relationship Id="rId11" Type="http://schemas.openxmlformats.org/officeDocument/2006/relationships/ctrlProp" Target="../ctrlProps/ctrlProp25.xml"/><Relationship Id="rId24" Type="http://schemas.openxmlformats.org/officeDocument/2006/relationships/ctrlProp" Target="../ctrlProps/ctrlProp38.xml"/><Relationship Id="rId32" Type="http://schemas.openxmlformats.org/officeDocument/2006/relationships/ctrlProp" Target="../ctrlProps/ctrlProp46.xml"/><Relationship Id="rId37" Type="http://schemas.openxmlformats.org/officeDocument/2006/relationships/table" Target="../tables/table120.xml"/><Relationship Id="rId40" Type="http://schemas.openxmlformats.org/officeDocument/2006/relationships/table" Target="../tables/table123.xml"/><Relationship Id="rId45" Type="http://schemas.openxmlformats.org/officeDocument/2006/relationships/table" Target="../tables/table128.xml"/><Relationship Id="rId5" Type="http://schemas.openxmlformats.org/officeDocument/2006/relationships/ctrlProp" Target="../ctrlProps/ctrlProp19.xml"/><Relationship Id="rId15" Type="http://schemas.openxmlformats.org/officeDocument/2006/relationships/ctrlProp" Target="../ctrlProps/ctrlProp29.xml"/><Relationship Id="rId23" Type="http://schemas.openxmlformats.org/officeDocument/2006/relationships/ctrlProp" Target="../ctrlProps/ctrlProp37.xml"/><Relationship Id="rId28" Type="http://schemas.openxmlformats.org/officeDocument/2006/relationships/ctrlProp" Target="../ctrlProps/ctrlProp42.xml"/><Relationship Id="rId36" Type="http://schemas.openxmlformats.org/officeDocument/2006/relationships/table" Target="../tables/table119.xml"/><Relationship Id="rId10" Type="http://schemas.openxmlformats.org/officeDocument/2006/relationships/ctrlProp" Target="../ctrlProps/ctrlProp24.xml"/><Relationship Id="rId19" Type="http://schemas.openxmlformats.org/officeDocument/2006/relationships/ctrlProp" Target="../ctrlProps/ctrlProp33.xml"/><Relationship Id="rId31" Type="http://schemas.openxmlformats.org/officeDocument/2006/relationships/ctrlProp" Target="../ctrlProps/ctrlProp45.xml"/><Relationship Id="rId44" Type="http://schemas.openxmlformats.org/officeDocument/2006/relationships/table" Target="../tables/table127.xml"/><Relationship Id="rId4" Type="http://schemas.openxmlformats.org/officeDocument/2006/relationships/ctrlProp" Target="../ctrlProps/ctrlProp18.xml"/><Relationship Id="rId9" Type="http://schemas.openxmlformats.org/officeDocument/2006/relationships/ctrlProp" Target="../ctrlProps/ctrlProp23.xml"/><Relationship Id="rId14" Type="http://schemas.openxmlformats.org/officeDocument/2006/relationships/ctrlProp" Target="../ctrlProps/ctrlProp28.xml"/><Relationship Id="rId22" Type="http://schemas.openxmlformats.org/officeDocument/2006/relationships/ctrlProp" Target="../ctrlProps/ctrlProp36.xml"/><Relationship Id="rId27" Type="http://schemas.openxmlformats.org/officeDocument/2006/relationships/ctrlProp" Target="../ctrlProps/ctrlProp41.xml"/><Relationship Id="rId30" Type="http://schemas.openxmlformats.org/officeDocument/2006/relationships/ctrlProp" Target="../ctrlProps/ctrlProp44.xml"/><Relationship Id="rId35" Type="http://schemas.openxmlformats.org/officeDocument/2006/relationships/table" Target="../tables/table118.xml"/><Relationship Id="rId43" Type="http://schemas.openxmlformats.org/officeDocument/2006/relationships/table" Target="../tables/table126.xml"/><Relationship Id="rId8" Type="http://schemas.openxmlformats.org/officeDocument/2006/relationships/ctrlProp" Target="../ctrlProps/ctrlProp22.xml"/><Relationship Id="rId3" Type="http://schemas.openxmlformats.org/officeDocument/2006/relationships/ctrlProp" Target="../ctrlProps/ctrlProp17.xml"/><Relationship Id="rId12" Type="http://schemas.openxmlformats.org/officeDocument/2006/relationships/ctrlProp" Target="../ctrlProps/ctrlProp26.xml"/><Relationship Id="rId17" Type="http://schemas.openxmlformats.org/officeDocument/2006/relationships/ctrlProp" Target="../ctrlProps/ctrlProp31.xml"/><Relationship Id="rId25" Type="http://schemas.openxmlformats.org/officeDocument/2006/relationships/ctrlProp" Target="../ctrlProps/ctrlProp39.xml"/><Relationship Id="rId33" Type="http://schemas.openxmlformats.org/officeDocument/2006/relationships/ctrlProp" Target="../ctrlProps/ctrlProp47.xml"/><Relationship Id="rId38" Type="http://schemas.openxmlformats.org/officeDocument/2006/relationships/table" Target="../tables/table121.xml"/><Relationship Id="rId46" Type="http://schemas.openxmlformats.org/officeDocument/2006/relationships/table" Target="../tables/table129.xml"/><Relationship Id="rId20" Type="http://schemas.openxmlformats.org/officeDocument/2006/relationships/ctrlProp" Target="../ctrlProps/ctrlProp34.xml"/><Relationship Id="rId41" Type="http://schemas.openxmlformats.org/officeDocument/2006/relationships/table" Target="../tables/table124.xml"/></Relationships>
</file>

<file path=xl/worksheets/_rels/sheet13.xml.rels><?xml version="1.0" encoding="UTF-8" standalone="yes"?><Relationships xmlns="http://schemas.openxmlformats.org/package/2006/relationships"><Relationship Id="rId8" Type="http://schemas.openxmlformats.org/officeDocument/2006/relationships/ctrlProp" Target="../ctrlProps/ctrlProp54.xml"/><Relationship Id="rId13" Type="http://schemas.openxmlformats.org/officeDocument/2006/relationships/ctrlProp" Target="../ctrlProps/ctrlProp59.xml"/><Relationship Id="rId18" Type="http://schemas.openxmlformats.org/officeDocument/2006/relationships/ctrlProp" Target="../ctrlProps/ctrlProp64.xml"/><Relationship Id="rId3" Type="http://schemas.openxmlformats.org/officeDocument/2006/relationships/ctrlProp" Target="../ctrlProps/ctrlProp49.xml"/><Relationship Id="rId7" Type="http://schemas.openxmlformats.org/officeDocument/2006/relationships/ctrlProp" Target="../ctrlProps/ctrlProp53.xml"/><Relationship Id="rId12" Type="http://schemas.openxmlformats.org/officeDocument/2006/relationships/ctrlProp" Target="../ctrlProps/ctrlProp58.xml"/><Relationship Id="rId17" Type="http://schemas.openxmlformats.org/officeDocument/2006/relationships/ctrlProp" Target="../ctrlProps/ctrlProp63.xml"/><Relationship Id="rId2" Type="http://schemas.openxmlformats.org/officeDocument/2006/relationships/vmlDrawing" Target="../drawings/vmlDrawing5.vml"/><Relationship Id="rId16" Type="http://schemas.openxmlformats.org/officeDocument/2006/relationships/ctrlProp" Target="../ctrlProps/ctrlProp62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52.xml"/><Relationship Id="rId11" Type="http://schemas.openxmlformats.org/officeDocument/2006/relationships/ctrlProp" Target="../ctrlProps/ctrlProp57.xml"/><Relationship Id="rId5" Type="http://schemas.openxmlformats.org/officeDocument/2006/relationships/ctrlProp" Target="../ctrlProps/ctrlProp51.xml"/><Relationship Id="rId15" Type="http://schemas.openxmlformats.org/officeDocument/2006/relationships/ctrlProp" Target="../ctrlProps/ctrlProp61.xml"/><Relationship Id="rId10" Type="http://schemas.openxmlformats.org/officeDocument/2006/relationships/ctrlProp" Target="../ctrlProps/ctrlProp56.xml"/><Relationship Id="rId4" Type="http://schemas.openxmlformats.org/officeDocument/2006/relationships/ctrlProp" Target="../ctrlProps/ctrlProp50.xml"/><Relationship Id="rId9" Type="http://schemas.openxmlformats.org/officeDocument/2006/relationships/ctrlProp" Target="../ctrlProps/ctrlProp55.xml"/><Relationship Id="rId14" Type="http://schemas.openxmlformats.org/officeDocument/2006/relationships/ctrlProp" Target="../ctrlProps/ctrlProp60.xml"/></Relationships>
</file>

<file path=xl/worksheets/_rels/sheet14.xml.rels><?xml version="1.0" encoding="UTF-8" standalone="yes"?>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2.xml.rels><?xml version="1.0" encoding="UTF-8" standalone="yes"?>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1.xml"/></Relationships>
</file>

<file path=xl/worksheets/_rels/sheet3.xml.rels><?xml version="1.0" encoding="UTF-8" standalone="yes"?>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table" Target="../tables/table7.xml"/><Relationship Id="rId1" Type="http://schemas.openxmlformats.org/officeDocument/2006/relationships/table" Target="../tables/table6.xml"/><Relationship Id="rId4" Type="http://schemas.openxmlformats.org/officeDocument/2006/relationships/table" Target="../tables/table9.xml"/></Relationships>
</file>

<file path=xl/worksheets/_rels/sheet4.xml.rels><?xml version="1.0" encoding="UTF-8" standalone="yes"?><Relationships xmlns="http://schemas.openxmlformats.org/package/2006/relationships"><Relationship Id="rId8" Type="http://schemas.openxmlformats.org/officeDocument/2006/relationships/table" Target="../tables/table15.xml"/><Relationship Id="rId13" Type="http://schemas.openxmlformats.org/officeDocument/2006/relationships/table" Target="../tables/table20.xml"/><Relationship Id="rId3" Type="http://schemas.openxmlformats.org/officeDocument/2006/relationships/table" Target="../tables/table10.xml"/><Relationship Id="rId7" Type="http://schemas.openxmlformats.org/officeDocument/2006/relationships/table" Target="../tables/table14.xml"/><Relationship Id="rId12" Type="http://schemas.openxmlformats.org/officeDocument/2006/relationships/table" Target="../tables/table19.xml"/><Relationship Id="rId2" Type="http://schemas.openxmlformats.org/officeDocument/2006/relationships/vmlDrawing" Target="../drawings/vmlDrawing1.vml"/><Relationship Id="rId6" Type="http://schemas.openxmlformats.org/officeDocument/2006/relationships/table" Target="../tables/table13.xml"/><Relationship Id="rId11" Type="http://schemas.openxmlformats.org/officeDocument/2006/relationships/table" Target="../tables/table18.xml"/><Relationship Id="rId5" Type="http://schemas.openxmlformats.org/officeDocument/2006/relationships/table" Target="../tables/table12.xml"/><Relationship Id="rId10" Type="http://schemas.openxmlformats.org/officeDocument/2006/relationships/table" Target="../tables/table17.xml"/><Relationship Id="rId4" Type="http://schemas.openxmlformats.org/officeDocument/2006/relationships/table" Target="../tables/table11.xml"/><Relationship Id="rId9" Type="http://schemas.openxmlformats.org/officeDocument/2006/relationships/table" Target="../tables/table16.xml"/><Relationship Id="rId14" Type="http://schemas.openxmlformats.org/officeDocument/2006/relationships/comments" Target="../comments1.xml"/></Relationships>
</file>

<file path=xl/worksheets/_rels/sheet5.xml.rels><?xml version="1.0" encoding="UTF-8" standalone="yes"?><Relationships xmlns="http://schemas.openxmlformats.org/package/2006/relationships"><Relationship Id="rId8" Type="http://schemas.openxmlformats.org/officeDocument/2006/relationships/table" Target="../tables/table26.xml"/><Relationship Id="rId13" Type="http://schemas.openxmlformats.org/officeDocument/2006/relationships/table" Target="../tables/table31.xml"/><Relationship Id="rId3" Type="http://schemas.openxmlformats.org/officeDocument/2006/relationships/table" Target="../tables/table21.xml"/><Relationship Id="rId7" Type="http://schemas.openxmlformats.org/officeDocument/2006/relationships/table" Target="../tables/table25.xml"/><Relationship Id="rId12" Type="http://schemas.openxmlformats.org/officeDocument/2006/relationships/table" Target="../tables/table30.xml"/><Relationship Id="rId2" Type="http://schemas.openxmlformats.org/officeDocument/2006/relationships/vmlDrawing" Target="../drawings/vmlDrawing2.vml"/><Relationship Id="rId6" Type="http://schemas.openxmlformats.org/officeDocument/2006/relationships/table" Target="../tables/table24.xml"/><Relationship Id="rId11" Type="http://schemas.openxmlformats.org/officeDocument/2006/relationships/table" Target="../tables/table29.xml"/><Relationship Id="rId5" Type="http://schemas.openxmlformats.org/officeDocument/2006/relationships/table" Target="../tables/table23.xml"/><Relationship Id="rId15" Type="http://schemas.openxmlformats.org/officeDocument/2006/relationships/comments" Target="../comments2.xml"/><Relationship Id="rId10" Type="http://schemas.openxmlformats.org/officeDocument/2006/relationships/table" Target="../tables/table28.xml"/><Relationship Id="rId4" Type="http://schemas.openxmlformats.org/officeDocument/2006/relationships/table" Target="../tables/table22.xml"/><Relationship Id="rId9" Type="http://schemas.openxmlformats.org/officeDocument/2006/relationships/table" Target="../tables/table27.xml"/><Relationship Id="rId14" Type="http://schemas.openxmlformats.org/officeDocument/2006/relationships/table" Target="../tables/table32.xml"/></Relationships>
</file>

<file path=xl/worksheets/_rels/sheet6.xml.rels><?xml version="1.0" encoding="UTF-8" standalone="yes"?><Relationships xmlns="http://schemas.openxmlformats.org/package/2006/relationships"><Relationship Id="rId8" Type="http://schemas.openxmlformats.org/officeDocument/2006/relationships/table" Target="../tables/table40.xml"/><Relationship Id="rId3" Type="http://schemas.openxmlformats.org/officeDocument/2006/relationships/table" Target="../tables/table35.xml"/><Relationship Id="rId7" Type="http://schemas.openxmlformats.org/officeDocument/2006/relationships/table" Target="../tables/table39.xml"/><Relationship Id="rId2" Type="http://schemas.openxmlformats.org/officeDocument/2006/relationships/table" Target="../tables/table34.xml"/><Relationship Id="rId1" Type="http://schemas.openxmlformats.org/officeDocument/2006/relationships/table" Target="../tables/table33.xml"/><Relationship Id="rId6" Type="http://schemas.openxmlformats.org/officeDocument/2006/relationships/table" Target="../tables/table38.xml"/><Relationship Id="rId11" Type="http://schemas.openxmlformats.org/officeDocument/2006/relationships/table" Target="../tables/table43.xml"/><Relationship Id="rId5" Type="http://schemas.openxmlformats.org/officeDocument/2006/relationships/table" Target="../tables/table37.xml"/><Relationship Id="rId10" Type="http://schemas.openxmlformats.org/officeDocument/2006/relationships/table" Target="../tables/table42.xml"/><Relationship Id="rId4" Type="http://schemas.openxmlformats.org/officeDocument/2006/relationships/table" Target="../tables/table36.xml"/><Relationship Id="rId9" Type="http://schemas.openxmlformats.org/officeDocument/2006/relationships/table" Target="../tables/table41.xml"/></Relationships>
</file>

<file path=xl/worksheets/_rels/sheet7.xml.rels><?xml version="1.0" encoding="UTF-8" standalone="yes"?><Relationships xmlns="http://schemas.openxmlformats.org/package/2006/relationships"><Relationship Id="rId8" Type="http://schemas.openxmlformats.org/officeDocument/2006/relationships/table" Target="../tables/table51.xml"/><Relationship Id="rId3" Type="http://schemas.openxmlformats.org/officeDocument/2006/relationships/table" Target="../tables/table46.xml"/><Relationship Id="rId7" Type="http://schemas.openxmlformats.org/officeDocument/2006/relationships/table" Target="../tables/table50.xml"/><Relationship Id="rId2" Type="http://schemas.openxmlformats.org/officeDocument/2006/relationships/table" Target="../tables/table45.xml"/><Relationship Id="rId1" Type="http://schemas.openxmlformats.org/officeDocument/2006/relationships/table" Target="../tables/table44.xml"/><Relationship Id="rId6" Type="http://schemas.openxmlformats.org/officeDocument/2006/relationships/table" Target="../tables/table49.xml"/><Relationship Id="rId5" Type="http://schemas.openxmlformats.org/officeDocument/2006/relationships/table" Target="../tables/table48.xml"/><Relationship Id="rId10" Type="http://schemas.openxmlformats.org/officeDocument/2006/relationships/table" Target="../tables/table53.xml"/><Relationship Id="rId4" Type="http://schemas.openxmlformats.org/officeDocument/2006/relationships/table" Target="../tables/table47.xml"/><Relationship Id="rId9" Type="http://schemas.openxmlformats.org/officeDocument/2006/relationships/table" Target="../tables/table52.xml"/></Relationships>
</file>

<file path=xl/worksheets/_rels/sheet8.xml.rels><?xml version="1.0" encoding="UTF-8" standalone="yes"?><Relationships xmlns="http://schemas.openxmlformats.org/package/2006/relationships"><Relationship Id="rId8" Type="http://schemas.openxmlformats.org/officeDocument/2006/relationships/table" Target="../tables/table61.xml"/><Relationship Id="rId13" Type="http://schemas.openxmlformats.org/officeDocument/2006/relationships/table" Target="../tables/table66.xml"/><Relationship Id="rId18" Type="http://schemas.openxmlformats.org/officeDocument/2006/relationships/table" Target="../tables/table71.xml"/><Relationship Id="rId3" Type="http://schemas.openxmlformats.org/officeDocument/2006/relationships/table" Target="../tables/table56.xml"/><Relationship Id="rId7" Type="http://schemas.openxmlformats.org/officeDocument/2006/relationships/table" Target="../tables/table60.xml"/><Relationship Id="rId12" Type="http://schemas.openxmlformats.org/officeDocument/2006/relationships/table" Target="../tables/table65.xml"/><Relationship Id="rId17" Type="http://schemas.openxmlformats.org/officeDocument/2006/relationships/table" Target="../tables/table70.xml"/><Relationship Id="rId2" Type="http://schemas.openxmlformats.org/officeDocument/2006/relationships/table" Target="../tables/table55.xml"/><Relationship Id="rId16" Type="http://schemas.openxmlformats.org/officeDocument/2006/relationships/table" Target="../tables/table69.xml"/><Relationship Id="rId20" Type="http://schemas.openxmlformats.org/officeDocument/2006/relationships/table" Target="../tables/table73.xml"/><Relationship Id="rId1" Type="http://schemas.openxmlformats.org/officeDocument/2006/relationships/table" Target="../tables/table54.xml"/><Relationship Id="rId6" Type="http://schemas.openxmlformats.org/officeDocument/2006/relationships/table" Target="../tables/table59.xml"/><Relationship Id="rId11" Type="http://schemas.openxmlformats.org/officeDocument/2006/relationships/table" Target="../tables/table64.xml"/><Relationship Id="rId5" Type="http://schemas.openxmlformats.org/officeDocument/2006/relationships/table" Target="../tables/table58.xml"/><Relationship Id="rId15" Type="http://schemas.openxmlformats.org/officeDocument/2006/relationships/table" Target="../tables/table68.xml"/><Relationship Id="rId10" Type="http://schemas.openxmlformats.org/officeDocument/2006/relationships/table" Target="../tables/table63.xml"/><Relationship Id="rId19" Type="http://schemas.openxmlformats.org/officeDocument/2006/relationships/table" Target="../tables/table72.xml"/><Relationship Id="rId4" Type="http://schemas.openxmlformats.org/officeDocument/2006/relationships/table" Target="../tables/table57.xml"/><Relationship Id="rId9" Type="http://schemas.openxmlformats.org/officeDocument/2006/relationships/table" Target="../tables/table62.xml"/><Relationship Id="rId14" Type="http://schemas.openxmlformats.org/officeDocument/2006/relationships/table" Target="../tables/table67.xml"/></Relationships>
</file>

<file path=xl/worksheets/_rels/sheet9.xml.rels><?xml version="1.0" encoding="UTF-8" standalone="yes"?><Relationships xmlns="http://schemas.openxmlformats.org/package/2006/relationships"><Relationship Id="rId13" Type="http://schemas.openxmlformats.org/officeDocument/2006/relationships/table" Target="../tables/table85.xml"/><Relationship Id="rId18" Type="http://schemas.openxmlformats.org/officeDocument/2006/relationships/table" Target="../tables/table90.xml"/><Relationship Id="rId26" Type="http://schemas.openxmlformats.org/officeDocument/2006/relationships/table" Target="../tables/table98.xml"/><Relationship Id="rId39" Type="http://schemas.openxmlformats.org/officeDocument/2006/relationships/table" Target="../tables/table111.xml"/><Relationship Id="rId21" Type="http://schemas.openxmlformats.org/officeDocument/2006/relationships/table" Target="../tables/table93.xml"/><Relationship Id="rId34" Type="http://schemas.openxmlformats.org/officeDocument/2006/relationships/table" Target="../tables/table106.xml"/><Relationship Id="rId42" Type="http://schemas.openxmlformats.org/officeDocument/2006/relationships/table" Target="../tables/table114.xml"/><Relationship Id="rId7" Type="http://schemas.openxmlformats.org/officeDocument/2006/relationships/table" Target="../tables/table79.xml"/><Relationship Id="rId2" Type="http://schemas.openxmlformats.org/officeDocument/2006/relationships/table" Target="../tables/table74.xml"/><Relationship Id="rId16" Type="http://schemas.openxmlformats.org/officeDocument/2006/relationships/table" Target="../tables/table88.xml"/><Relationship Id="rId29" Type="http://schemas.openxmlformats.org/officeDocument/2006/relationships/table" Target="../tables/table101.xml"/><Relationship Id="rId6" Type="http://schemas.openxmlformats.org/officeDocument/2006/relationships/table" Target="../tables/table78.xml"/><Relationship Id="rId11" Type="http://schemas.openxmlformats.org/officeDocument/2006/relationships/table" Target="../tables/table83.xml"/><Relationship Id="rId24" Type="http://schemas.openxmlformats.org/officeDocument/2006/relationships/table" Target="../tables/table96.xml"/><Relationship Id="rId32" Type="http://schemas.openxmlformats.org/officeDocument/2006/relationships/table" Target="../tables/table104.xml"/><Relationship Id="rId37" Type="http://schemas.openxmlformats.org/officeDocument/2006/relationships/table" Target="../tables/table109.xml"/><Relationship Id="rId40" Type="http://schemas.openxmlformats.org/officeDocument/2006/relationships/table" Target="../tables/table112.xml"/><Relationship Id="rId45" Type="http://schemas.openxmlformats.org/officeDocument/2006/relationships/table" Target="../tables/table117.xml"/><Relationship Id="rId5" Type="http://schemas.openxmlformats.org/officeDocument/2006/relationships/table" Target="../tables/table77.xml"/><Relationship Id="rId15" Type="http://schemas.openxmlformats.org/officeDocument/2006/relationships/table" Target="../tables/table87.xml"/><Relationship Id="rId23" Type="http://schemas.openxmlformats.org/officeDocument/2006/relationships/table" Target="../tables/table95.xml"/><Relationship Id="rId28" Type="http://schemas.openxmlformats.org/officeDocument/2006/relationships/table" Target="../tables/table100.xml"/><Relationship Id="rId36" Type="http://schemas.openxmlformats.org/officeDocument/2006/relationships/table" Target="../tables/table108.xml"/><Relationship Id="rId10" Type="http://schemas.openxmlformats.org/officeDocument/2006/relationships/table" Target="../tables/table82.xml"/><Relationship Id="rId19" Type="http://schemas.openxmlformats.org/officeDocument/2006/relationships/table" Target="../tables/table91.xml"/><Relationship Id="rId31" Type="http://schemas.openxmlformats.org/officeDocument/2006/relationships/table" Target="../tables/table103.xml"/><Relationship Id="rId44" Type="http://schemas.openxmlformats.org/officeDocument/2006/relationships/table" Target="../tables/table116.xml"/><Relationship Id="rId4" Type="http://schemas.openxmlformats.org/officeDocument/2006/relationships/table" Target="../tables/table76.xml"/><Relationship Id="rId9" Type="http://schemas.openxmlformats.org/officeDocument/2006/relationships/table" Target="../tables/table81.xml"/><Relationship Id="rId14" Type="http://schemas.openxmlformats.org/officeDocument/2006/relationships/table" Target="../tables/table86.xml"/><Relationship Id="rId22" Type="http://schemas.openxmlformats.org/officeDocument/2006/relationships/table" Target="../tables/table94.xml"/><Relationship Id="rId27" Type="http://schemas.openxmlformats.org/officeDocument/2006/relationships/table" Target="../tables/table99.xml"/><Relationship Id="rId30" Type="http://schemas.openxmlformats.org/officeDocument/2006/relationships/table" Target="../tables/table102.xml"/><Relationship Id="rId35" Type="http://schemas.openxmlformats.org/officeDocument/2006/relationships/table" Target="../tables/table107.xml"/><Relationship Id="rId43" Type="http://schemas.openxmlformats.org/officeDocument/2006/relationships/table" Target="../tables/table115.xml"/><Relationship Id="rId8" Type="http://schemas.openxmlformats.org/officeDocument/2006/relationships/table" Target="../tables/table80.xml"/><Relationship Id="rId3" Type="http://schemas.openxmlformats.org/officeDocument/2006/relationships/table" Target="../tables/table75.xml"/><Relationship Id="rId12" Type="http://schemas.openxmlformats.org/officeDocument/2006/relationships/table" Target="../tables/table84.xml"/><Relationship Id="rId17" Type="http://schemas.openxmlformats.org/officeDocument/2006/relationships/table" Target="../tables/table89.xml"/><Relationship Id="rId25" Type="http://schemas.openxmlformats.org/officeDocument/2006/relationships/table" Target="../tables/table97.xml"/><Relationship Id="rId33" Type="http://schemas.openxmlformats.org/officeDocument/2006/relationships/table" Target="../tables/table105.xml"/><Relationship Id="rId38" Type="http://schemas.openxmlformats.org/officeDocument/2006/relationships/table" Target="../tables/table110.xml"/><Relationship Id="rId20" Type="http://schemas.openxmlformats.org/officeDocument/2006/relationships/table" Target="../tables/table92.xml"/><Relationship Id="rId41" Type="http://schemas.openxmlformats.org/officeDocument/2006/relationships/table" Target="../tables/table11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J62"/>
  <sheetViews>
    <sheetView rightToLeft="1" zoomScale="115" zoomScaleNormal="115" zoomScaleSheetLayoutView="70" workbookViewId="0">
      <selection activeCell="B2" sqref="B2"/>
    </sheetView>
  </sheetViews>
  <sheetFormatPr defaultColWidth="9.109375" defaultRowHeight="14.4"/>
  <cols>
    <col min="1" max="1" width="36.33203125" customWidth="1" style="233"/>
    <col min="2" max="2" width="19" customWidth="1" style="233"/>
    <col min="3" max="3" width="11" customWidth="1" style="233"/>
    <col min="4" max="4" width="18.109375" customWidth="1" style="233"/>
    <col min="5" max="6" width="9.109375" customWidth="1" style="233"/>
    <col min="7" max="9" width="11" customWidth="1" style="233"/>
    <col min="10" max="16384" width="9.109375" customWidth="1" style="233"/>
  </cols>
  <sheetData>
    <row r="1" ht="24.75" customHeight="1" s="361" customFormat="1">
      <c r="A1" s="361" t="s">
        <v>606</v>
      </c>
      <c r="B1" s="361" t="s">
        <v>607</v>
      </c>
      <c r="C1" s="361" t="s">
        <v>608</v>
      </c>
      <c r="D1" s="361" t="s">
        <v>96</v>
      </c>
      <c r="E1" s="492"/>
      <c r="F1" s="493"/>
      <c r="G1" s="800" t="s">
        <v>609</v>
      </c>
      <c r="H1" s="800"/>
      <c r="I1" s="800"/>
      <c r="J1" s="504"/>
    </row>
    <row r="2" ht="21">
      <c r="A2" s="582" t="s">
        <v>610</v>
      </c>
      <c r="B2" s="566" t="s">
        <v>611</v>
      </c>
      <c r="C2" s="494" t="s">
        <v>233</v>
      </c>
      <c r="D2" s="495" t="s">
        <v>612</v>
      </c>
      <c r="E2" s="492"/>
      <c r="F2" s="496"/>
      <c r="G2" s="233" t="s">
        <v>9</v>
      </c>
      <c r="H2" s="233" t="s">
        <v>30</v>
      </c>
      <c r="I2" s="233" t="s">
        <v>96</v>
      </c>
      <c r="J2" s="505"/>
    </row>
    <row r="3" ht="21">
      <c r="A3" s="583" t="s">
        <v>613</v>
      </c>
      <c r="B3" s="567" t="s">
        <v>614</v>
      </c>
      <c r="C3" s="497" t="s">
        <v>229</v>
      </c>
      <c r="D3" s="498" t="s">
        <v>615</v>
      </c>
      <c r="E3" s="492"/>
      <c r="F3" s="496"/>
      <c r="G3" s="233" t="str">
        <f>IF(AND((تسعير!U14=D2),(تسعير!X8&lt;801)),"A",IF(AND((تسعير!U14=D3),(تسعير!X8&lt;801)),"B",IF(AND(,(تسعير!U14=D2),(تسعير!X8&gt;800)),"C",IF(AND((تسعير!U14=D3),(تسعير!X8&gt;800)),"D","no"))))</f>
        <v>B</v>
      </c>
      <c r="H3" s="233" t="str">
        <f>IF(AND((Table20[[#This Row],[Column1]]="A"),(تسعير!AA10&lt;451),(تسعير!AA10&gt;0)),"A1",IF(AND((Table20[[#This Row],[Column1]]="A"),(تسعير!AA10&lt;901),(تسعير!AA10&gt;450)),"A2",IF(AND((Table20[[#This Row],[Column1]]="A"),(تسعير!AA10&lt;1201),(تسعير!AA10&gt;900)),"A3",IF(AND((Table20[[#This Row],[Column1]]="B"),(تسعير!AA10&lt;451),(تسعير!AA10&gt;0)),"B1",IF(AND((Table20[[#This Row],[Column1]]="B"),(تسعير!AA10&lt;901),(تسعير!AA10&gt;450)),"B2",IF(AND((Table20[[#This Row],[Column1]]="B"),(تسعير!AA10&lt;1201),(تسعير!AA10&gt;900)),"B3",IF(AND((Table20[[#This Row],[Column1]]="C"),(تسعير!AA10&lt;451),(تسعير!AA10&gt;0)),"C1",IF(AND((Table20[[#This Row],[Column1]]="C"),(تسعير!AA10&lt;901),(تسعير!AA10&gt;450)),"C2",IF(AND((Table20[[#This Row],[Column1]]="C"),(تسعير!AA10&lt;1201),(تسعير!AA10&gt;900)),"C3",IF(AND((Table20[[#This Row],[Column1]]="D"),(تسعير!AA10&lt;451),(تسعير!AA10&gt;0)),"D1",IF(AND((Table20[[#This Row],[Column1]]="D"),(تسعير!AA10&lt;901),(تسعير!AA10&gt;450)),"D2",IF(AND((Table20[[#This Row],[Column1]]="D"),(تسعير!AA10&lt;1201),(تسعير!AA10&gt;900)),"D3","NO"))))))))))))</f>
        <v>B1</v>
      </c>
      <c r="I3" s="233">
        <f>Table1[[#Totals],[اجمالي]]+Table14[[#Totals],[اجمالي]]+Table15[[#Totals],[اجمالي]]+Table16[[#Totals],[اجمالي]]+Table1610[[#Totals],[اجمالي]]</f>
        <v>16973</v>
      </c>
      <c r="J3" s="505"/>
    </row>
    <row r="4" ht="21">
      <c r="A4" s="499"/>
      <c r="B4" s="500"/>
      <c r="C4" s="500"/>
      <c r="D4" s="501"/>
      <c r="E4" s="492"/>
      <c r="F4" s="496"/>
      <c r="G4" s="801" t="s">
        <v>616</v>
      </c>
      <c r="H4" s="801"/>
      <c r="I4" s="801"/>
      <c r="J4" s="505"/>
    </row>
    <row r="5" ht="21">
      <c r="A5" s="582" t="s">
        <v>610</v>
      </c>
      <c r="B5" s="566" t="s">
        <v>611</v>
      </c>
      <c r="C5" s="494" t="s">
        <v>233</v>
      </c>
      <c r="D5" s="495" t="s">
        <v>612</v>
      </c>
      <c r="E5" s="492"/>
      <c r="F5" s="496"/>
      <c r="G5" s="233" t="s">
        <v>9</v>
      </c>
      <c r="H5" s="233" t="s">
        <v>30</v>
      </c>
      <c r="I5" s="233" t="s">
        <v>96</v>
      </c>
      <c r="J5" s="505"/>
    </row>
    <row r="6" ht="21" customHeight="1">
      <c r="A6" s="583" t="s">
        <v>613</v>
      </c>
      <c r="B6" s="567" t="s">
        <v>614</v>
      </c>
      <c r="C6" s="497" t="s">
        <v>229</v>
      </c>
      <c r="D6" s="498" t="s">
        <v>615</v>
      </c>
      <c r="E6" s="492"/>
      <c r="F6" s="496"/>
      <c r="G6" s="233" t="str">
        <f>IF(AND((تسعير!X31&gt;100),(تسعير!X31&lt;=400),(تسعير!T32=Sheet2!D5)),"E",IF(AND((تسعير!X31&gt;400),(تسعير!X31&lt;=800),(تسعير!T32=Sheet2!D5)),"F",IF(AND((تسعير!X31&gt;100),(تسعير!X31&lt;=400),(تسعير!T32=Sheet2!D6)),"G",IF(AND((تسعير!X31&gt;400),(تسعير!X31&lt;=800),(تسعير!T32=Sheet2!D6)),"H",IF(AND((تسعير!T32=Sheet2!D5),(تسعير!X31&gt;800)),"I",IF(AND((تسعير!T32=Sheet2!D6),(تسعير!X31&gt;800)),"J","NO"))))))</f>
        <v>E</v>
      </c>
      <c r="H6" s="233" t="str">
        <f>IF(AND((Table2020[[#This Row],[Column1]]="E"),(تسعير!AA33&lt;451),(تسعير!AA33&gt;0)),"E1",IF(AND((Table2020[[#This Row],[Column1]]="E"),(تسعير!AA33&lt;901),(تسعير!AA33&gt;450)),"E2",IF(AND((Table2020[[#This Row],[Column1]]="E"),(تسعير!AA33&lt;1201),(تسعير!AA33&gt;900)),"E3",IF(AND((Table2020[[#This Row],[Column1]]="F"),(تسعير!AA33&lt;451),(تسعير!AA33&gt;0)),"F1",IF(AND((Table2020[[#This Row],[Column1]]="F"),(تسعير!AA33&lt;901),(تسعير!AA33&gt;450)),"F2",IF(AND((Table2020[[#This Row],[Column1]]="F"),(تسعير!AA33&lt;1201),(تسعير!AA33&gt;900)),"F3",IF(AND((Table2020[[#This Row],[Column1]]="G"),(تسعير!AA33&lt;451),(تسعير!AA33&gt;0)),"G1",IF(AND((Table2020[[#This Row],[Column1]]="G"),(تسعير!AA33&lt;901),(تسعير!AA33&gt;450)),"G2",IF(AND((Table2020[[#This Row],[Column1]]="G"),(تسعير!AA10&lt;1201),(تسعير!AA10&gt;900)),"G3",IF(AND((Table2020[[#This Row],[Column1]]="H"),(تسعير!AA33&lt;451),(تسعير!AA33&gt;0)),"H1",IF(AND((Table2020[[#This Row],[Column1]]="H"),(تسعير!AA33&lt;901),(تسعير!AA33&gt;450)),"H2",IF(AND((Table2020[[#This Row],[Column1]]="H"),(تسعير!AA33&lt;1201),(تسعير!AA33&gt;900)),"H3",IF(AND((Table2020[[#This Row],[Column1]]="I"),(تسعير!AA33&lt;451),(تسعير!AA33&gt;0)),"I1",IF(AND((Table2020[[#This Row],[Column1]]="I"),(تسعير!AA33&lt;901),(تسعير!AA33&gt;450)),"I2",IF(AND((Table2020[[#This Row],[Column1]]="I"),(تسعير!AA33&lt;1201),(تسعير!AA33&gt;900)),"I3",IF(AND((Table2020[[#This Row],[Column1]]="J"),(تسعير!AA33&lt;451),(تسعير!AA33&gt;0)),"J1",IF(AND((Table2020[[#This Row],[Column1]]="J"),(تسعير!AA33&lt;901),(تسعير!AA33&gt;450)),"J2",IF(AND((Table2020[[#This Row],[Column1]]="J"),(تسعير!AA33&lt;1201),(تسعير!AA33&gt;900)),"J3","NO"))))))))))))))))))</f>
        <v>E1</v>
      </c>
      <c r="I6" s="506">
        <f>Table118[[#Totals],[اجمالي]]+Table1421[[#Totals],[اجمالي]]+Table1522[[#Totals],[اجمالي]]+Table1624[[#Totals],[اجمالي]]+Table1319[[#Totals],[اجمالي]]+Table161027[[#Totals],[اجمالي]]</f>
        <v>53544.25</v>
      </c>
      <c r="J6" s="505"/>
    </row>
    <row r="7" ht="21" customHeight="1">
      <c r="A7" s="502"/>
      <c r="B7" s="500"/>
      <c r="C7" s="500"/>
      <c r="D7" s="501"/>
      <c r="E7" s="492"/>
      <c r="F7" s="502"/>
      <c r="G7" s="503"/>
      <c r="H7" s="503"/>
      <c r="I7" s="503"/>
      <c r="J7" s="507"/>
    </row>
    <row r="10" ht="21">
      <c r="A10" s="802" t="s">
        <v>617</v>
      </c>
      <c r="B10" s="802"/>
    </row>
    <row r="11">
      <c r="A11" s="233" t="s">
        <v>448</v>
      </c>
      <c r="B11" s="233" t="s">
        <v>386</v>
      </c>
    </row>
    <row r="12">
      <c r="A12" s="233" t="s">
        <v>618</v>
      </c>
      <c r="B12" s="233">
        <v>45000</v>
      </c>
    </row>
    <row r="13">
      <c r="A13" s="233" t="s">
        <v>619</v>
      </c>
      <c r="B13" s="233">
        <v>50000</v>
      </c>
    </row>
    <row r="14">
      <c r="A14" s="233" t="s">
        <v>237</v>
      </c>
      <c r="B14" s="233">
        <v>252000</v>
      </c>
    </row>
    <row r="15">
      <c r="A15" s="233" t="s">
        <v>620</v>
      </c>
      <c r="B15" s="233">
        <v>70000</v>
      </c>
    </row>
    <row r="16">
      <c r="A16" s="233" t="s">
        <v>621</v>
      </c>
      <c r="B16" s="233">
        <v>950</v>
      </c>
    </row>
    <row r="17">
      <c r="A17" s="233" t="s">
        <v>622</v>
      </c>
      <c r="B17" s="233">
        <v>175</v>
      </c>
    </row>
    <row r="18">
      <c r="A18" s="233" t="s">
        <v>113</v>
      </c>
      <c r="B18" s="233">
        <v>360</v>
      </c>
    </row>
    <row r="19">
      <c r="A19" s="233" t="s">
        <v>157</v>
      </c>
      <c r="B19" s="233">
        <v>250</v>
      </c>
    </row>
    <row r="20">
      <c r="A20" s="233" t="s">
        <v>115</v>
      </c>
      <c r="B20" s="233">
        <v>435</v>
      </c>
    </row>
    <row r="21">
      <c r="A21" s="233" t="s">
        <v>158</v>
      </c>
      <c r="B21" s="233">
        <v>470</v>
      </c>
    </row>
    <row r="22">
      <c r="A22" s="233" t="s">
        <v>67</v>
      </c>
      <c r="B22" s="233">
        <v>190</v>
      </c>
    </row>
    <row r="23">
      <c r="A23" s="233" t="s">
        <v>70</v>
      </c>
      <c r="B23" s="233">
        <v>190</v>
      </c>
    </row>
    <row r="24">
      <c r="A24" s="233" t="s">
        <v>107</v>
      </c>
      <c r="B24" s="233">
        <v>400</v>
      </c>
    </row>
    <row r="25">
      <c r="A25" s="233" t="s">
        <v>45</v>
      </c>
      <c r="B25" s="233">
        <v>95</v>
      </c>
    </row>
    <row r="26">
      <c r="A26" s="233" t="s">
        <v>110</v>
      </c>
      <c r="B26" s="233">
        <v>220</v>
      </c>
    </row>
    <row r="27">
      <c r="A27" s="233" t="s">
        <v>111</v>
      </c>
      <c r="B27" s="233">
        <v>510</v>
      </c>
    </row>
    <row r="28">
      <c r="A28" s="233" t="s">
        <v>76</v>
      </c>
      <c r="B28" s="233">
        <v>400</v>
      </c>
    </row>
    <row r="29">
      <c r="A29" s="233" t="s">
        <v>90</v>
      </c>
      <c r="B29" s="233">
        <v>700</v>
      </c>
    </row>
    <row r="30">
      <c r="A30" s="233" t="s">
        <v>93</v>
      </c>
      <c r="B30" s="233">
        <v>1200</v>
      </c>
    </row>
    <row r="31">
      <c r="A31" s="233" t="s">
        <v>94</v>
      </c>
      <c r="B31" s="233">
        <v>450</v>
      </c>
    </row>
    <row r="32">
      <c r="A32" s="233" t="s">
        <v>121</v>
      </c>
      <c r="B32" s="233">
        <v>8000</v>
      </c>
    </row>
    <row r="33">
      <c r="A33" s="546" t="s">
        <v>623</v>
      </c>
      <c r="B33" s="233">
        <v>8000</v>
      </c>
    </row>
    <row r="34">
      <c r="A34" s="233" t="s">
        <v>410</v>
      </c>
      <c r="B34" s="233">
        <v>2000</v>
      </c>
    </row>
    <row r="35">
      <c r="A35" s="233" t="s">
        <v>418</v>
      </c>
      <c r="B35" s="233">
        <v>750</v>
      </c>
    </row>
    <row r="36">
      <c r="A36" s="233" t="s">
        <v>420</v>
      </c>
      <c r="B36" s="233">
        <v>750</v>
      </c>
    </row>
    <row r="37">
      <c r="A37" s="233" t="s">
        <v>428</v>
      </c>
      <c r="B37" s="233">
        <v>5000</v>
      </c>
    </row>
    <row r="38">
      <c r="A38" s="233" t="s">
        <v>430</v>
      </c>
      <c r="B38" s="233">
        <v>800</v>
      </c>
    </row>
    <row r="39">
      <c r="A39" s="233" t="s">
        <v>435</v>
      </c>
      <c r="B39" s="233">
        <v>150</v>
      </c>
    </row>
    <row r="40">
      <c r="A40" s="233" t="s">
        <v>624</v>
      </c>
      <c r="B40" s="233">
        <v>90</v>
      </c>
    </row>
    <row r="41">
      <c r="A41" s="233" t="s">
        <v>625</v>
      </c>
      <c r="B41" s="233">
        <v>30</v>
      </c>
    </row>
    <row r="42" ht="18">
      <c r="A42" s="547" t="s">
        <v>626</v>
      </c>
      <c r="B42" s="233">
        <v>750</v>
      </c>
    </row>
    <row r="43" ht="18">
      <c r="A43" s="547" t="s">
        <v>627</v>
      </c>
      <c r="B43" s="233">
        <v>130</v>
      </c>
    </row>
    <row r="44" ht="18">
      <c r="A44" s="547" t="s">
        <v>628</v>
      </c>
      <c r="B44" s="233">
        <v>400</v>
      </c>
    </row>
    <row r="45">
      <c r="A45" s="233" t="s">
        <v>629</v>
      </c>
      <c r="B45" s="233">
        <v>2000</v>
      </c>
    </row>
    <row r="46">
      <c r="A46" s="233" t="s">
        <v>630</v>
      </c>
      <c r="B46" s="233">
        <v>1500</v>
      </c>
    </row>
    <row r="47">
      <c r="A47" s="233" t="s">
        <v>631</v>
      </c>
      <c r="B47" s="233">
        <v>125</v>
      </c>
    </row>
    <row r="48">
      <c r="A48" s="233" t="s">
        <v>632</v>
      </c>
      <c r="B48" s="233">
        <v>25</v>
      </c>
    </row>
    <row r="49">
      <c r="A49" s="233" t="s">
        <v>633</v>
      </c>
      <c r="B49" s="233">
        <v>1200</v>
      </c>
    </row>
    <row r="50">
      <c r="A50" s="233" t="s">
        <v>278</v>
      </c>
      <c r="B50" s="233">
        <v>120</v>
      </c>
    </row>
    <row r="51">
      <c r="A51" s="233" t="s">
        <v>634</v>
      </c>
      <c r="B51" s="233">
        <v>120</v>
      </c>
    </row>
    <row r="52">
      <c r="A52" s="233" t="s">
        <v>635</v>
      </c>
      <c r="B52" s="233">
        <v>150</v>
      </c>
    </row>
    <row r="53">
      <c r="A53" s="233" t="s">
        <v>636</v>
      </c>
      <c r="B53" s="233">
        <v>70</v>
      </c>
    </row>
    <row r="54">
      <c r="A54" s="233" t="s">
        <v>637</v>
      </c>
      <c r="B54" s="233">
        <v>1200</v>
      </c>
    </row>
    <row r="55">
      <c r="A55" s="546" t="s">
        <v>638</v>
      </c>
      <c r="B55" s="233">
        <v>18000</v>
      </c>
    </row>
    <row r="56">
      <c r="A56" s="546" t="s">
        <v>639</v>
      </c>
      <c r="B56" s="233">
        <v>6000</v>
      </c>
    </row>
    <row r="57">
      <c r="A57" s="546" t="s">
        <v>640</v>
      </c>
      <c r="B57" s="233">
        <v>9000</v>
      </c>
    </row>
    <row r="58">
      <c r="A58" s="233" t="s">
        <v>641</v>
      </c>
      <c r="B58" s="233">
        <v>200</v>
      </c>
    </row>
    <row r="59">
      <c r="A59" s="632" t="s">
        <v>642</v>
      </c>
      <c r="B59" s="233">
        <v>200</v>
      </c>
    </row>
    <row r="60">
      <c r="A60" s="361" t="s">
        <v>458</v>
      </c>
      <c r="B60" s="233">
        <v>600</v>
      </c>
    </row>
    <row r="61">
      <c r="A61" s="361" t="s">
        <v>473</v>
      </c>
      <c r="B61" s="233">
        <v>900</v>
      </c>
    </row>
    <row r="62">
      <c r="A62" s="796" t="s">
        <v>643</v>
      </c>
      <c r="B62" s="233">
        <v>500</v>
      </c>
    </row>
  </sheetData>
  <sheetProtection selectLockedCells="1" autoFilter="0" selectUnlockedCells="1"/>
  <mergeCells>
    <mergeCell ref="G1:I1"/>
    <mergeCell ref="G4:I4"/>
    <mergeCell ref="A10:B10"/>
  </mergeCells>
  <hyperlinks>
    <hyperlink ref="G1:I1" location="Royal!A1" display="مثبتة علي الحائط"/>
    <hyperlink ref="H1:J1" location="Royal!A1" display="مثبتة علي الحائط"/>
    <hyperlink ref="I1:K1" location="Royal!A1" display="مثبتة علي الحائط"/>
    <hyperlink ref="G4:I4" location="Royal2!A1" display="مثبتة غير علي الحائط"/>
    <hyperlink ref="H4:J4" location="Royal2!A1" display="مثبتة غير علي الحائط"/>
    <hyperlink ref="I4:K4" location="Royal2!A1" display="مثبتة غير علي الحائط"/>
    <hyperlink ref="I8" r:id="rId6"/>
  </hyperlinks>
  <printOptions horizontalCentered="1" verticalCentered="1"/>
  <pageMargins left="0" right="0" top="0" bottom="0" header="0" footer="0"/>
  <pageSetup paperSize="9" scale="65" orientation="landscape"/>
  <headerFooter/>
  <tableParts count="4">
    <tablePart r:id="rId2"/>
    <tablePart r:id="rId3"/>
    <tablePart r:id="rId4"/>
    <tablePart r:id="rId5"/>
  </tableParts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4"/>
  <dimension ref="A1:S30"/>
  <sheetViews>
    <sheetView zoomScale="110" zoomScaleNormal="110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1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تسعير!AA10</f>
        <v>400</v>
      </c>
      <c r="D7" s="182" t="s">
        <v>164</v>
      </c>
      <c r="E7" s="183">
        <f>تسعير!X8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Φωτισμου'!B9</f>
        <v>3</v>
      </c>
    </row>
    <row r="19" ht="18" customHeight="1">
      <c r="A19" s="897" t="s">
        <v>355</v>
      </c>
      <c r="B19" s="898"/>
      <c r="C19" s="14">
        <f>'Format Φωτισμου'!B12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Format!A7=1,Format!C19,IF(Format!A7=2,Format!C19,IF(Format!A7=3,Format!C19,IF(Format!A7=4,Format!C19,IF(Format!A7=5,Format!C19,IF(Format!A7=6,Format!E19,IF(Format!A7=7,Format!E19,IF(Format!A7=8,Format!E19,IF(Format!A7=9,Format!E19,IF(Format!A7=10,Format!E19,IF(Format!A7=11,Format!D19,IF(Format!A7=12,Format!F19,IF(Format!A7=13,Format!F19)))))))))))))</f>
        <v>2</v>
      </c>
      <c r="H27" s="185">
        <f>IF(Format!J8=3,تسجيل1!G27,IF(Format!J8=1,تسجيل1!G27-2,IF(Format!J8=2,تسجيل1!G27-1,IF(Format!J8=4,تسجيل1!G27+1,IF(Format!J8=5,تسجيل1!G27+2)))))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IF(Format!A7=1,Format!E31,IF(Format!A7=2,Format!E31,IF(Format!A7=3,Format!E31,IF(Format!A7=4,Format!E31,IF(Format!A7=5,Format!E31,Format!U31)))))</f>
        <v>5</v>
      </c>
      <c r="H28" s="185">
        <f>IF(Format!K14=6,0,IF(Format!K14=1,-5,IF(Format!K14=2,-4,IF(Format!K14=3,-3,IF(Format!K14=4,-2,IF(Format!K14=5,-1,IF(Format!K14=7,1,IF(Format!K14=8,2,IF(Format!K14=9,3,IF(Format!K14=10,4,IF(Format!K14=11,5,)))))))))))+G28</f>
        <v>5</v>
      </c>
    </row>
    <row r="29" ht="18" customHeight="1">
      <c r="G29" s="185">
        <f>IF(H27=2,2,H27+1)</f>
        <v>2</v>
      </c>
      <c r="H29" s="185">
        <f>IF(Format!L14=6,0,IF(Format!L14=1,-5,IF(Format!L14=2,-4,IF(Format!L14=3,-3,IF(Format!L14=4,-2,IF(Format!L14=5,-1,IF(Format!L14=7,1,IF(Format!L14=8,2,IF(Format!L14=9,3,IF(Format!L14=10,4,IF(Format!L14=11,5,)))))))))))+G29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IF(Format!M8=3,G30,IF(Format!M8=1,G30-2,IF(Format!M8=2,G30-1,IF(Format!M8=4,G30+1,IF(Format!M8=5,G30+2)))))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5">
    <pageSetUpPr fitToPage="1"/>
  </sheetPr>
  <dimension ref="A1:AB98"/>
  <sheetViews>
    <sheetView rightToLeft="1" topLeftCell="J1" zoomScaleNormal="100" workbookViewId="0">
      <selection activeCell="AC1" sqref="AC1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9.6640625" customWidth="1" style="59"/>
    <col min="16" max="16" width="5" customWidth="1" style="60"/>
    <col min="17" max="17" width="8.33203125" customWidth="1" style="60"/>
    <col min="18" max="18" width="4.6640625" customWidth="1" style="60"/>
    <col min="19" max="19" width="10.5546875" customWidth="1" style="60"/>
    <col min="20" max="20" width="16.5546875" customWidth="1" style="61"/>
    <col min="21" max="21" width="10" customWidth="1" style="60"/>
    <col min="22" max="22" width="13.5546875" customWidth="1" style="60"/>
    <col min="23" max="23" width="14" customWidth="1" style="60"/>
    <col min="24" max="24" width="15.88671875" customWidth="1" style="60"/>
    <col min="25" max="25" width="8.554687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366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IF(تسعير!T6="سادة",Royal!J2+20000,IF(تسعير!T6="خشبي",Royal!J2+40000,0))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تسجيل1!C7</f>
        <v>400</v>
      </c>
      <c r="L6" s="1009"/>
      <c r="M6" s="94" t="s">
        <v>373</v>
      </c>
      <c r="N6" s="186">
        <f>تسجيل1!E7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3701.4811466796359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Οδηγων'!R16,IF(Format!A7=2,'Format Οδηγων'!R16,IF(Format!A7=3,'Format Οδηγων'!R16,IF(Format!A7=4,'Format Οδηγων'!R16,IF(Format!A7=5,'Format Οδηγων'!R16,"-------")))))</f>
        <v>372</v>
      </c>
      <c r="O8" s="102">
        <f>O7*K7</f>
        <v>59223.698346874175</v>
      </c>
      <c r="P8" s="103"/>
      <c r="Q8" s="103"/>
      <c r="R8" s="103"/>
      <c r="S8" s="103">
        <f>IF(تسعير!T10=Sheet2!A3,Sheet2!B16,Sheet2!B58)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οδηγου'!F8</f>
        <v>365</v>
      </c>
      <c r="J11" s="993"/>
      <c r="K11" s="106"/>
      <c r="L11" s="994">
        <f>IF(تسعير!T10=Sheet2!A3,2,IF(Format!A7=1,تسجيل1!H27,IF(Format!A7=2,تسجيل1!H27,IF(Format!A7=3,تسجيل1!H27,IF(Format!A7=4,تسجيل1!H27,IF(Format!A7=5,تسجيل1!H27,"-------"))))))</f>
        <v>2</v>
      </c>
      <c r="M11" s="994"/>
      <c r="N11" s="994"/>
      <c r="O11" s="105"/>
      <c r="P11" s="97">
        <f>IF(I11&lt;=500,5,0)</f>
        <v>5</v>
      </c>
      <c r="Q11" s="97">
        <f>IF(I11&gt;500,7,0)</f>
        <v>0</v>
      </c>
      <c r="R11" s="97">
        <f>IF(I11&gt;700,8,0)</f>
        <v>0</v>
      </c>
      <c r="S11" s="148">
        <f>MAX(P11:R11)</f>
        <v>5</v>
      </c>
      <c r="T11" s="61">
        <f>(G11*I11)/S11/100</f>
        <v>1.46</v>
      </c>
      <c r="U11" s="60">
        <f>CEILING(T11,0.5)</f>
        <v>1.5</v>
      </c>
      <c r="V11" s="60">
        <f>U11*S11</f>
        <v>7.5</v>
      </c>
      <c r="W11" s="587">
        <v>4.45627705627706</v>
      </c>
      <c r="X11" s="588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60">
        <f>IF(I12&lt;=300,3,0)</f>
        <v>0</v>
      </c>
      <c r="Q12" s="60">
        <f>IF(I12&gt;300,3.5,0)</f>
        <v>3.5</v>
      </c>
      <c r="R12" s="60">
        <f>IF(I12&gt;350,4,0)</f>
        <v>4</v>
      </c>
      <c r="S12" s="148">
        <f>IF(تسعير!$T$10=Sheet2!$A$3,ROUND((I12/100),0),MAX(P12:R12))</f>
        <v>4</v>
      </c>
      <c r="T12" s="61">
        <f>(G12*I12)/S12/100</f>
        <v>1.995</v>
      </c>
      <c r="U12" s="60">
        <f ref="U12:U21" t="shared" si="0">CEILING(T12,0.25)</f>
        <v>2</v>
      </c>
      <c r="V12" s="60">
        <f ref="V12:V20" t="shared" si="1">G12*S12</f>
        <v>8</v>
      </c>
      <c r="W12" s="587">
        <v>1.86378737541528</v>
      </c>
      <c r="X12" s="588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60">
        <f ref="P13:P20" t="shared" si="2">IF(I13&lt;=300,3,0)</f>
        <v>0</v>
      </c>
      <c r="Q13" s="60">
        <f ref="Q13:Q20" t="shared" si="3">IF(I13&gt;300,3.5,0)</f>
        <v>3.5</v>
      </c>
      <c r="R13" s="60">
        <f ref="R13:R20" t="shared" si="4">IF(I13&gt;350,4,0)</f>
        <v>4</v>
      </c>
      <c r="S13" s="148">
        <f>IF(تسعير!$T$10=Sheet2!$A$3,ROUND((I13/100),0),MAX(P13:R13))</f>
        <v>4</v>
      </c>
      <c r="T13" s="61">
        <f ref="T13:T20" t="shared" si="5">(G13*I13)/S13/100</f>
        <v>0</v>
      </c>
      <c r="U13" s="60">
        <f t="shared" si="0"/>
        <v>0</v>
      </c>
      <c r="V13" s="60">
        <f t="shared" si="1"/>
        <v>0</v>
      </c>
      <c r="W13" s="587">
        <v>1.86378737541528</v>
      </c>
      <c r="X13" s="588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تسجيل1!H28</f>
        <v>5</v>
      </c>
      <c r="M14" s="110" t="s">
        <v>392</v>
      </c>
      <c r="N14" s="109">
        <v>2</v>
      </c>
      <c r="O14" s="111"/>
      <c r="P14" s="60">
        <f t="shared" si="2"/>
        <v>0</v>
      </c>
      <c r="Q14" s="60">
        <f t="shared" si="3"/>
        <v>3.5</v>
      </c>
      <c r="R14" s="60">
        <f t="shared" si="4"/>
        <v>4</v>
      </c>
      <c r="S14" s="148">
        <f>IF(تسعير!$T$10=Sheet2!$A$3,ROUND((I14/100),0),MAX(P14:R14))</f>
        <v>4</v>
      </c>
      <c r="T14" s="61">
        <f t="shared" si="5"/>
        <v>4.9875</v>
      </c>
      <c r="U14" s="60">
        <f>CEILING(T14,0.5)</f>
        <v>5</v>
      </c>
      <c r="V14" s="60">
        <f t="shared" si="1"/>
        <v>20</v>
      </c>
      <c r="W14" s="587">
        <v>1.05172413793103</v>
      </c>
      <c r="X14" s="588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60">
        <f t="shared" si="2"/>
        <v>0</v>
      </c>
      <c r="Q15" s="60">
        <f t="shared" si="3"/>
        <v>3.5</v>
      </c>
      <c r="R15" s="60">
        <f t="shared" si="4"/>
        <v>4</v>
      </c>
      <c r="S15" s="148">
        <f>IF(تسعير!$T$10=Sheet2!$A$3,ROUND((I15/100),0),MAX(P15:R15))</f>
        <v>4</v>
      </c>
      <c r="T15" s="61">
        <f t="shared" si="5"/>
        <v>0</v>
      </c>
      <c r="U15" s="60">
        <f>CEILING(T15,0.5)</f>
        <v>0</v>
      </c>
      <c r="V15" s="60">
        <f t="shared" si="1"/>
        <v>0</v>
      </c>
      <c r="W15" s="587">
        <v>1.05172413793103</v>
      </c>
      <c r="X15" s="588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60">
        <f t="shared" si="2"/>
        <v>0</v>
      </c>
      <c r="Q16" s="60">
        <f t="shared" si="3"/>
        <v>3.5</v>
      </c>
      <c r="R16" s="60">
        <f t="shared" si="4"/>
        <v>4</v>
      </c>
      <c r="S16" s="148">
        <f>IF(تسعير!$T$10=Sheet2!$A$3,ROUND((I16/100),0),MAX(P16:R16))</f>
        <v>4</v>
      </c>
      <c r="T16" s="61">
        <f t="shared" si="5"/>
        <v>0.99375</v>
      </c>
      <c r="U16" s="60">
        <f>CEILING(T16,0.5)</f>
        <v>1</v>
      </c>
      <c r="V16" s="60">
        <f t="shared" si="1"/>
        <v>4</v>
      </c>
      <c r="W16" s="587">
        <v>1.3948717948718</v>
      </c>
      <c r="X16" s="588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60">
        <f t="shared" si="2"/>
        <v>0</v>
      </c>
      <c r="Q17" s="60">
        <f t="shared" si="3"/>
        <v>3.5</v>
      </c>
      <c r="R17" s="60">
        <f t="shared" si="4"/>
        <v>4</v>
      </c>
      <c r="S17" s="148">
        <f>IF(تسعير!$T$10=Sheet2!$A$3,ROUND((I17/100),0),MAX(P17:R17))</f>
        <v>4</v>
      </c>
      <c r="T17" s="61">
        <f t="shared" si="5"/>
        <v>0</v>
      </c>
      <c r="U17" s="60">
        <f>CEILING(T17,0.5)</f>
        <v>0</v>
      </c>
      <c r="V17" s="60">
        <f t="shared" si="1"/>
        <v>0</v>
      </c>
      <c r="W17" s="587">
        <v>1.3948717948718</v>
      </c>
      <c r="X17" s="588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60">
        <f t="shared" si="2"/>
        <v>0</v>
      </c>
      <c r="Q18" s="60">
        <f t="shared" si="3"/>
        <v>3.5</v>
      </c>
      <c r="R18" s="60">
        <f t="shared" si="4"/>
        <v>4</v>
      </c>
      <c r="S18" s="148">
        <f>IF(تسعير!$T$10=Sheet2!$A$3,ROUND((I18/100),0),MAX(P18:R18))</f>
        <v>4</v>
      </c>
      <c r="T18" s="61">
        <f t="shared" si="5"/>
        <v>0</v>
      </c>
      <c r="U18" s="60">
        <f t="shared" si="0"/>
        <v>0</v>
      </c>
      <c r="V18" s="60">
        <f t="shared" si="1"/>
        <v>0</v>
      </c>
      <c r="W18" s="587">
        <v>1.3948717948718</v>
      </c>
      <c r="X18" s="588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60">
        <f t="shared" si="2"/>
        <v>0</v>
      </c>
      <c r="Q19" s="60">
        <f t="shared" si="3"/>
        <v>3.5</v>
      </c>
      <c r="R19" s="60">
        <f t="shared" si="4"/>
        <v>4</v>
      </c>
      <c r="S19" s="148">
        <f>IF(تسعير!$T$10=Sheet2!$A$3,ROUND((I19/100),0),MAX(P19:R19))</f>
        <v>4</v>
      </c>
      <c r="T19" s="61">
        <f t="shared" si="5"/>
        <v>0</v>
      </c>
      <c r="U19" s="60">
        <f t="shared" si="0"/>
        <v>0</v>
      </c>
      <c r="V19" s="60">
        <f t="shared" si="1"/>
        <v>0</v>
      </c>
      <c r="X19" s="588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IF(تسعير!T10=Sheet2!A3,0,(G12+G13)/2)</f>
        <v>0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60">
        <f t="shared" si="2"/>
        <v>0</v>
      </c>
      <c r="Q20" s="60">
        <f t="shared" si="3"/>
        <v>3.5</v>
      </c>
      <c r="R20" s="60">
        <f t="shared" si="4"/>
        <v>4</v>
      </c>
      <c r="S20" s="148">
        <f>IF(تسعير!$T$10=Sheet2!$A$3,ROUND((I20/100),0),MAX(P20:R20))</f>
        <v>4</v>
      </c>
      <c r="T20" s="61">
        <f t="shared" si="5"/>
        <v>0</v>
      </c>
      <c r="U20" s="60">
        <f t="shared" si="0"/>
        <v>0</v>
      </c>
      <c r="V20" s="60">
        <f t="shared" si="1"/>
        <v>0</v>
      </c>
      <c r="W20" s="60">
        <v>1.65</v>
      </c>
      <c r="X20" s="588">
        <f t="shared" si="6"/>
        <v>0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IF(Format!E7=1,"-------",IF(Format!E7=5,"-------",تسجيل1!H30))</f>
        <v>2</v>
      </c>
      <c r="M21" s="961" t="str">
        <f>IF(L21="-------","-------",تسجيل1!D11)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589">
        <f>IF(تسعير!T10=Sheet2!A3,1,IF(K7&lt;=65,1,2))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03">
        <f>IF(تسعير!T10=Sheet2!A3,Sheet2!B57,IF((K7&lt;40),Sheet2!B33,IF(K7&gt;=40,Sheet2!B55,0)))</f>
        <v>9000</v>
      </c>
      <c r="Z24" s="151"/>
      <c r="AA24" s="60">
        <f>V24*F24</f>
        <v>260</v>
      </c>
      <c r="AB24" s="60">
        <f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9">V25*F25</f>
        <v>44</v>
      </c>
      <c r="AB25" s="60">
        <f ref="AB25:AB38" t="shared" si="10">Y25*M25</f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9"/>
        <v>11</v>
      </c>
      <c r="AB26" s="60">
        <f t="shared" si="10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9"/>
        <v>14</v>
      </c>
      <c r="AB27" s="60">
        <f t="shared" si="10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9"/>
        <v>15</v>
      </c>
      <c r="AB28" s="60">
        <f t="shared" si="10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9"/>
        <v>8</v>
      </c>
      <c r="AB29" s="60">
        <f t="shared" si="10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9"/>
        <v>20</v>
      </c>
      <c r="AB30" s="60">
        <f t="shared" si="10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9"/>
        <v>28</v>
      </c>
      <c r="AB31" s="60">
        <f t="shared" si="10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9"/>
        <v>70</v>
      </c>
      <c r="AB32" s="60">
        <f t="shared" si="10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9"/>
        <v>21</v>
      </c>
      <c r="AB33" s="60">
        <f t="shared" si="10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9"/>
        <v>21</v>
      </c>
      <c r="AB34" s="60">
        <f t="shared" si="10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9"/>
        <v>0</v>
      </c>
      <c r="AB35" s="60">
        <f t="shared" si="10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0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9"/>
        <v>0</v>
      </c>
      <c r="AB36" s="60">
        <f t="shared" si="10"/>
        <v>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9"/>
        <v>52</v>
      </c>
      <c r="AB37" s="60">
        <f t="shared" si="10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IF(تسعير!T10=Sheet2!A3,0,(I11*4)/100)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10</v>
      </c>
      <c r="Z38" s="151"/>
      <c r="AA38" s="60">
        <f t="shared" si="9"/>
        <v>3000</v>
      </c>
      <c r="AB38" s="60">
        <f t="shared" si="10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19205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59223.698346874175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fitToHeight="0" orientation="landscape"/>
  <headerFooter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1C6871-7907-4E1D-A05D-22E6304F6056}">
  <dimension ref="A1:AI246"/>
  <sheetViews>
    <sheetView rightToLeft="1" topLeftCell="J73" workbookViewId="0">
      <selection activeCell="V94" sqref="V94"/>
    </sheetView>
  </sheetViews>
  <sheetFormatPr defaultRowHeight="14.4"/>
  <cols>
    <col min="1" max="1" width="8.88671875" customWidth="1" style="361"/>
    <col min="2" max="2" width="40.77734375" customWidth="1" style="361"/>
    <col min="3" max="4" width="10.33203125" customWidth="1" style="361"/>
    <col min="5" max="5" width="14" customWidth="1" style="361"/>
    <col min="6" max="6" width="16.109375" customWidth="1" style="361"/>
    <col min="7" max="8" width="10.109375" customWidth="1" style="361"/>
    <col min="9" max="9" width="8.88671875" customWidth="1" style="361"/>
    <col min="10" max="10" width="12.33203125" customWidth="1" style="361"/>
    <col min="11" max="11" width="13.44140625" customWidth="1" style="361"/>
    <col min="12" max="12" width="36.5546875" customWidth="1" style="361"/>
    <col min="13" max="15" width="8.88671875" customWidth="1" style="361"/>
    <col min="16" max="16" width="15.33203125" customWidth="1" style="361"/>
    <col min="17" max="17" width="8.88671875" customWidth="1" style="361"/>
    <col min="18" max="18" width="3.33203125" customWidth="1" style="361"/>
    <col min="19" max="19" width="23.6640625" customWidth="1" style="361"/>
    <col min="20" max="20" width="9.44140625" customWidth="1" style="361"/>
    <col min="21" max="21" width="14.109375" customWidth="1" style="361"/>
    <col min="22" max="22" width="10.5546875" customWidth="1" style="361"/>
    <col min="23" max="23" width="16" customWidth="1" style="361"/>
    <col min="24" max="24" width="2.5546875" customWidth="1" style="361"/>
    <col min="25" max="26" width="8.88671875" customWidth="1" style="361"/>
    <col min="27" max="27" width="26.6640625" customWidth="1" style="361"/>
    <col min="28" max="30" width="8.88671875" customWidth="1" style="361"/>
    <col min="31" max="31" width="16.21875" customWidth="1" style="361"/>
    <col min="32" max="16384" width="8.88671875" customWidth="1" style="361"/>
  </cols>
  <sheetData>
    <row r="1">
      <c r="AF1" s="361" t="s">
        <v>438</v>
      </c>
      <c r="AG1" s="361">
        <v>300</v>
      </c>
      <c r="AH1" s="361">
        <v>300</v>
      </c>
      <c r="AI1" s="361" t="s">
        <v>233</v>
      </c>
    </row>
    <row r="2" ht="31.2" customHeight="1">
      <c r="B2" s="636" t="s">
        <v>439</v>
      </c>
      <c r="C2" s="636" t="s">
        <v>125</v>
      </c>
      <c r="D2" s="636" t="s">
        <v>126</v>
      </c>
      <c r="E2" s="636" t="s">
        <v>440</v>
      </c>
      <c r="F2" s="636" t="s">
        <v>441</v>
      </c>
      <c r="G2" s="1015" t="s">
        <v>442</v>
      </c>
      <c r="H2" s="1015"/>
      <c r="K2" s="636" t="s">
        <v>443</v>
      </c>
      <c r="AF2" s="361" t="s">
        <v>444</v>
      </c>
      <c r="AG2" s="361">
        <v>350</v>
      </c>
      <c r="AH2" s="361">
        <v>350</v>
      </c>
      <c r="AI2" s="361" t="s">
        <v>229</v>
      </c>
    </row>
    <row r="3" ht="31.2" customHeight="1">
      <c r="B3" s="597" t="str">
        <f>تسعير!AH60</f>
        <v>CHESS</v>
      </c>
      <c r="C3" s="597">
        <f>تسعير!AI60</f>
        <v>350</v>
      </c>
      <c r="D3" s="597">
        <f>تسعير!AJ60</f>
        <v>350</v>
      </c>
      <c r="E3" s="597" t="str">
        <f>تسعير!AK60</f>
        <v>سادة</v>
      </c>
      <c r="F3" s="597" t="str">
        <f>تسعير!AL60</f>
        <v>سادة</v>
      </c>
      <c r="G3" s="1016">
        <f>IF(Table1134[[#This Row],[المنتج]]=AF1,Table2135[[#Totals],[القيمة]]*1.25,IF(Table1134[[#This Row],[المنتج]]=AF3,Table4137[[#Totals],[Column5]]*1.25,IF(Table1134[[#This Row],[المنتج]]=AF2,Table211[[#Totals],[القيمة]]*1.25,IF(Table1134[[#This Row],[المنتج]]=AF4,Table212[[#Totals],[القيمة]]*1.25,IF(Table1134[[#This Row],[المنتج]]=AF5,Table21213[[#Totals],[القيمة]]*1.25,IF(Table1134[[#This Row],[المنتج]]=AF6,Table212136[[#Totals],[القيمة]]*1.25,IF(Table1134[[#This Row],[المنتج]]=AF7,Table2121367[[#Totals],[القيمة]]*1.25,IF(Table1134[[#This Row],[المنتج]]=AF8,Table212136714[[#Totals],[القيمة]]*1.25,0))))))))</f>
        <v>124514.43874999999</v>
      </c>
      <c r="H3" s="1016"/>
      <c r="K3" s="637">
        <f>Sheet2!B14</f>
        <v>252000</v>
      </c>
      <c r="AF3" s="361" t="s">
        <v>445</v>
      </c>
      <c r="AG3" s="361">
        <v>400</v>
      </c>
      <c r="AH3" s="361">
        <v>400</v>
      </c>
    </row>
    <row r="4">
      <c r="AF4" s="361" t="s">
        <v>446</v>
      </c>
      <c r="AG4" s="361">
        <v>450</v>
      </c>
      <c r="AH4" s="361">
        <v>450</v>
      </c>
    </row>
    <row r="5">
      <c r="A5" s="638"/>
      <c r="B5" s="638"/>
      <c r="C5" s="638"/>
      <c r="D5" s="638"/>
      <c r="E5" s="638"/>
      <c r="F5" s="639"/>
      <c r="G5" s="639"/>
      <c r="H5" s="639"/>
      <c r="I5" s="639"/>
      <c r="J5" s="639"/>
      <c r="K5" s="639"/>
      <c r="L5" s="639"/>
      <c r="M5" s="639"/>
      <c r="N5" s="639"/>
      <c r="O5" s="639"/>
      <c r="P5" s="639"/>
      <c r="Q5" s="639"/>
      <c r="R5" s="639"/>
      <c r="S5" s="639"/>
      <c r="T5" s="639"/>
      <c r="U5" s="639"/>
      <c r="V5" s="639"/>
      <c r="W5" s="639"/>
      <c r="X5" s="639"/>
      <c r="AF5" s="361" t="s">
        <v>447</v>
      </c>
      <c r="AG5" s="361">
        <v>500</v>
      </c>
      <c r="AH5" s="361">
        <v>500</v>
      </c>
    </row>
    <row r="6" ht="14.4" customHeight="1">
      <c r="B6" s="361" t="s">
        <v>448</v>
      </c>
      <c r="C6" s="361" t="s">
        <v>449</v>
      </c>
      <c r="D6" s="361" t="s">
        <v>450</v>
      </c>
      <c r="E6" s="361" t="s">
        <v>451</v>
      </c>
      <c r="F6" s="361" t="s">
        <v>452</v>
      </c>
      <c r="H6" s="1017" t="s">
        <v>438</v>
      </c>
      <c r="I6" s="1017"/>
      <c r="J6" s="1017"/>
      <c r="K6" s="1017"/>
      <c r="L6" s="1017" t="s">
        <v>444</v>
      </c>
      <c r="M6" s="1017"/>
      <c r="R6" s="639"/>
      <c r="S6" s="361" t="s">
        <v>453</v>
      </c>
      <c r="T6" s="361">
        <f>IF(Table1134[العرض]&lt;=600,ROUND((Table1134[العرض]/100),0),"NO")</f>
        <v>4</v>
      </c>
      <c r="V6" s="1018" t="s">
        <v>446</v>
      </c>
      <c r="W6" s="1018"/>
      <c r="X6" s="639"/>
      <c r="AF6" s="361" t="s">
        <v>454</v>
      </c>
      <c r="AG6" s="361">
        <v>550</v>
      </c>
      <c r="AH6" s="361">
        <v>550</v>
      </c>
    </row>
    <row r="7" ht="14.4" customHeight="1">
      <c r="B7" s="361" t="s">
        <v>455</v>
      </c>
      <c r="C7" s="361">
        <v>4</v>
      </c>
      <c r="D7" s="361">
        <v>3</v>
      </c>
      <c r="E7" s="361">
        <v>4.8</v>
      </c>
      <c r="F7" s="361">
        <f>IF((Table1134[لون الشاسية]=AI1),(Table2135[[#This Row],[العدد]]*Table2135[[#This Row],[الطول]]*Table2135[[#This Row],[الوزن المتري]]*((K3/1000)+25)),IF((Table1134[لون الشاسية]=AI2),(Table2135[[#This Row],[العدد]]*Table2135[[#This Row],[الطول]]*Table2135[[#This Row],[الوزن المتري]]*((K3/1000)+65)),0))</f>
        <v>15955.199999999999</v>
      </c>
      <c r="H7" s="1017"/>
      <c r="I7" s="1017"/>
      <c r="J7" s="1017"/>
      <c r="K7" s="1017"/>
      <c r="L7" s="1017"/>
      <c r="M7" s="1017"/>
      <c r="R7" s="639"/>
      <c r="S7" s="361" t="s">
        <v>456</v>
      </c>
      <c r="T7" s="361">
        <f>IF(Table1134[الامتداد]&lt;=600,ROUND((Table1134[الامتداد]/100),0),"NO")</f>
        <v>4</v>
      </c>
      <c r="V7" s="1018"/>
      <c r="W7" s="1018"/>
      <c r="X7" s="639"/>
      <c r="AF7" s="361" t="s">
        <v>457</v>
      </c>
      <c r="AG7" s="361">
        <v>600</v>
      </c>
      <c r="AH7" s="361">
        <v>600</v>
      </c>
    </row>
    <row r="8" ht="14.4" customHeight="1">
      <c r="B8" s="361" t="s">
        <v>458</v>
      </c>
      <c r="C8" s="361">
        <v>4</v>
      </c>
      <c r="E8" s="361">
        <f>Sheet2!B60</f>
        <v>600</v>
      </c>
      <c r="F8" s="361">
        <f>Table2135[[#This Row],[العدد]]*Table2135[[#This Row],[الوزن المتري]]</f>
        <v>2400</v>
      </c>
      <c r="H8" s="1017"/>
      <c r="I8" s="1017"/>
      <c r="J8" s="1017"/>
      <c r="K8" s="1017"/>
      <c r="L8" s="1017"/>
      <c r="M8" s="1017"/>
      <c r="P8" s="361">
        <f>P13*K24*I24*330</f>
        <v>46200</v>
      </c>
      <c r="R8" s="639"/>
      <c r="S8" s="361" t="s">
        <v>459</v>
      </c>
      <c r="T8" s="361">
        <f>IF(Table1134[العرض]&lt;=Table1134[الامتداد],T7*T6,"NO")</f>
        <v>16</v>
      </c>
      <c r="X8" s="639"/>
      <c r="AF8" s="361" t="s">
        <v>460</v>
      </c>
      <c r="AG8" s="361">
        <v>650</v>
      </c>
      <c r="AH8" s="361">
        <v>650</v>
      </c>
    </row>
    <row r="9" ht="14.4" customHeight="1">
      <c r="B9" s="361" t="s">
        <v>461</v>
      </c>
      <c r="C9" s="361">
        <v>4</v>
      </c>
      <c r="E9" s="361">
        <f>Sheet2!B62</f>
        <v>500</v>
      </c>
      <c r="F9" s="361">
        <f>Table2135[[#This Row],[الوزن المتري]]*Table2135[[#This Row],[العدد]]</f>
        <v>2000</v>
      </c>
      <c r="H9" s="1017"/>
      <c r="I9" s="1017"/>
      <c r="J9" s="1017"/>
      <c r="K9" s="1017"/>
      <c r="L9" s="1017"/>
      <c r="M9" s="1017"/>
      <c r="R9" s="639"/>
      <c r="S9" s="361" t="s">
        <v>462</v>
      </c>
      <c r="T9" s="361">
        <f>(Table1134[العرض]-((T14*5)+20))/T6</f>
        <v>78.75</v>
      </c>
      <c r="U9" s="361" t="s">
        <v>373</v>
      </c>
      <c r="V9" s="361">
        <f>(Table1134[الامتداد]-((T15*5)+20))/T7</f>
        <v>78.75</v>
      </c>
      <c r="X9" s="639"/>
      <c r="AG9" s="361">
        <v>700</v>
      </c>
      <c r="AH9" s="361">
        <v>700</v>
      </c>
    </row>
    <row r="10" ht="14.4" customHeight="1">
      <c r="B10" s="361" t="s">
        <v>463</v>
      </c>
      <c r="C10" s="361">
        <v>1</v>
      </c>
      <c r="F10" s="640">
        <f>Table80102[[#Totals],[price]]</f>
        <v>109818.05</v>
      </c>
      <c r="H10" s="1017"/>
      <c r="I10" s="1017"/>
      <c r="J10" s="1017"/>
      <c r="K10" s="1017"/>
      <c r="L10" s="1017"/>
      <c r="M10" s="1017"/>
      <c r="R10" s="639"/>
      <c r="S10" s="361" t="s">
        <v>464</v>
      </c>
      <c r="T10" s="361">
        <f>ROUND((V9+3)/13,0)</f>
        <v>6</v>
      </c>
      <c r="X10" s="639"/>
    </row>
    <row r="11" ht="14.4" customHeight="1">
      <c r="B11" s="528" t="s">
        <v>465</v>
      </c>
      <c r="F11" s="361">
        <f>SUM(F7:F10)*0.1</f>
        <v>13017.325</v>
      </c>
      <c r="H11" s="1017"/>
      <c r="I11" s="1017"/>
      <c r="J11" s="1017"/>
      <c r="K11" s="1017"/>
      <c r="L11" s="534" t="s">
        <v>164</v>
      </c>
      <c r="M11" s="535">
        <f>Table1134[الامتداد]</f>
        <v>350</v>
      </c>
      <c r="N11" s="534" t="s">
        <v>125</v>
      </c>
      <c r="O11" s="535">
        <f>Table1134[العرض]</f>
        <v>350</v>
      </c>
      <c r="P11" s="534" t="s">
        <v>293</v>
      </c>
      <c r="Q11" s="535" t="str">
        <f>Table1134[لون اللوفرز]</f>
        <v>سادة</v>
      </c>
      <c r="R11" s="639"/>
      <c r="S11" s="361" t="s">
        <v>448</v>
      </c>
      <c r="T11" s="361" t="s">
        <v>449</v>
      </c>
      <c r="U11" s="361" t="s">
        <v>450</v>
      </c>
      <c r="V11" s="361" t="s">
        <v>451</v>
      </c>
      <c r="W11" s="361" t="s">
        <v>452</v>
      </c>
      <c r="X11" s="639"/>
    </row>
    <row r="12" ht="14.4" customHeight="1">
      <c r="B12" s="361" t="s">
        <v>54</v>
      </c>
      <c r="F12" s="641">
        <f>SUBTOTAL(109,Table2135[القيمة])</f>
        <v>143190.575</v>
      </c>
      <c r="H12" s="1017"/>
      <c r="I12" s="1017"/>
      <c r="J12" s="1017"/>
      <c r="K12" s="1017"/>
      <c r="L12" s="193" t="s">
        <v>9</v>
      </c>
      <c r="M12" s="194" t="s">
        <v>28</v>
      </c>
      <c r="N12" s="194" t="s">
        <v>295</v>
      </c>
      <c r="O12" s="194" t="s">
        <v>30</v>
      </c>
      <c r="P12" s="194" t="s">
        <v>296</v>
      </c>
      <c r="Q12" s="194" t="s">
        <v>297</v>
      </c>
      <c r="R12" s="639"/>
      <c r="S12" s="361" t="s">
        <v>455</v>
      </c>
      <c r="T12" s="361">
        <v>4</v>
      </c>
      <c r="U12" s="361">
        <v>3</v>
      </c>
      <c r="V12" s="361">
        <v>4.8</v>
      </c>
      <c r="W12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16243.199999999999</v>
      </c>
      <c r="X12" s="639"/>
    </row>
    <row r="13" ht="18" customHeight="1">
      <c r="B13" s="534" t="s">
        <v>164</v>
      </c>
      <c r="C13" s="535">
        <f>Table1134[الامتداد]</f>
        <v>350</v>
      </c>
      <c r="D13" s="534" t="s">
        <v>125</v>
      </c>
      <c r="E13" s="535">
        <f>Table1134[العرض]</f>
        <v>350</v>
      </c>
      <c r="F13" s="534" t="s">
        <v>293</v>
      </c>
      <c r="G13" s="535" t="str">
        <f>Table1134[لون اللوفرز]</f>
        <v>سادة</v>
      </c>
      <c r="H13" s="536"/>
      <c r="I13" s="536"/>
      <c r="L13" s="193" t="s">
        <v>300</v>
      </c>
      <c r="M13" s="196">
        <f>IF(AND(Table1134[العرض]&gt;=350,Table1134[الامتداد]&gt;=350,Table1134[الامتداد]&lt;=600,Table1134[الامتداد]&gt;=Table1134[العرض],Table1134[العرض]&lt;=400),ROUNDUP((12+((ROUNDUP((M11-210),18))/18)),0),"NO")</f>
        <v>20</v>
      </c>
      <c r="N13" s="197">
        <f>O11-16.5</f>
        <v>333.5</v>
      </c>
      <c r="O13" s="194" t="s">
        <v>301</v>
      </c>
      <c r="P13" s="194">
        <v>2</v>
      </c>
      <c r="Q13" s="194">
        <f>IF(($Q$11="سادة"),(K24*Table80102113140[[#This Row],[wt/m]]*I24*($K$3+25000)/1000),((K24*Table80102113140[[#This Row],[wt/m]]*I24*($K$3+70000)/1000)))</f>
        <v>38780</v>
      </c>
      <c r="R13" s="639"/>
      <c r="S13" s="361" t="s">
        <v>466</v>
      </c>
      <c r="T13" s="361">
        <v>1</v>
      </c>
      <c r="U13" s="361">
        <f>(Table1134[العرض]+Table1134[الامتداد])/50</f>
        <v>14</v>
      </c>
      <c r="V13" s="361">
        <v>3.63</v>
      </c>
      <c r="W13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14331.24</v>
      </c>
      <c r="X13" s="639"/>
    </row>
    <row r="14" ht="18" customHeight="1">
      <c r="B14" s="193" t="s">
        <v>9</v>
      </c>
      <c r="C14" s="194" t="s">
        <v>28</v>
      </c>
      <c r="D14" s="194" t="s">
        <v>295</v>
      </c>
      <c r="E14" s="194" t="s">
        <v>30</v>
      </c>
      <c r="F14" s="194" t="s">
        <v>296</v>
      </c>
      <c r="G14" s="194" t="s">
        <v>297</v>
      </c>
      <c r="H14" s="528"/>
      <c r="I14" s="60" t="s">
        <v>298</v>
      </c>
      <c r="J14" s="60"/>
      <c r="K14" s="60" t="s">
        <v>299</v>
      </c>
      <c r="L14" s="193" t="s">
        <v>467</v>
      </c>
      <c r="M14" s="194"/>
      <c r="N14" s="196">
        <f>O11</f>
        <v>350</v>
      </c>
      <c r="O14" s="194" t="s">
        <v>301</v>
      </c>
      <c r="P14" s="194">
        <v>1.7</v>
      </c>
      <c r="Q14" s="194">
        <f>IF(($Q$11="سادة"),(K25*Table80102113140[[#This Row],[wt/m]]*I25*($K$3+25000)/1000),((K25*Table80102113140[[#This Row],[wt/m]]*I25*($K$3+65000)/1000)))</f>
        <v>0</v>
      </c>
      <c r="R14" s="639"/>
      <c r="S14" s="361" t="s">
        <v>468</v>
      </c>
      <c r="T14" s="361">
        <f>T6-1</f>
        <v>3</v>
      </c>
      <c r="U14" s="361">
        <f>Table1134[الامتداد]/100</f>
        <v>3.5</v>
      </c>
      <c r="V14" s="361">
        <v>2.85</v>
      </c>
      <c r="W14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4" s="639"/>
    </row>
    <row r="15" ht="18" customHeight="1">
      <c r="B15" s="193" t="s">
        <v>300</v>
      </c>
      <c r="C15" s="196">
        <f>ROUNDUP((12+((ROUNDUP((C13-210),15))/15)),0)</f>
        <v>22</v>
      </c>
      <c r="D15" s="197">
        <f>IF(AND(E13-16.5&lt;384,E13-16.5&gt;300),E13-16.5,"NO")</f>
        <v>333.5</v>
      </c>
      <c r="E15" s="194" t="s">
        <v>301</v>
      </c>
      <c r="F15" s="194">
        <v>2.3</v>
      </c>
      <c r="G15" s="194">
        <f>IF(($G$13="سادة"),(K15*I15*F15*($K$3+25000)/1000),(K15*I15*F15*($K$3+60000)/1000))</f>
        <v>49056.7</v>
      </c>
      <c r="H15" s="528"/>
      <c r="I15" s="60">
        <f>IF(AND((D15&gt;=100),(D15&lt;250)),5,IF(AND((D15&gt;=250),(D15&lt;=350)),7,IF(AND((D15&gt;350),(D15&lt;401)),4,IF(AND((D15&gt;=401),(D15&lt;451)),4.5,IF(AND((D15&gt;=451),(D15&lt;501)),5,IF(AND((D15&gt;=501),(D15&lt;551)),5.5,IF(AND((D15&gt;=551),(D15&lt;601)),6,0)))))))</f>
        <v>7</v>
      </c>
      <c r="J15" s="279">
        <f ref="J15:J20" t="shared" si="0">(I15*100)/D15</f>
        <v>2.098950524737631</v>
      </c>
      <c r="K15" s="542">
        <f ref="K15:K20" t="shared" si="1">C15/(ROUNDDOWN(J15,0))</f>
        <v>11</v>
      </c>
      <c r="L15" s="193" t="s">
        <v>469</v>
      </c>
      <c r="M15" s="194"/>
      <c r="N15" s="196">
        <f>M11</f>
        <v>350</v>
      </c>
      <c r="O15" s="194" t="s">
        <v>301</v>
      </c>
      <c r="P15" s="194">
        <v>1.7</v>
      </c>
      <c r="Q15" s="194">
        <f>IF(($Q$11="سادة"),(K26*Table80102113140[[#This Row],[wt/m]]*I26*($K$3+25000)/1000),((K26*Table80102113140[[#This Row],[wt/m]]*I26*($K$3+65000)/1000)))</f>
        <v>0</v>
      </c>
      <c r="R15" s="639"/>
      <c r="S15" s="361" t="s">
        <v>470</v>
      </c>
      <c r="T15" s="361">
        <f>T7-1</f>
        <v>3</v>
      </c>
      <c r="U15" s="361">
        <f>Table1134[العرض]/100</f>
        <v>3.5</v>
      </c>
      <c r="V15" s="361">
        <v>2.85</v>
      </c>
      <c r="W15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8438.85</v>
      </c>
      <c r="X15" s="639"/>
    </row>
    <row r="16" ht="18" customHeight="1">
      <c r="B16" s="193" t="s">
        <v>302</v>
      </c>
      <c r="C16" s="194">
        <v>2</v>
      </c>
      <c r="D16" s="196">
        <f>E13</f>
        <v>350</v>
      </c>
      <c r="E16" s="194" t="s">
        <v>301</v>
      </c>
      <c r="F16" s="194">
        <v>3.8</v>
      </c>
      <c r="G16" s="194">
        <f ref="G16:G20" t="shared" si="2">IF(($G$13="سادة"),(K16*I16*F16*($K$3+25000)/1000),(K16*I16*F16*($K$3+60000)/1000))</f>
        <v>7368.1999999999989</v>
      </c>
      <c r="H16" s="543"/>
      <c r="I16" s="60">
        <f>IF(AND((D16&gt;=100),(D16&lt;250)),5,IF(AND((D16&gt;=250),(D16&lt;=350)),7,IF(AND((D16&gt;350),(D16&lt;401)),4,IF(AND((D16&gt;=401),(D16&lt;451)),4.5,IF(AND((D16&gt;=451),(D16&lt;501)),5,IF(AND((D16&gt;=501),(D16&lt;551)),5.5,IF(AND((D16&gt;=551),(D16&lt;601)),6,0)))))))</f>
        <v>7</v>
      </c>
      <c r="J16" s="279">
        <f t="shared" si="0"/>
        <v>2</v>
      </c>
      <c r="K16" s="542">
        <f t="shared" si="1"/>
        <v>1</v>
      </c>
      <c r="L16" s="193" t="s">
        <v>308</v>
      </c>
      <c r="M16" s="194">
        <v>1</v>
      </c>
      <c r="N16" s="194">
        <f>(15.6*(M13-1)+4)</f>
        <v>300.4</v>
      </c>
      <c r="O16" s="194" t="s">
        <v>301</v>
      </c>
      <c r="P16" s="194">
        <v>600</v>
      </c>
      <c r="Q16" s="194">
        <f>P16*M16</f>
        <v>600</v>
      </c>
      <c r="R16" s="639"/>
      <c r="S16" s="361" t="s">
        <v>471</v>
      </c>
      <c r="T16" s="361">
        <f>T8*2</f>
        <v>32</v>
      </c>
      <c r="U16" s="361">
        <f>MROUND((T9+V9)/200,1)</f>
        <v>1</v>
      </c>
      <c r="V16" s="361">
        <v>0.9</v>
      </c>
      <c r="W16" s="361">
        <f>IF((Table1134[لون الشاسية]=$AI$1),(Table212[[#This Row],[العدد]]*Table212[[#This Row],[الطول]]*Table212[[#This Row],[الوزن المتري]]*(($K$3/1000)+30)),IF((Table1134[لون الشاسية]=$AI$2),(Table212[[#This Row],[العدد]]*Table212[[#This Row],[الطول]]*Table212[[#This Row],[الوزن المتري]]*(($K$3/1000)+70)),0))</f>
        <v>8121.6</v>
      </c>
      <c r="X16" s="639"/>
    </row>
    <row r="17" ht="18" customHeight="1">
      <c r="B17" s="193" t="s">
        <v>304</v>
      </c>
      <c r="C17" s="194">
        <v>2</v>
      </c>
      <c r="D17" s="196">
        <f>C13</f>
        <v>350</v>
      </c>
      <c r="E17" s="194" t="s">
        <v>301</v>
      </c>
      <c r="F17" s="194">
        <v>3.8</v>
      </c>
      <c r="G17" s="194">
        <f t="shared" si="2"/>
        <v>7368.1999999999989</v>
      </c>
      <c r="H17" s="543"/>
      <c r="I17" s="60">
        <f ref="I17:I20" t="shared" si="3">IF(AND((D17&gt;=100),(D17&lt;250)),5,IF(AND((D17&gt;=250),(D17&lt;=350)),7,IF(AND((D17&gt;350),(D17&lt;401)),4,IF(AND((D17&gt;=401),(D17&lt;451)),4.5,IF(AND((D17&gt;=451),(D17&lt;501)),5,IF(AND((D17&gt;=501),(D17&lt;551)),5.5,IF(AND((D17&gt;=551),(D17&lt;601)),6,0)))))))</f>
        <v>7</v>
      </c>
      <c r="J17" s="279">
        <f t="shared" si="0"/>
        <v>2</v>
      </c>
      <c r="K17" s="542">
        <f t="shared" si="1"/>
        <v>1</v>
      </c>
      <c r="L17" s="193" t="s">
        <v>312</v>
      </c>
      <c r="M17" s="194"/>
      <c r="N17" s="194">
        <f>M13*2</f>
        <v>40</v>
      </c>
      <c r="O17" s="194" t="s">
        <v>28</v>
      </c>
      <c r="P17" s="194">
        <v>20</v>
      </c>
      <c r="Q17" s="194">
        <f>P17*N17</f>
        <v>800</v>
      </c>
      <c r="R17" s="639"/>
      <c r="S17" s="361" t="s">
        <v>472</v>
      </c>
      <c r="T17" s="361">
        <f>T10*T8</f>
        <v>96</v>
      </c>
      <c r="U17" s="361">
        <f>MROUND((T9+V9)/200,1)</f>
        <v>1</v>
      </c>
      <c r="V17" s="361">
        <v>0.625</v>
      </c>
      <c r="W17" s="361">
        <f>IF((Table1134[لون اللوفرز]=$AI$1),(Table212[[#This Row],[العدد]]*Table212[[#This Row],[الطول]]*Table212[[#This Row],[الوزن المتري]]*(($K$3/1000)+30)),IF((Table1134[لون اللوفرز]=$AI$2),(Table212[[#This Row],[العدد]]*Table212[[#This Row],[الطول]]*Table212[[#This Row],[الوزن المتري]]*(($K$3/1000)+70)),0))</f>
        <v>16920</v>
      </c>
      <c r="X17" s="639"/>
    </row>
    <row r="18" ht="18" customHeight="1">
      <c r="B18" s="193" t="s">
        <v>306</v>
      </c>
      <c r="C18" s="194">
        <v>2</v>
      </c>
      <c r="D18" s="196">
        <f>E13</f>
        <v>350</v>
      </c>
      <c r="E18" s="194" t="s">
        <v>301</v>
      </c>
      <c r="F18" s="194">
        <v>1.7</v>
      </c>
      <c r="G18" s="194">
        <f t="shared" si="2"/>
        <v>3296.3</v>
      </c>
      <c r="H18" s="543"/>
      <c r="I18" s="60">
        <f t="shared" si="3"/>
        <v>7</v>
      </c>
      <c r="J18" s="279">
        <f t="shared" si="0"/>
        <v>2</v>
      </c>
      <c r="K18" s="542">
        <f t="shared" si="1"/>
        <v>1</v>
      </c>
      <c r="L18" s="193" t="s">
        <v>315</v>
      </c>
      <c r="M18" s="194"/>
      <c r="N18" s="194">
        <f>M13*2</f>
        <v>40</v>
      </c>
      <c r="O18" s="194" t="s">
        <v>28</v>
      </c>
      <c r="P18" s="194">
        <v>18</v>
      </c>
      <c r="Q18" s="194">
        <f>P18*N18</f>
        <v>720</v>
      </c>
      <c r="R18" s="639"/>
      <c r="S18" s="361" t="s">
        <v>458</v>
      </c>
      <c r="T18" s="361">
        <v>4</v>
      </c>
      <c r="V18" s="361">
        <f>Sheet2!B60</f>
        <v>600</v>
      </c>
      <c r="W18" s="361">
        <f>Table212[[#This Row],[العدد]]*Table212[[#This Row],[الوزن المتري]]</f>
        <v>2400</v>
      </c>
      <c r="X18" s="639"/>
    </row>
    <row r="19" ht="18" customHeight="1">
      <c r="B19" s="193" t="s">
        <v>310</v>
      </c>
      <c r="C19" s="194">
        <v>2</v>
      </c>
      <c r="D19" s="196">
        <f>IF(AND(C13&lt;601,C13&gt;349,E13&lt;=C13),C13,"NO")</f>
        <v>350</v>
      </c>
      <c r="E19" s="194" t="s">
        <v>301</v>
      </c>
      <c r="F19" s="194">
        <v>1.7</v>
      </c>
      <c r="G19" s="194">
        <f t="shared" si="2"/>
        <v>3296.3</v>
      </c>
      <c r="H19" s="543"/>
      <c r="I19" s="60">
        <f t="shared" si="3"/>
        <v>7</v>
      </c>
      <c r="J19" s="279">
        <f t="shared" si="0"/>
        <v>2</v>
      </c>
      <c r="K19" s="542">
        <f t="shared" si="1"/>
        <v>1</v>
      </c>
      <c r="L19" s="193" t="s">
        <v>316</v>
      </c>
      <c r="M19" s="194">
        <v>1</v>
      </c>
      <c r="N19" s="196">
        <v>100</v>
      </c>
      <c r="O19" s="194" t="s">
        <v>301</v>
      </c>
      <c r="P19" s="194">
        <v>250</v>
      </c>
      <c r="Q19" s="194">
        <f>Table80102113140[[#This Row],[wt/m]]*Table80102113140[[#This Row],[عدد]]</f>
        <v>250</v>
      </c>
      <c r="R19" s="639"/>
      <c r="S19" s="361" t="s">
        <v>473</v>
      </c>
      <c r="T19" s="361">
        <v>4</v>
      </c>
      <c r="V19" s="361">
        <f>Sheet2!B61</f>
        <v>900</v>
      </c>
      <c r="W19" s="361">
        <f>Table212[[#This Row],[الوزن المتري]]*Table212[[#This Row],[العدد]]</f>
        <v>3600</v>
      </c>
      <c r="X19" s="639"/>
    </row>
    <row r="20" ht="18" customHeight="1">
      <c r="B20" s="193" t="s">
        <v>313</v>
      </c>
      <c r="C20" s="194">
        <v>2</v>
      </c>
      <c r="D20" s="194">
        <f>D15</f>
        <v>333.5</v>
      </c>
      <c r="E20" s="194" t="s">
        <v>301</v>
      </c>
      <c r="F20" s="194">
        <v>0.65</v>
      </c>
      <c r="G20" s="194">
        <f t="shared" si="2"/>
        <v>1260.35</v>
      </c>
      <c r="H20" s="543"/>
      <c r="I20" s="60">
        <f t="shared" si="3"/>
        <v>7</v>
      </c>
      <c r="J20" s="279">
        <f t="shared" si="0"/>
        <v>2.098950524737631</v>
      </c>
      <c r="K20" s="542">
        <f t="shared" si="1"/>
        <v>1</v>
      </c>
      <c r="L20" s="193" t="s">
        <v>321</v>
      </c>
      <c r="M20" s="194"/>
      <c r="N20" s="194">
        <v>100</v>
      </c>
      <c r="O20" s="194" t="s">
        <v>322</v>
      </c>
      <c r="P20" s="194">
        <v>1</v>
      </c>
      <c r="Q20" s="194">
        <f>N20*P20</f>
        <v>100</v>
      </c>
      <c r="R20" s="639"/>
      <c r="S20" s="361" t="s">
        <v>474</v>
      </c>
      <c r="T20" s="361">
        <f>(T8*4)-4</f>
        <v>60</v>
      </c>
      <c r="V20" s="361">
        <v>60</v>
      </c>
      <c r="W20" s="361">
        <f>Table212[[#This Row],[الوزن المتري]]*Table212[[#This Row],[العدد]]</f>
        <v>3600</v>
      </c>
      <c r="X20" s="639"/>
    </row>
    <row r="21" ht="18" customHeight="1">
      <c r="B21" s="193" t="s">
        <v>308</v>
      </c>
      <c r="C21" s="194">
        <v>2</v>
      </c>
      <c r="D21" s="194">
        <f>(15.6*(C15-1)+4)</f>
        <v>331.59999999999997</v>
      </c>
      <c r="E21" s="194" t="s">
        <v>301</v>
      </c>
      <c r="F21" s="194">
        <v>1000</v>
      </c>
      <c r="G21" s="194">
        <f>F21*C21</f>
        <v>2000</v>
      </c>
      <c r="H21" s="543"/>
      <c r="I21" s="62"/>
      <c r="J21" s="528"/>
      <c r="K21" s="528"/>
      <c r="L21" s="193" t="s">
        <v>319</v>
      </c>
      <c r="M21" s="194"/>
      <c r="N21" s="194">
        <f>M13*2</f>
        <v>40</v>
      </c>
      <c r="O21" s="194" t="s">
        <v>28</v>
      </c>
      <c r="P21" s="194">
        <v>120</v>
      </c>
      <c r="Q21" s="194">
        <f>N21*P21</f>
        <v>4800</v>
      </c>
      <c r="R21" s="639"/>
      <c r="S21" s="361" t="s">
        <v>475</v>
      </c>
      <c r="T21" s="361">
        <v>4</v>
      </c>
      <c r="V21" s="361">
        <v>300</v>
      </c>
      <c r="W21" s="361">
        <f>Table212[[#This Row],[الوزن المتري]]*Table212[[#This Row],[العدد]]</f>
        <v>1200</v>
      </c>
      <c r="X21" s="639"/>
    </row>
    <row r="22" ht="18" customHeight="1">
      <c r="B22" s="193" t="s">
        <v>312</v>
      </c>
      <c r="C22" s="194"/>
      <c r="D22" s="194">
        <f>C15*2</f>
        <v>44</v>
      </c>
      <c r="E22" s="194" t="s">
        <v>28</v>
      </c>
      <c r="F22" s="194">
        <v>20</v>
      </c>
      <c r="G22" s="194">
        <f>F22*D22</f>
        <v>880</v>
      </c>
      <c r="H22" s="543"/>
      <c r="I22" s="62"/>
      <c r="J22" s="528"/>
      <c r="K22" s="528"/>
      <c r="L22" s="193" t="s">
        <v>320</v>
      </c>
      <c r="M22" s="194"/>
      <c r="N22" s="194">
        <f>M13*2</f>
        <v>40</v>
      </c>
      <c r="O22" s="194" t="s">
        <v>28</v>
      </c>
      <c r="P22" s="194">
        <v>120</v>
      </c>
      <c r="Q22" s="194">
        <f>N22*P22</f>
        <v>4800</v>
      </c>
      <c r="R22" s="639"/>
      <c r="S22" s="361" t="s">
        <v>476</v>
      </c>
      <c r="T22" s="361">
        <v>4</v>
      </c>
      <c r="V22" s="642">
        <v>350</v>
      </c>
      <c r="W22" s="361">
        <f>Table212[[#This Row],[الوزن المتري]]*Table212[[#This Row],[العدد]]</f>
        <v>1400</v>
      </c>
      <c r="X22" s="639"/>
    </row>
    <row r="23" ht="18" customHeight="1">
      <c r="B23" s="193" t="s">
        <v>315</v>
      </c>
      <c r="C23" s="194"/>
      <c r="D23" s="194">
        <f>C15*2</f>
        <v>44</v>
      </c>
      <c r="E23" s="194" t="s">
        <v>28</v>
      </c>
      <c r="F23" s="194">
        <v>18</v>
      </c>
      <c r="G23" s="194">
        <f>F23*D23</f>
        <v>792</v>
      </c>
      <c r="H23" s="543"/>
      <c r="I23" s="60" t="s">
        <v>298</v>
      </c>
      <c r="J23" s="60"/>
      <c r="K23" s="60" t="s">
        <v>299</v>
      </c>
      <c r="L23" s="193" t="s">
        <v>189</v>
      </c>
      <c r="M23" s="194" t="s">
        <v>28</v>
      </c>
      <c r="N23" s="194">
        <v>1</v>
      </c>
      <c r="O23" s="194" t="s">
        <v>28</v>
      </c>
      <c r="P23" s="194">
        <v>11000</v>
      </c>
      <c r="Q23" s="194">
        <f>P23*N23</f>
        <v>11000</v>
      </c>
      <c r="R23" s="639"/>
      <c r="S23" s="528" t="s">
        <v>477</v>
      </c>
      <c r="T23" s="528">
        <v>1</v>
      </c>
      <c r="U23" s="643" t="s">
        <v>478</v>
      </c>
      <c r="V23" s="528">
        <v>1425</v>
      </c>
      <c r="W23" s="361">
        <f>Table212[[#This Row],[الوزن المتري]]*Table212[[#This Row],[العدد]]</f>
        <v>1425</v>
      </c>
      <c r="X23" s="639"/>
    </row>
    <row r="24" ht="18" customHeight="1">
      <c r="B24" s="193"/>
      <c r="C24" s="194"/>
      <c r="D24" s="196"/>
      <c r="E24" s="194"/>
      <c r="F24" s="194"/>
      <c r="G24" s="194"/>
      <c r="H24" s="543"/>
      <c r="I24" s="60">
        <f>IF(AND((N13&gt;=300),(N13&lt;334)),7,IF(AND((N13&gt;=335),(N13&lt;384)),4,"NO"))</f>
        <v>7</v>
      </c>
      <c r="J24" s="644">
        <f>(I24*100)/N13</f>
        <v>2.098950524737631</v>
      </c>
      <c r="K24" s="542">
        <f>M13/(ROUNDDOWN(J24,0))</f>
        <v>10</v>
      </c>
      <c r="L24" s="193" t="s">
        <v>54</v>
      </c>
      <c r="M24" s="199">
        <f>(Table80102113140[[#Totals],[price]]*1.1)/(O11*M11/10000)</f>
        <v>5553.8775510204077</v>
      </c>
      <c r="N24" s="194"/>
      <c r="O24" s="194"/>
      <c r="P24" s="194"/>
      <c r="Q24" s="194">
        <f>SUBTOTAL(109,Table80102113140[price])</f>
        <v>61850</v>
      </c>
      <c r="R24" s="639"/>
      <c r="S24" s="361" t="s">
        <v>479</v>
      </c>
      <c r="T24" s="361">
        <v>1</v>
      </c>
      <c r="V24" s="642">
        <v>500</v>
      </c>
      <c r="W24" s="361">
        <f>Table212[[#This Row],[الوزن المتري]]*Table212[[#This Row],[العدد]]</f>
        <v>500</v>
      </c>
      <c r="X24" s="639"/>
    </row>
    <row r="25" ht="18" customHeight="1">
      <c r="B25" s="193" t="s">
        <v>321</v>
      </c>
      <c r="C25" s="194"/>
      <c r="D25" s="194">
        <v>4</v>
      </c>
      <c r="E25" s="194" t="s">
        <v>322</v>
      </c>
      <c r="F25" s="194">
        <v>250</v>
      </c>
      <c r="G25" s="194">
        <f>D25*F25</f>
        <v>1000</v>
      </c>
      <c r="H25" s="543"/>
      <c r="I25" s="60"/>
      <c r="J25" s="644"/>
      <c r="K25" s="542"/>
      <c r="L25" s="361" t="s">
        <v>448</v>
      </c>
      <c r="M25" s="361" t="s">
        <v>449</v>
      </c>
      <c r="N25" s="361" t="s">
        <v>450</v>
      </c>
      <c r="O25" s="361" t="s">
        <v>451</v>
      </c>
      <c r="P25" s="361" t="s">
        <v>452</v>
      </c>
      <c r="R25" s="639"/>
      <c r="S25" s="528" t="s">
        <v>465</v>
      </c>
      <c r="W25" s="361">
        <f>SUM(W12:W24)*0.15</f>
        <v>12992.810999999998</v>
      </c>
      <c r="X25" s="639"/>
    </row>
    <row r="26" ht="18" customHeight="1">
      <c r="B26" s="193" t="s">
        <v>323</v>
      </c>
      <c r="C26" s="194"/>
      <c r="D26" s="194">
        <v>8</v>
      </c>
      <c r="E26" s="194" t="s">
        <v>28</v>
      </c>
      <c r="F26" s="194">
        <v>300</v>
      </c>
      <c r="G26" s="194">
        <f>D26*F26</f>
        <v>2400</v>
      </c>
      <c r="H26" s="543"/>
      <c r="I26" s="60"/>
      <c r="J26" s="644"/>
      <c r="K26" s="542"/>
      <c r="L26" s="361" t="s">
        <v>455</v>
      </c>
      <c r="M26" s="361">
        <v>4</v>
      </c>
      <c r="N26" s="361">
        <v>3</v>
      </c>
      <c r="O26" s="361">
        <v>4.8</v>
      </c>
      <c r="P26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15955.199999999999</v>
      </c>
      <c r="R26" s="639"/>
      <c r="S26" s="361" t="s">
        <v>54</v>
      </c>
      <c r="W26" s="641">
        <f>SUBTOTAL(109,Table212[القيمة])</f>
        <v>99611.550999999992</v>
      </c>
      <c r="X26" s="639"/>
    </row>
    <row r="27" ht="18" customHeight="1">
      <c r="B27" s="193" t="s">
        <v>319</v>
      </c>
      <c r="C27" s="194"/>
      <c r="D27" s="194">
        <f>C15*2</f>
        <v>44</v>
      </c>
      <c r="E27" s="194" t="s">
        <v>28</v>
      </c>
      <c r="F27" s="194">
        <v>120</v>
      </c>
      <c r="G27" s="194">
        <f>D27*F27</f>
        <v>5280</v>
      </c>
      <c r="H27" s="543"/>
      <c r="I27" s="528"/>
      <c r="J27" s="528"/>
      <c r="K27" s="528"/>
      <c r="L27" s="361" t="s">
        <v>466</v>
      </c>
      <c r="M27" s="361">
        <v>1</v>
      </c>
      <c r="N27" s="361">
        <f>IF(AND(O11&gt;349,M11&gt;349,O11&lt;=M11),(O11+M11)/50,"NO")</f>
        <v>14</v>
      </c>
      <c r="O27" s="361">
        <v>3.63</v>
      </c>
      <c r="P27" s="361">
        <f>IF((Table1134[لون الشاسية]=$AI$1),(Table211[[#This Row],[العدد]]*Table211[[#This Row],[الطول]]*Table211[[#This Row],[الوزن المتري]]*(($K$3/1000)+25)),IF((Table1134[لون الشاسية]=$AI$2),(Table211[[#This Row],[العدد]]*Table211[[#This Row],[الطول]]*Table211[[#This Row],[الوزن المتري]]*(($K$3/1000)+65)),0))</f>
        <v>14077.14</v>
      </c>
      <c r="R27" s="639"/>
      <c r="S27" s="1014"/>
      <c r="T27" s="1014"/>
      <c r="U27" s="1014"/>
      <c r="V27" s="1014"/>
      <c r="W27" s="1014"/>
      <c r="X27" s="639"/>
    </row>
    <row r="28" ht="18" customHeight="1">
      <c r="B28" s="193" t="s">
        <v>320</v>
      </c>
      <c r="C28" s="194"/>
      <c r="D28" s="194">
        <f>C15*2</f>
        <v>44</v>
      </c>
      <c r="E28" s="194" t="s">
        <v>28</v>
      </c>
      <c r="F28" s="194">
        <v>120</v>
      </c>
      <c r="G28" s="194">
        <f>D28*F28</f>
        <v>5280</v>
      </c>
      <c r="H28" s="543"/>
      <c r="I28" s="528"/>
      <c r="L28" s="361" t="s">
        <v>458</v>
      </c>
      <c r="M28" s="361">
        <v>4</v>
      </c>
      <c r="O28" s="361">
        <f>Sheet2!B60</f>
        <v>600</v>
      </c>
      <c r="P28" s="361">
        <f>Table211[[#This Row],[العدد]]*Table211[[#This Row],[الوزن المتري]]</f>
        <v>2400</v>
      </c>
      <c r="R28" s="639"/>
      <c r="V28" s="1018" t="s">
        <v>447</v>
      </c>
      <c r="W28" s="1018"/>
      <c r="X28" s="639"/>
    </row>
    <row r="29" ht="18" customHeight="1">
      <c r="B29" s="193" t="s">
        <v>324</v>
      </c>
      <c r="C29" s="194">
        <v>2</v>
      </c>
      <c r="D29" s="194"/>
      <c r="E29" s="194" t="s">
        <v>301</v>
      </c>
      <c r="F29" s="194">
        <v>1000</v>
      </c>
      <c r="G29" s="194">
        <f>C29*F29</f>
        <v>2000</v>
      </c>
      <c r="H29" s="543"/>
      <c r="I29" s="528"/>
      <c r="L29" s="361" t="s">
        <v>473</v>
      </c>
      <c r="M29" s="361">
        <v>4</v>
      </c>
      <c r="O29" s="361">
        <f>Sheet2!B61</f>
        <v>900</v>
      </c>
      <c r="P29" s="361">
        <f>Table211[[#This Row],[الوزن المتري]]*Table211[[#This Row],[العدد]]</f>
        <v>3600</v>
      </c>
      <c r="R29" s="639"/>
      <c r="V29" s="1018"/>
      <c r="W29" s="1018"/>
      <c r="X29" s="639"/>
    </row>
    <row r="30" ht="18" customHeight="1">
      <c r="B30" s="193" t="s">
        <v>326</v>
      </c>
      <c r="C30" s="194"/>
      <c r="D30" s="194">
        <f>ROUNDUP(((D15*C15)/100),0)</f>
        <v>74</v>
      </c>
      <c r="E30" s="194" t="s">
        <v>301</v>
      </c>
      <c r="F30" s="194">
        <v>10</v>
      </c>
      <c r="G30" s="194">
        <f>D30*F30</f>
        <v>740</v>
      </c>
      <c r="H30" s="543"/>
      <c r="I30" s="528"/>
      <c r="L30" s="361" t="s">
        <v>480</v>
      </c>
      <c r="M30" s="361">
        <v>1</v>
      </c>
      <c r="P30" s="640">
        <f>Table80102113140[[#Totals],[price]]</f>
        <v>61850</v>
      </c>
      <c r="R30" s="639"/>
      <c r="S30" s="361" t="s">
        <v>448</v>
      </c>
      <c r="T30" s="361" t="s">
        <v>449</v>
      </c>
      <c r="U30" s="361" t="s">
        <v>450</v>
      </c>
      <c r="V30" s="361" t="s">
        <v>451</v>
      </c>
      <c r="W30" s="361" t="s">
        <v>452</v>
      </c>
      <c r="X30" s="639"/>
    </row>
    <row r="31" ht="15.6" customHeight="1">
      <c r="B31" s="193" t="s">
        <v>481</v>
      </c>
      <c r="C31" s="194"/>
      <c r="D31" s="194">
        <f>D30</f>
        <v>74</v>
      </c>
      <c r="E31" s="194" t="s">
        <v>301</v>
      </c>
      <c r="F31" s="194">
        <v>20</v>
      </c>
      <c r="G31" s="194">
        <f>D31*F31</f>
        <v>1480</v>
      </c>
      <c r="H31" s="528"/>
      <c r="I31" s="528"/>
      <c r="L31" s="361" t="s">
        <v>476</v>
      </c>
      <c r="M31" s="361">
        <v>4</v>
      </c>
      <c r="O31" s="642">
        <v>350</v>
      </c>
      <c r="P31" s="361">
        <f>Table211[[#This Row],[الوزن المتري]]*Table211[[#This Row],[العدد]]</f>
        <v>1400</v>
      </c>
      <c r="R31" s="639"/>
      <c r="S31" s="361" t="s">
        <v>455</v>
      </c>
      <c r="T31" s="361">
        <v>4</v>
      </c>
      <c r="U31" s="361">
        <v>3</v>
      </c>
      <c r="V31" s="361">
        <v>4.8</v>
      </c>
      <c r="W31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15955.199999999999</v>
      </c>
      <c r="X31" s="639"/>
    </row>
    <row r="32" ht="15.6" customHeight="1">
      <c r="B32" s="193" t="s">
        <v>327</v>
      </c>
      <c r="C32" s="194" t="s">
        <v>328</v>
      </c>
      <c r="D32" s="194">
        <f>ROUNDUP((C15/3),0)</f>
        <v>8</v>
      </c>
      <c r="E32" s="194" t="s">
        <v>28</v>
      </c>
      <c r="F32" s="194">
        <v>250</v>
      </c>
      <c r="G32" s="194">
        <f>D32*F32</f>
        <v>2000</v>
      </c>
      <c r="H32" s="528"/>
      <c r="I32" s="528"/>
      <c r="L32" s="528" t="s">
        <v>477</v>
      </c>
      <c r="M32" s="528">
        <v>1</v>
      </c>
      <c r="N32" s="643" t="s">
        <v>478</v>
      </c>
      <c r="O32" s="528">
        <v>1425</v>
      </c>
      <c r="P32" s="361">
        <f>Table211[[#This Row],[الوزن المتري]]*Table211[[#This Row],[العدد]]</f>
        <v>1425</v>
      </c>
      <c r="R32" s="639"/>
      <c r="S32" s="361" t="s">
        <v>482</v>
      </c>
      <c r="T32" s="361">
        <v>2</v>
      </c>
      <c r="U32" s="361">
        <f>Table1134[الامتداد]/50</f>
        <v>7</v>
      </c>
      <c r="V32" s="361">
        <v>3.31</v>
      </c>
      <c r="W32" s="361">
        <f>IF((Table1134[لون الشاسية]=$AI$1),(Table21213[[#This Row],[العدد]]*Table21213[[#This Row],[الطول]]*Table21213[[#This Row],[الوزن المتري]]*(($K$3/1000)+25)),IF((Table1134[لون الشاسية]=$AI$2),(Table21213[[#This Row],[العدد]]*Table21213[[#This Row],[الطول]]*Table21213[[#This Row],[الوزن المتري]]*(($K$3/1000)+65)),0))</f>
        <v>12836.18</v>
      </c>
      <c r="X32" s="639"/>
    </row>
    <row r="33" ht="15.6" customHeight="1">
      <c r="B33" s="193" t="s">
        <v>329</v>
      </c>
      <c r="C33" s="194" t="s">
        <v>330</v>
      </c>
      <c r="D33" s="194">
        <f>D32</f>
        <v>8</v>
      </c>
      <c r="E33" s="194" t="s">
        <v>28</v>
      </c>
      <c r="F33" s="194">
        <v>40</v>
      </c>
      <c r="G33" s="194">
        <f>F33*D33</f>
        <v>320</v>
      </c>
      <c r="H33" s="528"/>
      <c r="I33" s="528"/>
      <c r="L33" s="361" t="s">
        <v>479</v>
      </c>
      <c r="M33" s="361">
        <v>1</v>
      </c>
      <c r="O33" s="642">
        <v>500</v>
      </c>
      <c r="P33" s="361">
        <f>Table211[[#This Row],[الوزن المتري]]*Table211[[#This Row],[العدد]]</f>
        <v>500</v>
      </c>
      <c r="R33" s="639"/>
      <c r="S33" s="361" t="s">
        <v>483</v>
      </c>
      <c r="T33" s="361" t="str">
        <f>IF(AND(Table1134[العرض]=400,Table1134[الامتداد]&gt;399,Table1134[الامتداد]&lt;=500,Table1134[الامتداد]&gt;=Table1134[العرض]),Table1134[الامتداد]*1.2/10,"NO")</f>
        <v>NO</v>
      </c>
      <c r="U33" s="361">
        <v>4</v>
      </c>
      <c r="V33" s="361">
        <v>0.75</v>
      </c>
      <c r="W33" s="361" t="e">
        <f>IF((Table1134[لون اللوفرز]=$AI$1),(Table21213[[#This Row],[العدد]]*Table21213[[#This Row],[الطول]]*Table21213[[#This Row],[الوزن المتري]]*(($K$3/1000)+25)),IF((Table1134[لون اللوفرز]=$AI$2),(Table21213[[#This Row],[العدد]]*Table21213[[#This Row],[الطول]]*Table21213[[#This Row],[الوزن المتري]]*(($K$3/1000)+65)),0))</f>
        <v>#VALUE!</v>
      </c>
      <c r="X33" s="639"/>
    </row>
    <row r="34" ht="15.6" customHeight="1">
      <c r="B34" s="193" t="s">
        <v>331</v>
      </c>
      <c r="C34" s="194" t="s">
        <v>28</v>
      </c>
      <c r="D34" s="194">
        <v>2</v>
      </c>
      <c r="E34" s="194" t="s">
        <v>28</v>
      </c>
      <c r="F34" s="194">
        <v>1500</v>
      </c>
      <c r="G34" s="194">
        <f>F34*D34</f>
        <v>3000</v>
      </c>
      <c r="H34" s="528"/>
      <c r="I34" s="528"/>
      <c r="J34" s="528"/>
      <c r="K34" s="528"/>
      <c r="L34" s="528" t="s">
        <v>465</v>
      </c>
      <c r="M34" s="528"/>
      <c r="N34" s="528"/>
      <c r="O34" s="528"/>
      <c r="P34" s="528">
        <f>SUM(P26:P33)*0.1</f>
        <v>10120.734</v>
      </c>
      <c r="R34" s="639"/>
      <c r="S34" s="361" t="s">
        <v>458</v>
      </c>
      <c r="T34" s="361">
        <v>4</v>
      </c>
      <c r="V34" s="361">
        <f>Sheet2!B60</f>
        <v>600</v>
      </c>
      <c r="W34" s="361">
        <f>Table21213[[#This Row],[العدد]]*Table21213[[#This Row],[الوزن المتري]]</f>
        <v>2400</v>
      </c>
      <c r="X34" s="639"/>
    </row>
    <row r="35" ht="15.6" customHeight="1">
      <c r="B35" s="193" t="s">
        <v>189</v>
      </c>
      <c r="C35" s="194" t="s">
        <v>28</v>
      </c>
      <c r="D35" s="194">
        <v>1</v>
      </c>
      <c r="E35" s="194" t="s">
        <v>28</v>
      </c>
      <c r="F35" s="194">
        <v>10800</v>
      </c>
      <c r="G35" s="194">
        <v>11000</v>
      </c>
      <c r="H35" s="528"/>
      <c r="I35" s="528"/>
      <c r="J35" s="528"/>
      <c r="K35" s="528"/>
      <c r="L35" s="361" t="s">
        <v>54</v>
      </c>
      <c r="P35" s="641">
        <f>SUBTOTAL(109,Table211[القيمة])</f>
        <v>111328.074</v>
      </c>
      <c r="R35" s="639"/>
      <c r="S35" s="361" t="s">
        <v>484</v>
      </c>
      <c r="T35" s="361">
        <v>4</v>
      </c>
      <c r="V35" s="361">
        <v>800</v>
      </c>
      <c r="W35" s="361">
        <f>Table21213[[#This Row],[الوزن المتري]]*Table21213[[#This Row],[العدد]]</f>
        <v>3200</v>
      </c>
      <c r="X35" s="639"/>
    </row>
    <row r="36" ht="15.6" customHeight="1">
      <c r="B36" s="193" t="s">
        <v>54</v>
      </c>
      <c r="C36" s="199">
        <f>(Table80102[[#Totals],[price]]*1.1)/(E13*C13/10000)</f>
        <v>9861.2126530612259</v>
      </c>
      <c r="D36" s="194"/>
      <c r="E36" s="194"/>
      <c r="F36" s="194"/>
      <c r="G36" s="194">
        <f>SUBTOTAL(109,Table80102[price])</f>
        <v>109818.05</v>
      </c>
      <c r="R36" s="639"/>
      <c r="S36" s="361" t="s">
        <v>485</v>
      </c>
      <c r="T36" s="361">
        <v>2</v>
      </c>
      <c r="V36" s="361">
        <v>300</v>
      </c>
      <c r="W36" s="361">
        <f>Table21213[[#This Row],[الوزن المتري]]*Table21213[[#This Row],[العدد]]</f>
        <v>600</v>
      </c>
      <c r="X36" s="639"/>
    </row>
    <row r="37" ht="14.4" customHeight="1">
      <c r="A37" s="1014"/>
      <c r="B37" s="1014"/>
      <c r="C37" s="1014"/>
      <c r="D37" s="1014"/>
      <c r="E37" s="1014"/>
      <c r="F37" s="1014"/>
      <c r="G37" s="1014"/>
      <c r="H37" s="1014"/>
      <c r="I37" s="1014"/>
      <c r="J37" s="1014"/>
      <c r="K37" s="1014"/>
      <c r="L37" s="1014"/>
      <c r="M37" s="1014"/>
      <c r="N37" s="1014"/>
      <c r="O37" s="1014"/>
      <c r="P37" s="1014"/>
      <c r="Q37" s="1014"/>
      <c r="R37" s="639"/>
      <c r="S37" s="361" t="s">
        <v>486</v>
      </c>
      <c r="T37" s="361">
        <v>4</v>
      </c>
      <c r="V37" s="361">
        <v>300</v>
      </c>
      <c r="W37" s="361">
        <f>Table21213[[#This Row],[الوزن المتري]]*Table21213[[#This Row],[العدد]]</f>
        <v>1200</v>
      </c>
      <c r="X37" s="639"/>
    </row>
    <row r="38" ht="14.4" customHeight="1">
      <c r="A38" s="1021" t="s">
        <v>445</v>
      </c>
      <c r="B38" s="361" t="s">
        <v>9</v>
      </c>
      <c r="C38" s="361" t="s">
        <v>30</v>
      </c>
      <c r="D38" s="361" t="s">
        <v>96</v>
      </c>
      <c r="E38" s="361" t="s">
        <v>26</v>
      </c>
      <c r="F38" s="361" t="s">
        <v>171</v>
      </c>
      <c r="M38" s="1022" t="s">
        <v>445</v>
      </c>
      <c r="N38" s="1022"/>
      <c r="O38" s="1022"/>
      <c r="P38" s="1022"/>
      <c r="Q38" s="1022"/>
      <c r="R38" s="639"/>
      <c r="S38" s="528" t="s">
        <v>465</v>
      </c>
      <c r="W38" s="361" t="e">
        <f>SUM(W31:W37)*0.1</f>
        <v>#VALUE!</v>
      </c>
      <c r="X38" s="639"/>
    </row>
    <row r="39" ht="14.4" customHeight="1">
      <c r="A39" s="1021"/>
      <c r="B39" s="361" t="s">
        <v>487</v>
      </c>
      <c r="C39" s="361">
        <v>4</v>
      </c>
      <c r="D39" s="361">
        <v>3</v>
      </c>
      <c r="E39" s="361">
        <v>4.8</v>
      </c>
      <c r="F39" s="361">
        <f>IF((Table1134[لون الشاسية]=$AI$1),(Table4137[[#This Row],[Column2]]*Table4137[[#This Row],[Column3]]*Table4137[[#This Row],[Column4]]*(($K$3/1000)+25)),IF((Table1134[لون الشاسية]=$AI$2),(Table4137[[#This Row],[Column2]]*Table4137[[#This Row],[Column3]]*Table4137[[#This Row],[Column4]]*(($K$3/1000)+65)),0))</f>
        <v>15955.199999999999</v>
      </c>
      <c r="M39" s="1022"/>
      <c r="N39" s="1022"/>
      <c r="O39" s="1022"/>
      <c r="P39" s="1022"/>
      <c r="Q39" s="1022"/>
      <c r="R39" s="639"/>
      <c r="S39" s="361" t="s">
        <v>54</v>
      </c>
      <c r="W39" s="641" t="e">
        <f>SUBTOTAL(109,Table21213[القيمة])</f>
        <v>#VALUE!</v>
      </c>
      <c r="X39" s="639"/>
    </row>
    <row r="40" ht="14.4" customHeight="1">
      <c r="A40" s="1021"/>
      <c r="B40" s="361" t="s">
        <v>466</v>
      </c>
      <c r="C40" s="361">
        <v>1</v>
      </c>
      <c r="D40" s="361" t="str">
        <f>IF(AND(Table1134[العرض]&gt;399,Table1134[الامتداد]&gt;399,Table1134[الامتداد]&gt;=Table1134[العرض]),(Table1134[العرض]+Table1134[الامتداد])/50,"NO")</f>
        <v>NO</v>
      </c>
      <c r="E40" s="361">
        <v>3.63</v>
      </c>
      <c r="F40" s="361" t="e">
        <f>IF((Table1134[لون الشاسية]=$AI$1),(Table4137[[#This Row],[Column2]]*Table4137[[#This Row],[Column3]]*Table4137[[#This Row],[Column4]]*(($K$3/1000)+30)),IF((Table1134[لون الشاسية]=$AI$2),(Table4137[[#This Row],[Column2]]*Table4137[[#This Row],[Column3]]*Table4137[[#This Row],[Column4]]*(($K$3/1000)+70)),0))</f>
        <v>#VALUE!</v>
      </c>
      <c r="M40" s="1022"/>
      <c r="N40" s="1022"/>
      <c r="O40" s="1022"/>
      <c r="P40" s="1022"/>
      <c r="Q40" s="1022"/>
      <c r="R40" s="639"/>
      <c r="S40" s="528"/>
      <c r="T40" s="528"/>
      <c r="U40" s="528"/>
      <c r="V40" s="528"/>
      <c r="W40" s="528"/>
      <c r="X40" s="639"/>
    </row>
    <row r="41" ht="15" customHeight="1">
      <c r="A41" s="1021"/>
      <c r="B41" s="361" t="s">
        <v>488</v>
      </c>
      <c r="C41" s="361">
        <v>1</v>
      </c>
      <c r="F41" s="645">
        <f>L47</f>
        <v>58466.751880444339</v>
      </c>
      <c r="M41" s="1022"/>
      <c r="N41" s="1022"/>
      <c r="O41" s="1022"/>
      <c r="P41" s="1022"/>
      <c r="Q41" s="1022"/>
      <c r="R41" s="639"/>
      <c r="S41" s="1023"/>
      <c r="T41" s="1023"/>
      <c r="U41" s="1023"/>
      <c r="V41" s="1023"/>
      <c r="W41" s="1023"/>
      <c r="X41" s="639"/>
    </row>
    <row r="42" ht="21" customHeight="1">
      <c r="A42" s="1021"/>
      <c r="B42" s="361" t="s">
        <v>489</v>
      </c>
      <c r="C42" s="361">
        <v>4</v>
      </c>
      <c r="E42" s="361">
        <f>Sheet2!B60</f>
        <v>600</v>
      </c>
      <c r="F42" s="361">
        <f>Table4137[[#This Row],[Column2]]*Table4137[[#This Row],[Column4]]</f>
        <v>2400</v>
      </c>
      <c r="I42" s="1024" t="s">
        <v>366</v>
      </c>
      <c r="J42" s="1025"/>
      <c r="K42" s="1026" t="s">
        <v>335</v>
      </c>
      <c r="L42" s="1027"/>
      <c r="M42" s="1022"/>
      <c r="N42" s="1022"/>
      <c r="O42" s="1022"/>
      <c r="P42" s="1022"/>
      <c r="Q42" s="1022"/>
      <c r="R42" s="639"/>
      <c r="S42" s="528" t="s">
        <v>490</v>
      </c>
      <c r="T42" s="528">
        <f>(Table1134[الامتداد]-30)/17</f>
        <v>18.823529411764707</v>
      </c>
      <c r="U42" s="528"/>
      <c r="V42" s="1020" t="s">
        <v>454</v>
      </c>
      <c r="W42" s="1020"/>
      <c r="X42" s="639"/>
    </row>
    <row r="43" ht="17.4" customHeight="1">
      <c r="A43" s="1021"/>
      <c r="B43" s="361" t="s">
        <v>491</v>
      </c>
      <c r="C43" s="361">
        <v>4</v>
      </c>
      <c r="E43" s="361">
        <f>Sheet2!B61</f>
        <v>900</v>
      </c>
      <c r="F43" s="361">
        <f>Table4137[[#This Row],[Column2]]*Table4137[[#This Row],[Column4]]</f>
        <v>3600</v>
      </c>
      <c r="I43" s="647" t="s">
        <v>342</v>
      </c>
      <c r="J43" s="648">
        <f>Table1134[العرض]</f>
        <v>350</v>
      </c>
      <c r="K43" s="649" t="s">
        <v>373</v>
      </c>
      <c r="L43" s="650">
        <f>Table1134[الامتداد]</f>
        <v>350</v>
      </c>
      <c r="M43" s="1022"/>
      <c r="N43" s="1022"/>
      <c r="O43" s="1022"/>
      <c r="P43" s="1022"/>
      <c r="Q43" s="1022"/>
      <c r="R43" s="639"/>
      <c r="S43" s="528" t="s">
        <v>492</v>
      </c>
      <c r="T43" s="528">
        <f>(Table1134[الامتداد]-30)/17</f>
        <v>18.823529411764707</v>
      </c>
      <c r="U43" s="528">
        <f>ROUND(T42+T43,0)</f>
        <v>38</v>
      </c>
      <c r="V43" s="1020"/>
      <c r="W43" s="1020"/>
      <c r="X43" s="639"/>
    </row>
    <row r="44" ht="19.2" customHeight="1">
      <c r="A44" s="1021"/>
      <c r="B44" s="361" t="s">
        <v>486</v>
      </c>
      <c r="C44" s="361">
        <v>4</v>
      </c>
      <c r="E44" s="361">
        <v>300</v>
      </c>
      <c r="F44" s="361">
        <f>Table4137[[#This Row],[Column4]]*Table4137[[#This Row],[Column2]]</f>
        <v>1200</v>
      </c>
      <c r="I44" s="651" t="s">
        <v>374</v>
      </c>
      <c r="J44" s="648">
        <f>J43*L43/10000</f>
        <v>12.25</v>
      </c>
      <c r="K44" s="652" t="s">
        <v>493</v>
      </c>
      <c r="L44" s="653" t="s">
        <v>494</v>
      </c>
      <c r="M44" s="1022"/>
      <c r="N44" s="1022"/>
      <c r="O44" s="1022"/>
      <c r="P44" s="1022"/>
      <c r="Q44" s="1022"/>
      <c r="R44" s="639"/>
      <c r="S44" s="361" t="s">
        <v>448</v>
      </c>
      <c r="T44" s="361" t="s">
        <v>449</v>
      </c>
      <c r="U44" s="361" t="s">
        <v>450</v>
      </c>
      <c r="V44" s="361" t="s">
        <v>451</v>
      </c>
      <c r="W44" s="361" t="s">
        <v>452</v>
      </c>
      <c r="X44" s="639"/>
    </row>
    <row r="45" ht="17.4" customHeight="1">
      <c r="A45" s="1021"/>
      <c r="B45" s="361" t="s">
        <v>476</v>
      </c>
      <c r="C45" s="361">
        <f>ROUNDUP((Table1134[العرض]+Table1134[الامتداد])*2/500,0)</f>
        <v>3</v>
      </c>
      <c r="E45" s="642">
        <v>350</v>
      </c>
      <c r="F45" s="361">
        <f>Table4137[[#This Row],[Column4]]*Table4137[[#This Row],[Column2]]</f>
        <v>1050</v>
      </c>
      <c r="I45" s="654" t="s">
        <v>377</v>
      </c>
      <c r="J45" s="652">
        <f>J43-1</f>
        <v>349</v>
      </c>
      <c r="K45" s="655" t="s">
        <v>378</v>
      </c>
      <c r="L45" s="656">
        <f>IF(B141=1,P194,IF(B141=2,P194,IF(B141=3,P194,IF(B141=4,P194,IF(B141=5,P194,"-------")))))</f>
        <v>322</v>
      </c>
      <c r="M45" s="1022"/>
      <c r="N45" s="1022"/>
      <c r="O45" s="1022"/>
      <c r="P45" s="1022"/>
      <c r="Q45" s="1022"/>
      <c r="R45" s="639"/>
      <c r="S45" s="361" t="s">
        <v>455</v>
      </c>
      <c r="T45" s="361">
        <v>4</v>
      </c>
      <c r="U45" s="361">
        <v>3</v>
      </c>
      <c r="V45" s="361">
        <v>4.8</v>
      </c>
      <c r="W45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15955.199999999999</v>
      </c>
      <c r="X45" s="639"/>
    </row>
    <row r="46" ht="21" customHeight="1">
      <c r="A46" s="1021"/>
      <c r="B46" s="528" t="s">
        <v>477</v>
      </c>
      <c r="C46" s="528">
        <v>1</v>
      </c>
      <c r="D46" s="643" t="s">
        <v>478</v>
      </c>
      <c r="E46" s="528">
        <v>1425</v>
      </c>
      <c r="F46" s="361">
        <f>Table4137[[#This Row],[Column4]]*Table4137[[#This Row],[Column2]]</f>
        <v>1425</v>
      </c>
      <c r="H46" s="657"/>
      <c r="I46" s="657"/>
      <c r="J46" s="1028" t="s">
        <v>367</v>
      </c>
      <c r="K46" s="1029"/>
      <c r="L46" s="1030">
        <f>IF(Table1134[لون اللوفرز]=AI1,K3+(Sheet2!B41*1000),IF(Table1134[لون اللوفرز]=AI2,K3+Sheet2!B15,"NO"))</f>
        <v>282000</v>
      </c>
      <c r="M46" s="1030"/>
      <c r="N46" s="658"/>
      <c r="O46" s="528"/>
      <c r="P46" s="528"/>
      <c r="Q46" s="528"/>
      <c r="R46" s="639"/>
      <c r="S46" s="361" t="s">
        <v>495</v>
      </c>
      <c r="T46" s="361">
        <v>1</v>
      </c>
      <c r="U46" s="361">
        <f>(Table1134[الامتداد]+Table1134[العرض])/50</f>
        <v>14</v>
      </c>
      <c r="V46" s="361">
        <v>3.63</v>
      </c>
      <c r="W46" s="361">
        <f>IF((Table1134[لون الشاسية]=$AI$1),(Table212136[[#This Row],[العدد]]*Table212136[[#This Row],[الطول]]*Table212136[[#This Row],[الوزن المتري]]*(($K$3/1000)+25)),IF((Table1134[لون الشاسية]=$AI$2),(Table212136[[#This Row],[العدد]]*Table212136[[#This Row],[الطول]]*Table212136[[#This Row],[الوزن المتري]]*(($K$3/1000)+65)),0))</f>
        <v>14077.14</v>
      </c>
      <c r="X46" s="639"/>
      <c r="Y46" s="528"/>
    </row>
    <row r="47" ht="19.2" customHeight="1">
      <c r="A47" s="1021"/>
      <c r="B47" s="361" t="s">
        <v>479</v>
      </c>
      <c r="C47" s="361">
        <v>1</v>
      </c>
      <c r="E47" s="642">
        <v>500</v>
      </c>
      <c r="F47" s="361">
        <f>Table4137[[#This Row],[Column4]]*Table4137[[#This Row],[Column2]]</f>
        <v>500</v>
      </c>
      <c r="H47" s="528"/>
      <c r="I47" s="528"/>
      <c r="J47" s="1033" t="s">
        <v>496</v>
      </c>
      <c r="K47" s="1033"/>
      <c r="L47" s="1034">
        <f>Table13138[[#Totals],[السعر]]+Table15139[[#Totals],[قيمة]]</f>
        <v>58466.751880444339</v>
      </c>
      <c r="M47" s="1034"/>
      <c r="N47" s="528"/>
      <c r="O47" s="528"/>
      <c r="P47" s="528"/>
      <c r="Q47" s="528"/>
      <c r="R47" s="639"/>
      <c r="S47" s="361" t="s">
        <v>497</v>
      </c>
      <c r="T47" s="361">
        <v>2</v>
      </c>
      <c r="U47" s="361">
        <f>Table1134[الامتداد]/100</f>
        <v>3.5</v>
      </c>
      <c r="V47" s="361">
        <v>0.9</v>
      </c>
      <c r="W47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1745.1</v>
      </c>
      <c r="X47" s="639"/>
      <c r="Y47" s="528"/>
    </row>
    <row r="48" ht="17.4" customHeight="1">
      <c r="A48" s="1021"/>
      <c r="B48" s="528" t="s">
        <v>465</v>
      </c>
      <c r="C48" s="528"/>
      <c r="D48" s="528"/>
      <c r="E48" s="528"/>
      <c r="F48" s="528" t="e">
        <f>SUM(F38:F47)*0.1</f>
        <v>#VALUE!</v>
      </c>
      <c r="H48" s="528"/>
      <c r="I48" s="528"/>
      <c r="J48" s="1035" t="s">
        <v>127</v>
      </c>
      <c r="K48" s="1036"/>
      <c r="L48" s="1037">
        <f>L47/J44</f>
        <v>4772.7960718730073</v>
      </c>
      <c r="M48" s="1038"/>
      <c r="N48" s="528"/>
      <c r="O48" s="528"/>
      <c r="P48" s="528"/>
      <c r="Q48" s="528"/>
      <c r="R48" s="639"/>
      <c r="S48" s="361" t="s">
        <v>483</v>
      </c>
      <c r="T48" s="361">
        <f>IF(AND(Table1134[العرض]&lt;=400,Table1134[العرض]&gt;=350,Table1134[الامتداد]&lt;=500,Table1134[الامتداد]&gt;=350,Table1134[الامتداد]&gt;=Table1134[العرض]),U43,"NO")</f>
        <v>38</v>
      </c>
      <c r="U48" s="361">
        <f>Table1134[العرض]/100</f>
        <v>3.5</v>
      </c>
      <c r="V48" s="361">
        <v>0.75</v>
      </c>
      <c r="W48" s="361">
        <f>IF((Table1134[لون اللوفرز]=$AI$1),(Table212136[[#This Row],[العدد]]*Table212136[[#This Row],[الطول]]*Table212136[[#This Row],[الوزن المتري]]*(($K$3/1000)+25)),IF((Table1134[لون اللوفرز]=$AI$2),(Table212136[[#This Row],[العدد]]*Table212136[[#This Row],[الطول]]*Table212136[[#This Row],[الوزن المتري]]*(($K$3/1000)+65)),0))</f>
        <v>27630.75</v>
      </c>
      <c r="X48" s="639"/>
      <c r="Y48" s="528"/>
    </row>
    <row r="49" ht="28.2" customHeight="1">
      <c r="A49" s="1021"/>
      <c r="B49" s="361" t="s">
        <v>54</v>
      </c>
      <c r="F49" s="645" t="e">
        <f>SUBTOTAL(109,Table4137[Column5])</f>
        <v>#VALUE!</v>
      </c>
      <c r="H49" s="659"/>
      <c r="I49" s="659"/>
      <c r="J49" s="659"/>
      <c r="K49" s="661"/>
      <c r="L49" s="528"/>
      <c r="M49" s="528"/>
      <c r="N49" s="658"/>
      <c r="O49" s="528"/>
      <c r="P49" s="528"/>
      <c r="Q49" s="528"/>
      <c r="R49" s="639"/>
      <c r="S49" s="361" t="s">
        <v>458</v>
      </c>
      <c r="T49" s="361">
        <v>4</v>
      </c>
      <c r="V49" s="361">
        <f>Sheet2!B60</f>
        <v>600</v>
      </c>
      <c r="W49" s="361">
        <f>Table212136[[#This Row],[العدد]]*Table212136[[#This Row],[الوزن المتري]]</f>
        <v>2400</v>
      </c>
      <c r="X49" s="639"/>
      <c r="Y49" s="528"/>
    </row>
    <row r="50" ht="18" customHeight="1">
      <c r="A50" s="1021"/>
      <c r="B50" s="528"/>
      <c r="C50" s="528"/>
      <c r="D50" s="528"/>
      <c r="E50" s="1019" t="s">
        <v>498</v>
      </c>
      <c r="F50" s="1019"/>
      <c r="G50" s="1019"/>
      <c r="H50" s="528"/>
      <c r="I50" s="528"/>
      <c r="J50" s="528"/>
      <c r="K50" s="528"/>
      <c r="L50" s="528"/>
      <c r="M50" s="528"/>
      <c r="N50" s="658"/>
      <c r="O50" s="528"/>
      <c r="P50" s="528"/>
      <c r="Q50" s="528"/>
      <c r="R50" s="639"/>
      <c r="S50" s="361" t="s">
        <v>473</v>
      </c>
      <c r="T50" s="361">
        <v>4</v>
      </c>
      <c r="V50" s="361">
        <f>Sheet2!B61</f>
        <v>900</v>
      </c>
      <c r="W50" s="361">
        <f>Table212136[[#This Row],[الوزن المتري]]*Table212136[[#This Row],[العدد]]</f>
        <v>3600</v>
      </c>
      <c r="X50" s="639"/>
      <c r="Y50" s="528"/>
    </row>
    <row r="51" ht="18" customHeight="1">
      <c r="A51" s="1021"/>
      <c r="B51" s="663" t="s">
        <v>379</v>
      </c>
      <c r="C51" s="664" t="s">
        <v>322</v>
      </c>
      <c r="D51" s="664" t="s">
        <v>380</v>
      </c>
      <c r="E51" s="528" t="s">
        <v>499</v>
      </c>
      <c r="F51" s="662" t="s">
        <v>500</v>
      </c>
      <c r="G51" s="662" t="s">
        <v>501</v>
      </c>
      <c r="H51" s="662" t="s">
        <v>502</v>
      </c>
      <c r="I51" s="662" t="s">
        <v>503</v>
      </c>
      <c r="J51" s="662" t="s">
        <v>504</v>
      </c>
      <c r="K51" s="528" t="s">
        <v>505</v>
      </c>
      <c r="L51" s="664" t="s">
        <v>506</v>
      </c>
      <c r="M51" s="528" t="s">
        <v>507</v>
      </c>
      <c r="N51" s="664" t="s">
        <v>9</v>
      </c>
      <c r="O51" s="543" t="s">
        <v>385</v>
      </c>
      <c r="P51" s="543" t="s">
        <v>386</v>
      </c>
      <c r="Q51" s="658"/>
      <c r="R51" s="639"/>
      <c r="S51" s="361" t="s">
        <v>486</v>
      </c>
      <c r="T51" s="361">
        <v>4</v>
      </c>
      <c r="V51" s="361">
        <v>300</v>
      </c>
      <c r="W51" s="361">
        <f>Table212136[[#This Row],[الوزن المتري]]*Table212136[[#This Row],[العدد]]</f>
        <v>1200</v>
      </c>
      <c r="X51" s="639"/>
      <c r="Y51" s="528"/>
    </row>
    <row r="52" ht="18" customHeight="1">
      <c r="A52" s="1021"/>
      <c r="B52" s="663" t="s">
        <v>387</v>
      </c>
      <c r="C52" s="665">
        <f>H68</f>
        <v>2</v>
      </c>
      <c r="D52" s="666">
        <f>G234</f>
        <v>315</v>
      </c>
      <c r="E52" s="660">
        <f>IF(D52&lt;=400,4,0)</f>
        <v>4</v>
      </c>
      <c r="F52" s="660">
        <f>IF(AND(D52&gt;400,D52&lt;=500),5,0)</f>
        <v>0</v>
      </c>
      <c r="G52" s="660">
        <f>IF(AND(D52&gt;500,D52&lt;=600),6,0)</f>
        <v>0</v>
      </c>
      <c r="H52" s="660">
        <f>IF(AND(D52&gt;600,D52&lt;=700),7,0)</f>
        <v>0</v>
      </c>
      <c r="I52" s="660">
        <f>IF(AND(D52&gt;400,D52&lt;=500),5,0)</f>
        <v>0</v>
      </c>
      <c r="J52" s="660"/>
      <c r="K52" s="543">
        <f ref="K52:K61" t="shared" si="4">MAX(E52:I52)</f>
        <v>4</v>
      </c>
      <c r="L52" s="667">
        <f ref="L52:L61" t="shared" si="5">(C52*D52)/K52/100</f>
        <v>1.575</v>
      </c>
      <c r="M52" s="543">
        <f>CEILING(L52,0.5)</f>
        <v>2</v>
      </c>
      <c r="N52" s="543">
        <f>M52*K52</f>
        <v>8</v>
      </c>
      <c r="O52" s="667">
        <v>4.4562770562770568</v>
      </c>
      <c r="P52" s="668">
        <f>($L$46/1000)*O52*N52</f>
        <v>10053.36103896104</v>
      </c>
      <c r="Q52" s="658"/>
      <c r="R52" s="639"/>
      <c r="S52" s="361" t="s">
        <v>476</v>
      </c>
      <c r="T52" s="361">
        <v>4</v>
      </c>
      <c r="V52" s="642">
        <v>350</v>
      </c>
      <c r="W52" s="361">
        <f>Table212136[[#This Row],[الوزن المتري]]*Table212136[[#This Row],[العدد]]</f>
        <v>1400</v>
      </c>
      <c r="X52" s="639"/>
      <c r="Y52" s="528"/>
    </row>
    <row r="53" ht="20.4" customHeight="1">
      <c r="A53" s="1021"/>
      <c r="B53" s="663" t="s">
        <v>388</v>
      </c>
      <c r="C53" s="665">
        <f>IF(H68&gt;2,4,IF(H68=2,2))</f>
        <v>2</v>
      </c>
      <c r="D53" s="666">
        <f>IF(B141=1,IF(H68=2,H74+7,IF(H68=3,H74+1,H74+1)),IF(B141=2,IF(H68=2,H74+8,IF(H68=3,H74+1.5,H74+1.5)),IF(B141=3,IF(H68=2,H74+7,IF(H68=3,H74+1,H74+1)),IF(B141=5,IF(H68=2,H74+11,IF(H68=3,H74+3,H74+3)),IF(B141=4,IF(H68=2,H74+9.5,IF(H68=3,H74+2.25,H74+2.25)),"----")))))</f>
        <v>349</v>
      </c>
      <c r="E53" s="543">
        <f>IF(D53&lt;=400,4,0)</f>
        <v>4</v>
      </c>
      <c r="F53" s="543">
        <f>IF(AND(D53&gt;401,D53&lt;=500),5,0)</f>
        <v>0</v>
      </c>
      <c r="G53" s="543">
        <f>IF(AND(D53&gt;501,D53&lt;=600),6,0)</f>
        <v>0</v>
      </c>
      <c r="H53" s="543">
        <f>IF(AND(D53&gt;601,D53&lt;=700),7,0)</f>
        <v>0</v>
      </c>
      <c r="I53" s="543"/>
      <c r="J53" s="543"/>
      <c r="K53" s="543">
        <f t="shared" si="4"/>
        <v>4</v>
      </c>
      <c r="L53" s="667">
        <f t="shared" si="5"/>
        <v>1.745</v>
      </c>
      <c r="M53" s="543">
        <f ref="M53:M62" t="shared" si="6">CEILING(L53,0.25)</f>
        <v>1.75</v>
      </c>
      <c r="N53" s="543">
        <f ref="N53:N61" t="shared" si="7">C53*K53</f>
        <v>8</v>
      </c>
      <c r="O53" s="667">
        <v>1.8637873754152825</v>
      </c>
      <c r="P53" s="668">
        <f ref="P53:P61" t="shared" si="8">($L$46/1000)*O53*N53</f>
        <v>4204.7043189368769</v>
      </c>
      <c r="Q53" s="658"/>
      <c r="R53" s="639"/>
      <c r="S53" s="528" t="s">
        <v>477</v>
      </c>
      <c r="T53" s="528">
        <v>1</v>
      </c>
      <c r="U53" s="643" t="s">
        <v>478</v>
      </c>
      <c r="V53" s="528">
        <v>1425</v>
      </c>
      <c r="W53" s="361">
        <f>Table212136[[#This Row],[الوزن المتري]]*Table212136[[#This Row],[العدد]]</f>
        <v>1425</v>
      </c>
      <c r="X53" s="639"/>
      <c r="Y53" s="528"/>
    </row>
    <row r="54" ht="18" customHeight="1">
      <c r="A54" s="1021"/>
      <c r="B54" s="663" t="s">
        <v>389</v>
      </c>
      <c r="C54" s="665" t="str">
        <f>IF(H68&lt;=3,"0",(H68-3)*2)</f>
        <v>0</v>
      </c>
      <c r="D54" s="666">
        <f>IF(C54="-------","-------",H74-5)</f>
        <v>336</v>
      </c>
      <c r="E54" s="543"/>
      <c r="F54" s="543"/>
      <c r="G54" s="543"/>
      <c r="H54" s="543"/>
      <c r="I54" s="543"/>
      <c r="J54" s="543"/>
      <c r="K54" s="543"/>
      <c r="L54" s="667" t="e">
        <f t="shared" si="5"/>
        <v>#DIV/0!</v>
      </c>
      <c r="M54" s="543" t="e">
        <f t="shared" si="6"/>
        <v>#DIV/0!</v>
      </c>
      <c r="N54" s="543">
        <f t="shared" si="7"/>
        <v>0</v>
      </c>
      <c r="O54" s="667">
        <v>1.8637873754152825</v>
      </c>
      <c r="P54" s="668">
        <f t="shared" si="8"/>
        <v>0</v>
      </c>
      <c r="Q54" s="658"/>
      <c r="R54" s="639"/>
      <c r="S54" s="361" t="s">
        <v>479</v>
      </c>
      <c r="T54" s="361">
        <v>1</v>
      </c>
      <c r="V54" s="642">
        <v>500</v>
      </c>
      <c r="W54" s="361">
        <f>Table212136[[#This Row],[الوزن المتري]]*Table212136[[#This Row],[العدد]]</f>
        <v>500</v>
      </c>
      <c r="X54" s="639"/>
      <c r="Y54" s="528"/>
    </row>
    <row r="55" ht="18" customHeight="1">
      <c r="A55" s="1021"/>
      <c r="B55" s="663" t="s">
        <v>391</v>
      </c>
      <c r="C55" s="665">
        <f>IF(H68&gt;2,2*H71,IF(H68=2,H71))</f>
        <v>5</v>
      </c>
      <c r="D55" s="666">
        <f>D53</f>
        <v>349</v>
      </c>
      <c r="E55" s="543">
        <f>IF(D55&lt;=400,4,0)</f>
        <v>4</v>
      </c>
      <c r="F55" s="543">
        <f>IF(AND(D55&gt;401,D55&lt;=500),5,0)</f>
        <v>0</v>
      </c>
      <c r="G55" s="543">
        <f>IF(AND(D55&gt;501,D55&lt;=600),6,0)</f>
        <v>0</v>
      </c>
      <c r="H55" s="543">
        <f>IF(AND(D55&gt;601,D55&lt;=700),7,0)</f>
        <v>0</v>
      </c>
      <c r="I55" s="543"/>
      <c r="J55" s="543"/>
      <c r="K55" s="543">
        <f t="shared" si="4"/>
        <v>4</v>
      </c>
      <c r="L55" s="667">
        <f t="shared" si="5"/>
        <v>4.3625</v>
      </c>
      <c r="M55" s="543">
        <f>CEILING(L55,0.5)</f>
        <v>4.5</v>
      </c>
      <c r="N55" s="543">
        <f t="shared" si="7"/>
        <v>20</v>
      </c>
      <c r="O55" s="667">
        <v>1.0517241379310345</v>
      </c>
      <c r="P55" s="668">
        <f t="shared" si="8"/>
        <v>5931.7241379310344</v>
      </c>
      <c r="Q55" s="658"/>
      <c r="R55" s="639"/>
      <c r="S55" s="528" t="s">
        <v>465</v>
      </c>
      <c r="T55" s="528"/>
      <c r="U55" s="528"/>
      <c r="V55" s="528"/>
      <c r="W55" s="528">
        <f>SUM(W45:W54)*0.15</f>
        <v>10489.9785</v>
      </c>
      <c r="X55" s="639"/>
      <c r="Y55" s="528"/>
    </row>
    <row r="56" ht="18" customHeight="1">
      <c r="A56" s="1021"/>
      <c r="B56" s="663" t="s">
        <v>393</v>
      </c>
      <c r="C56" s="665" t="str">
        <f>IF(H68&lt;=3,"0",(H68-3)*H71)</f>
        <v>0</v>
      </c>
      <c r="D56" s="666">
        <f>IF(C56="-------","---------",D54)</f>
        <v>336</v>
      </c>
      <c r="E56" s="543"/>
      <c r="F56" s="543"/>
      <c r="G56" s="543"/>
      <c r="H56" s="543"/>
      <c r="I56" s="543"/>
      <c r="J56" s="543"/>
      <c r="K56" s="543">
        <f t="shared" si="4"/>
        <v>0</v>
      </c>
      <c r="L56" s="667" t="e">
        <f t="shared" si="5"/>
        <v>#DIV/0!</v>
      </c>
      <c r="M56" s="543" t="e">
        <f>CEILING(L56,0.5)</f>
        <v>#DIV/0!</v>
      </c>
      <c r="N56" s="543">
        <f t="shared" si="7"/>
        <v>0</v>
      </c>
      <c r="O56" s="667">
        <v>1.0517241379310345</v>
      </c>
      <c r="P56" s="668">
        <f t="shared" si="8"/>
        <v>0</v>
      </c>
      <c r="Q56" s="658"/>
      <c r="R56" s="639"/>
      <c r="S56" s="361" t="s">
        <v>54</v>
      </c>
      <c r="W56" s="641">
        <f>SUBTOTAL(109,Table212136[القيمة])</f>
        <v>80423.1685</v>
      </c>
      <c r="X56" s="639"/>
      <c r="Y56" s="528"/>
    </row>
    <row r="57" ht="18" customHeight="1">
      <c r="A57" s="1021"/>
      <c r="B57" s="663" t="s">
        <v>394</v>
      </c>
      <c r="C57" s="665">
        <v>1</v>
      </c>
      <c r="D57" s="666">
        <f>IF(B141=1,IF(H68=2,H74+5.5,IF(H68=3,H74+2.5,H74+2.5)),IF(B141=2,IF(H68=2,H74+6.5,IF(H68=3,H74+3,H74+3.5)),IF(B141=3,IF(H68=2,H74+5.5,IF(H68=3,H74+3.5,H74+3.5)),IF(B141=4,IF(H68=2,H74+9,IF(H68=3,H74+4.75,H74+4.75)),IF(B141=5,IF(H68=2,H74+10.5,IF(H68=3,H74+5.5,H74+5.5)),"------")))))</f>
        <v>347.5</v>
      </c>
      <c r="E57" s="543">
        <f>IF(D57&lt;=400,4,0)</f>
        <v>4</v>
      </c>
      <c r="F57" s="543">
        <f>IF(AND(D57&gt;401,D57&lt;=500),5,0)</f>
        <v>0</v>
      </c>
      <c r="G57" s="543">
        <f>IF(AND(D57&gt;501,D57&lt;=600),6,0)</f>
        <v>0</v>
      </c>
      <c r="H57" s="543">
        <f>IF(AND(D57&gt;601,D57&lt;=700),7,0)</f>
        <v>0</v>
      </c>
      <c r="I57" s="543"/>
      <c r="J57" s="543"/>
      <c r="K57" s="543">
        <f t="shared" si="4"/>
        <v>4</v>
      </c>
      <c r="L57" s="667">
        <f t="shared" si="5"/>
        <v>0.86875</v>
      </c>
      <c r="M57" s="543">
        <f ref="M57:M58" t="shared" si="9">CEILING(L57,0.5)</f>
        <v>1</v>
      </c>
      <c r="N57" s="543">
        <f t="shared" si="7"/>
        <v>4</v>
      </c>
      <c r="O57" s="667">
        <v>1.394871794871795</v>
      </c>
      <c r="P57" s="668">
        <f t="shared" si="8"/>
        <v>1573.4153846153847</v>
      </c>
      <c r="Q57" s="658"/>
      <c r="R57" s="639"/>
      <c r="S57" s="646"/>
      <c r="T57" s="646"/>
      <c r="U57" s="646"/>
      <c r="V57" s="646"/>
      <c r="W57" s="646"/>
      <c r="X57" s="639"/>
      <c r="Y57" s="528"/>
    </row>
    <row r="58" ht="28.8" customHeight="1">
      <c r="A58" s="1021"/>
      <c r="B58" s="663" t="s">
        <v>396</v>
      </c>
      <c r="C58" s="665" t="str">
        <f>IF(H68=2,"0",1)</f>
        <v>0</v>
      </c>
      <c r="D58" s="666">
        <f>IF(C58="-------","-------",IF(B141=1,(H74+3),IF(B141=2,(H74+3.5),IF(B141=3,(H74+3),IF(B141=4,(H74+4.25),IF(B141=5,(H74+5),"--------"))))))</f>
        <v>344.5</v>
      </c>
      <c r="E58" s="543"/>
      <c r="F58" s="543"/>
      <c r="G58" s="543"/>
      <c r="H58" s="543"/>
      <c r="I58" s="543"/>
      <c r="J58" s="543"/>
      <c r="K58" s="543">
        <f t="shared" si="4"/>
        <v>0</v>
      </c>
      <c r="L58" s="667" t="e">
        <f t="shared" si="5"/>
        <v>#DIV/0!</v>
      </c>
      <c r="M58" s="543" t="e">
        <f t="shared" si="9"/>
        <v>#DIV/0!</v>
      </c>
      <c r="N58" s="543">
        <f t="shared" si="7"/>
        <v>0</v>
      </c>
      <c r="O58" s="667">
        <v>1.394871794871795</v>
      </c>
      <c r="P58" s="668">
        <f t="shared" si="8"/>
        <v>0</v>
      </c>
      <c r="Q58" s="658"/>
      <c r="R58" s="639"/>
      <c r="S58" s="528" t="s">
        <v>490</v>
      </c>
      <c r="T58" s="528">
        <f>(Table1134[الامتداد]-30)/11</f>
        <v>29.09090909090909</v>
      </c>
      <c r="V58" s="1020" t="s">
        <v>457</v>
      </c>
      <c r="W58" s="1020"/>
      <c r="X58" s="639"/>
      <c r="Y58" s="528"/>
    </row>
    <row r="59" ht="28.8" customHeight="1">
      <c r="A59" s="1021"/>
      <c r="B59" s="663" t="s">
        <v>397</v>
      </c>
      <c r="C59" s="665" t="str">
        <f>IF(H68&lt;=3,"0",(H68-3))</f>
        <v>0</v>
      </c>
      <c r="D59" s="666">
        <f>IF(C59="-------","-------",H74)</f>
        <v>341</v>
      </c>
      <c r="E59" s="543"/>
      <c r="F59" s="543"/>
      <c r="G59" s="543"/>
      <c r="H59" s="543"/>
      <c r="I59" s="543"/>
      <c r="J59" s="543"/>
      <c r="K59" s="543">
        <f t="shared" si="4"/>
        <v>0</v>
      </c>
      <c r="L59" s="667" t="e">
        <f t="shared" si="5"/>
        <v>#DIV/0!</v>
      </c>
      <c r="M59" s="543" t="e">
        <f t="shared" si="6"/>
        <v>#DIV/0!</v>
      </c>
      <c r="N59" s="543">
        <f t="shared" si="7"/>
        <v>0</v>
      </c>
      <c r="O59" s="667">
        <v>1.394871794871795</v>
      </c>
      <c r="P59" s="668">
        <f t="shared" si="8"/>
        <v>0</v>
      </c>
      <c r="Q59" s="658"/>
      <c r="R59" s="639"/>
      <c r="S59" s="528"/>
      <c r="T59" s="528">
        <f>ROUND(T58,0)</f>
        <v>29</v>
      </c>
      <c r="U59" s="528"/>
      <c r="V59" s="1020"/>
      <c r="W59" s="1020"/>
      <c r="X59" s="639"/>
      <c r="Y59" s="528"/>
    </row>
    <row r="60" ht="18" customHeight="1">
      <c r="A60" s="1021"/>
      <c r="B60" s="663" t="str">
        <f>IF(I138=1,"Balloon","-------")</f>
        <v>-------</v>
      </c>
      <c r="C60" s="665">
        <v>0</v>
      </c>
      <c r="D60" s="666">
        <f>IF(C60="-------","-------",J43-2.5)</f>
        <v>347.5</v>
      </c>
      <c r="E60" s="543"/>
      <c r="F60" s="543"/>
      <c r="G60" s="543"/>
      <c r="H60" s="543"/>
      <c r="I60" s="543"/>
      <c r="J60" s="543"/>
      <c r="K60" s="543">
        <f t="shared" si="4"/>
        <v>0</v>
      </c>
      <c r="L60" s="667" t="e">
        <f t="shared" si="5"/>
        <v>#DIV/0!</v>
      </c>
      <c r="M60" s="543" t="e">
        <f t="shared" si="6"/>
        <v>#DIV/0!</v>
      </c>
      <c r="N60" s="543">
        <f t="shared" si="7"/>
        <v>0</v>
      </c>
      <c r="O60" s="543"/>
      <c r="P60" s="668">
        <f t="shared" si="8"/>
        <v>0</v>
      </c>
      <c r="Q60" s="658"/>
      <c r="R60" s="639"/>
      <c r="S60" s="361" t="s">
        <v>448</v>
      </c>
      <c r="T60" s="361" t="s">
        <v>449</v>
      </c>
      <c r="U60" s="361" t="s">
        <v>450</v>
      </c>
      <c r="V60" s="361" t="s">
        <v>451</v>
      </c>
      <c r="W60" s="361" t="s">
        <v>452</v>
      </c>
      <c r="X60" s="639"/>
      <c r="Y60" s="528"/>
    </row>
    <row r="61" ht="18" customHeight="1">
      <c r="A61" s="1021"/>
      <c r="B61" s="663" t="s">
        <v>398</v>
      </c>
      <c r="C61" s="663">
        <f>IF([2]Royal!W49=[2]Royal!AO50,0,(C53+C54)/2)</f>
        <v>0</v>
      </c>
      <c r="D61" s="666">
        <f>H74-7</f>
        <v>334</v>
      </c>
      <c r="E61" s="543">
        <f>IF(D61&lt;=300,3,0)</f>
        <v>0</v>
      </c>
      <c r="F61" s="543">
        <f>IF(D61&gt;300,3.5,0)</f>
        <v>3.5</v>
      </c>
      <c r="G61" s="543">
        <f>IF(D61&gt;350,4,0)</f>
        <v>0</v>
      </c>
      <c r="H61" s="543">
        <f>IF(D61&gt;400,5,0)</f>
        <v>0</v>
      </c>
      <c r="I61" s="543">
        <f>IF(D61&gt;500,6,0)</f>
        <v>0</v>
      </c>
      <c r="J61" s="543">
        <f>IF(D61&gt;600,7,0)</f>
        <v>0</v>
      </c>
      <c r="K61" s="543">
        <f t="shared" si="4"/>
        <v>3.5</v>
      </c>
      <c r="L61" s="667">
        <f t="shared" si="5"/>
        <v>0</v>
      </c>
      <c r="M61" s="543">
        <f t="shared" si="6"/>
        <v>0</v>
      </c>
      <c r="N61" s="543">
        <f t="shared" si="7"/>
        <v>0</v>
      </c>
      <c r="O61" s="543">
        <v>1.65</v>
      </c>
      <c r="P61" s="668">
        <f t="shared" si="8"/>
        <v>0</v>
      </c>
      <c r="Q61" s="658"/>
      <c r="R61" s="639"/>
      <c r="S61" s="361" t="s">
        <v>455</v>
      </c>
      <c r="T61" s="361">
        <v>4</v>
      </c>
      <c r="U61" s="361">
        <v>3</v>
      </c>
      <c r="V61" s="361">
        <v>4.8</v>
      </c>
      <c r="W61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15955.199999999999</v>
      </c>
      <c r="X61" s="639"/>
      <c r="Y61" s="528"/>
    </row>
    <row r="62" ht="18" customHeight="1">
      <c r="A62" s="1021"/>
      <c r="B62" s="663" t="s">
        <v>400</v>
      </c>
      <c r="C62" s="665">
        <f>H68</f>
        <v>2</v>
      </c>
      <c r="D62" s="666">
        <f>(D52*2)+45</f>
        <v>675</v>
      </c>
      <c r="E62" s="665"/>
      <c r="F62" s="665"/>
      <c r="G62" s="665"/>
      <c r="H62" s="665"/>
      <c r="I62" s="665"/>
      <c r="J62" s="665"/>
      <c r="K62" s="543">
        <v>1</v>
      </c>
      <c r="L62" s="667">
        <f>(C62*D62)/100</f>
        <v>13.5</v>
      </c>
      <c r="M62" s="543">
        <f t="shared" si="6"/>
        <v>13.5</v>
      </c>
      <c r="N62" s="543">
        <f>M62*K62</f>
        <v>13.5</v>
      </c>
      <c r="O62" s="543">
        <v>200</v>
      </c>
      <c r="P62" s="668">
        <f>O62*N62</f>
        <v>2700</v>
      </c>
      <c r="Q62" s="658"/>
      <c r="R62" s="639"/>
      <c r="S62" s="361" t="s">
        <v>495</v>
      </c>
      <c r="T62" s="361">
        <v>2</v>
      </c>
      <c r="U62" s="361">
        <f>(Table1134[الامتداد]+Table1134[العرض])/100</f>
        <v>7</v>
      </c>
      <c r="V62" s="361">
        <v>3.63</v>
      </c>
      <c r="W62" s="361">
        <f>IF((Table1134[لون الشاسية]=$AI$1),(Table2121367[[#This Row],[العدد]]*Table2121367[[#This Row],[الطول]]*Table2121367[[#This Row],[الوزن المتري]]*(($K$3/1000)+25)),IF((Table1134[لون الشاسية]=$AI$2),(Table2121367[[#This Row],[العدد]]*Table2121367[[#This Row],[الطول]]*Table2121367[[#This Row],[الوزن المتري]]*(($K$3/1000)+65)),0))</f>
        <v>14077.14</v>
      </c>
      <c r="X62" s="639"/>
      <c r="Y62" s="528"/>
    </row>
    <row r="63" ht="18" customHeight="1">
      <c r="A63" s="1021"/>
      <c r="B63" s="669" t="s">
        <v>54</v>
      </c>
      <c r="C63" s="670"/>
      <c r="D63" s="671"/>
      <c r="E63" s="597"/>
      <c r="F63" s="597"/>
      <c r="G63" s="597"/>
      <c r="H63" s="597"/>
      <c r="I63" s="597"/>
      <c r="J63" s="597"/>
      <c r="K63" s="597"/>
      <c r="L63" s="597"/>
      <c r="M63" s="597"/>
      <c r="N63" s="597"/>
      <c r="P63" s="672">
        <f>SUBTOTAL(109,Table13138[السعر])</f>
        <v>24463.20488044434</v>
      </c>
      <c r="Q63" s="658"/>
      <c r="R63" s="639"/>
      <c r="S63" s="361" t="s">
        <v>508</v>
      </c>
      <c r="T63" s="361">
        <f>IF(AND(Table1134[العرض]&lt;=400,Table1134[العرض]&gt;=350,Table1134[الامتداد]&lt;=500,Table1134[الامتداد]&gt;=350,Table1134[الامتداد]&gt;=Table1134[العرض]),T59,"NO")</f>
        <v>29</v>
      </c>
      <c r="U63" s="361">
        <f>Table1134[العرض]/100</f>
        <v>3.5</v>
      </c>
      <c r="V63" s="361">
        <v>1.2</v>
      </c>
      <c r="W63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33738.6</v>
      </c>
      <c r="X63" s="639"/>
      <c r="Y63" s="528"/>
    </row>
    <row r="64" ht="17.4" customHeight="1">
      <c r="A64" s="1021"/>
      <c r="B64" s="673" t="s">
        <v>509</v>
      </c>
      <c r="C64" s="674" t="s">
        <v>28</v>
      </c>
      <c r="D64" s="673" t="s">
        <v>270</v>
      </c>
      <c r="E64" s="673" t="s">
        <v>204</v>
      </c>
      <c r="F64" s="528"/>
      <c r="G64" s="528"/>
      <c r="H64" s="528"/>
      <c r="I64" s="528"/>
      <c r="J64" s="528"/>
      <c r="K64" s="528"/>
      <c r="L64" s="528"/>
      <c r="M64" s="528"/>
      <c r="N64" s="528"/>
      <c r="O64" s="528"/>
      <c r="P64" s="528"/>
      <c r="Q64" s="528"/>
      <c r="R64" s="639"/>
      <c r="S64" s="361" t="s">
        <v>510</v>
      </c>
      <c r="T64" s="361">
        <v>2</v>
      </c>
      <c r="U64" s="361">
        <f>Table1134[الامتداد]/100</f>
        <v>3.5</v>
      </c>
      <c r="V64" s="361">
        <v>0.75</v>
      </c>
      <c r="W64" s="361">
        <f>IF((Table1134[لون اللوفرز]=$AI$1),(Table2121367[[#This Row],[العدد]]*Table2121367[[#This Row],[الطول]]*Table2121367[[#This Row],[الوزن المتري]]*(($K$3/1000)+25)),IF((Table1134[لون اللوفرز]=$AI$2),(Table2121367[[#This Row],[العدد]]*Table2121367[[#This Row],[الطول]]*Table2121367[[#This Row],[الوزن المتري]]*(($K$3/1000)+65)),0))</f>
        <v>1454.25</v>
      </c>
      <c r="X64" s="639"/>
      <c r="Y64" s="528"/>
    </row>
    <row r="65" ht="18" customHeight="1">
      <c r="A65" s="1021"/>
      <c r="B65" s="673" t="s">
        <v>511</v>
      </c>
      <c r="C65" s="675">
        <f>J45*L45*1.7/10000</f>
        <v>19.10426</v>
      </c>
      <c r="D65" s="543">
        <v>950</v>
      </c>
      <c r="E65" s="543">
        <f>D65*C65</f>
        <v>18149.047</v>
      </c>
      <c r="F65" s="528"/>
      <c r="G65" s="528"/>
      <c r="H65" s="528"/>
      <c r="I65" s="528"/>
      <c r="J65" s="528"/>
      <c r="K65" s="528"/>
      <c r="L65" s="528"/>
      <c r="M65" s="528"/>
      <c r="N65" s="528"/>
      <c r="O65" s="528"/>
      <c r="P65" s="528"/>
      <c r="Q65" s="528"/>
      <c r="R65" s="639"/>
      <c r="S65" s="361" t="s">
        <v>458</v>
      </c>
      <c r="T65" s="361">
        <v>4</v>
      </c>
      <c r="V65" s="361">
        <f>Sheet2!B60</f>
        <v>600</v>
      </c>
      <c r="W65" s="361">
        <f>Table2121367[[#This Row],[العدد]]*Table2121367[[#This Row],[الوزن المتري]]</f>
        <v>2400</v>
      </c>
      <c r="X65" s="639"/>
      <c r="Y65" s="528"/>
    </row>
    <row r="66" ht="18" customHeight="1">
      <c r="A66" s="1021"/>
      <c r="B66" s="675" t="s">
        <v>408</v>
      </c>
      <c r="C66" s="675">
        <f>H68</f>
        <v>2</v>
      </c>
      <c r="D66" s="543">
        <v>250</v>
      </c>
      <c r="E66" s="543">
        <f ref="E66:E94" t="shared" si="17">D66*C66</f>
        <v>500</v>
      </c>
      <c r="F66" s="528"/>
      <c r="G66" s="528"/>
      <c r="H66" s="528"/>
      <c r="I66" s="528"/>
      <c r="J66" s="528"/>
      <c r="K66" s="528"/>
      <c r="L66" s="528"/>
      <c r="M66" s="528"/>
      <c r="N66" s="528"/>
      <c r="O66" s="528"/>
      <c r="P66" s="528"/>
      <c r="Q66" s="528"/>
      <c r="R66" s="639"/>
      <c r="S66" s="361" t="s">
        <v>473</v>
      </c>
      <c r="T66" s="361">
        <v>4</v>
      </c>
      <c r="V66" s="361">
        <f>Sheet2!B61</f>
        <v>900</v>
      </c>
      <c r="W66" s="361">
        <f>Table2121367[[#This Row],[الوزن المتري]]*Table2121367[[#This Row],[العدد]]</f>
        <v>3600</v>
      </c>
      <c r="X66" s="639"/>
    </row>
    <row r="67" ht="18" customHeight="1">
      <c r="A67" s="1021"/>
      <c r="B67" s="675" t="s">
        <v>409</v>
      </c>
      <c r="C67" s="675">
        <f>H68</f>
        <v>2</v>
      </c>
      <c r="D67" s="543">
        <v>250</v>
      </c>
      <c r="E67" s="543">
        <f t="shared" si="17"/>
        <v>500</v>
      </c>
      <c r="F67" s="528"/>
      <c r="G67" s="528"/>
      <c r="H67" s="1041" t="s">
        <v>364</v>
      </c>
      <c r="I67" s="1041"/>
      <c r="J67" s="1041"/>
      <c r="K67" s="528"/>
      <c r="L67" s="528"/>
      <c r="M67" s="528"/>
      <c r="N67" s="528"/>
      <c r="O67" s="528"/>
      <c r="P67" s="528"/>
      <c r="Q67" s="528"/>
      <c r="R67" s="639"/>
      <c r="S67" s="361" t="s">
        <v>486</v>
      </c>
      <c r="T67" s="361">
        <v>4</v>
      </c>
      <c r="V67" s="361">
        <v>300</v>
      </c>
      <c r="W67" s="361">
        <f>Table2121367[[#This Row],[الوزن المتري]]*Table2121367[[#This Row],[العدد]]</f>
        <v>1200</v>
      </c>
      <c r="X67" s="639"/>
    </row>
    <row r="68" ht="18" customHeight="1">
      <c r="A68" s="1021"/>
      <c r="B68" s="675" t="s">
        <v>411</v>
      </c>
      <c r="C68" s="675">
        <f>C81</f>
        <v>1</v>
      </c>
      <c r="D68" s="543">
        <v>50</v>
      </c>
      <c r="E68" s="543">
        <f t="shared" si="17"/>
        <v>50</v>
      </c>
      <c r="F68" s="528"/>
      <c r="G68" s="528"/>
      <c r="H68" s="1041">
        <v>2</v>
      </c>
      <c r="I68" s="1041"/>
      <c r="J68" s="1041"/>
      <c r="K68" s="528"/>
      <c r="L68" s="528"/>
      <c r="M68" s="528"/>
      <c r="N68" s="528"/>
      <c r="O68" s="528"/>
      <c r="P68" s="528"/>
      <c r="Q68" s="528"/>
      <c r="R68" s="639"/>
      <c r="S68" s="361" t="s">
        <v>476</v>
      </c>
      <c r="T68" s="361">
        <v>4</v>
      </c>
      <c r="V68" s="642">
        <v>350</v>
      </c>
      <c r="W68" s="361">
        <f>Table2121367[[#This Row],[الوزن المتري]]*Table2121367[[#This Row],[العدد]]</f>
        <v>1400</v>
      </c>
      <c r="X68" s="639"/>
    </row>
    <row r="69" ht="20.4" customHeight="1">
      <c r="A69" s="1021"/>
      <c r="B69" s="675" t="s">
        <v>413</v>
      </c>
      <c r="C69" s="675">
        <v>4</v>
      </c>
      <c r="D69" s="543">
        <v>1.5</v>
      </c>
      <c r="E69" s="543">
        <f t="shared" si="17"/>
        <v>6</v>
      </c>
      <c r="F69" s="528"/>
      <c r="G69" s="528"/>
      <c r="H69" s="528"/>
      <c r="I69" s="528"/>
      <c r="J69" s="528"/>
      <c r="K69" s="528"/>
      <c r="L69" s="528"/>
      <c r="M69" s="528"/>
      <c r="N69" s="528"/>
      <c r="O69" s="528"/>
      <c r="P69" s="528"/>
      <c r="Q69" s="528"/>
      <c r="R69" s="639"/>
      <c r="S69" s="528" t="s">
        <v>477</v>
      </c>
      <c r="T69" s="528">
        <v>1</v>
      </c>
      <c r="U69" s="643" t="s">
        <v>478</v>
      </c>
      <c r="V69" s="528">
        <v>1425</v>
      </c>
      <c r="W69" s="361">
        <f>Table2121367[[#This Row],[الوزن المتري]]*Table2121367[[#This Row],[العدد]]</f>
        <v>1425</v>
      </c>
      <c r="X69" s="639"/>
    </row>
    <row r="70" ht="18" customHeight="1">
      <c r="A70" s="1021"/>
      <c r="B70" s="675" t="s">
        <v>415</v>
      </c>
      <c r="C70" s="675">
        <f>H71</f>
        <v>5</v>
      </c>
      <c r="D70" s="543">
        <v>1.5</v>
      </c>
      <c r="E70" s="543">
        <f t="shared" si="17"/>
        <v>7.5</v>
      </c>
      <c r="F70" s="528"/>
      <c r="G70" s="528"/>
      <c r="H70" s="1042" t="s">
        <v>390</v>
      </c>
      <c r="I70" s="1042"/>
      <c r="J70" s="1042"/>
      <c r="K70" s="528"/>
      <c r="L70" s="528"/>
      <c r="M70" s="528"/>
      <c r="N70" s="528"/>
      <c r="O70" s="528"/>
      <c r="P70" s="528"/>
      <c r="Q70" s="528"/>
      <c r="R70" s="639"/>
      <c r="S70" s="361" t="s">
        <v>479</v>
      </c>
      <c r="T70" s="528">
        <v>1</v>
      </c>
      <c r="U70" s="643"/>
      <c r="V70" s="528">
        <v>1000</v>
      </c>
      <c r="W70" s="361">
        <f>Table2121367[[#This Row],[الوزن المتري]]*Table2121367[[#This Row],[العدد]]</f>
        <v>1000</v>
      </c>
      <c r="X70" s="639"/>
    </row>
    <row r="71" ht="24.6" customHeight="1">
      <c r="A71" s="1021"/>
      <c r="B71" s="675" t="s">
        <v>417</v>
      </c>
      <c r="C71" s="675">
        <f>H68*2</f>
        <v>4</v>
      </c>
      <c r="D71" s="543">
        <v>1</v>
      </c>
      <c r="E71" s="543">
        <f t="shared" si="17"/>
        <v>4</v>
      </c>
      <c r="F71" s="528"/>
      <c r="G71" s="528"/>
      <c r="H71" s="676">
        <f>I131</f>
        <v>5</v>
      </c>
      <c r="I71" s="677" t="s">
        <v>392</v>
      </c>
      <c r="J71" s="676">
        <v>2</v>
      </c>
      <c r="K71" s="528"/>
      <c r="L71" s="528"/>
      <c r="M71" s="528"/>
      <c r="N71" s="528"/>
      <c r="O71" s="528"/>
      <c r="P71" s="528"/>
      <c r="Q71" s="528"/>
      <c r="R71" s="639"/>
      <c r="S71" s="528" t="s">
        <v>465</v>
      </c>
      <c r="W71" s="361">
        <f>SUM(W61:W69)*0.15</f>
        <v>11287.5285</v>
      </c>
      <c r="X71" s="639"/>
    </row>
    <row r="72" ht="18" customHeight="1">
      <c r="A72" s="1021"/>
      <c r="B72" s="675" t="s">
        <v>419</v>
      </c>
      <c r="C72" s="675">
        <f>H71*H68</f>
        <v>10</v>
      </c>
      <c r="D72" s="543">
        <v>1</v>
      </c>
      <c r="E72" s="543">
        <f t="shared" si="17"/>
        <v>10</v>
      </c>
      <c r="F72" s="528"/>
      <c r="G72" s="528"/>
      <c r="H72" s="528"/>
      <c r="I72" s="528"/>
      <c r="J72" s="528"/>
      <c r="K72" s="528"/>
      <c r="L72" s="528"/>
      <c r="M72" s="528"/>
      <c r="N72" s="528"/>
      <c r="O72" s="528"/>
      <c r="P72" s="528"/>
      <c r="Q72" s="528"/>
      <c r="R72" s="639"/>
      <c r="S72" s="361" t="s">
        <v>54</v>
      </c>
      <c r="W72" s="641">
        <f>SUBTOTAL(109,Table2121367[القيمة])</f>
        <v>87537.7185</v>
      </c>
      <c r="X72" s="639"/>
    </row>
    <row r="73" ht="18">
      <c r="A73" s="1021"/>
      <c r="B73" s="675" t="s">
        <v>421</v>
      </c>
      <c r="C73" s="675">
        <f>(H71+J71)*2</f>
        <v>14</v>
      </c>
      <c r="D73" s="543">
        <v>5.5</v>
      </c>
      <c r="E73" s="543">
        <f t="shared" si="17"/>
        <v>77</v>
      </c>
      <c r="F73" s="528"/>
      <c r="G73" s="528"/>
      <c r="H73" s="1043" t="s">
        <v>395</v>
      </c>
      <c r="I73" s="1043"/>
      <c r="J73" s="1043"/>
      <c r="K73" s="528"/>
      <c r="L73" s="528"/>
      <c r="M73" s="528"/>
      <c r="N73" s="528"/>
      <c r="O73" s="528"/>
      <c r="P73" s="528"/>
      <c r="Q73" s="528"/>
      <c r="R73" s="639"/>
      <c r="S73" s="1014"/>
      <c r="T73" s="1014"/>
      <c r="U73" s="1014"/>
      <c r="V73" s="1014"/>
      <c r="W73" s="1014"/>
      <c r="X73" s="639"/>
    </row>
    <row r="74" ht="21">
      <c r="A74" s="1021"/>
      <c r="B74" s="675" t="s">
        <v>423</v>
      </c>
      <c r="C74" s="675">
        <f>(H71+J71)*2</f>
        <v>14</v>
      </c>
      <c r="D74" s="543">
        <v>5</v>
      </c>
      <c r="E74" s="543">
        <f t="shared" si="17"/>
        <v>70</v>
      </c>
      <c r="F74" s="658"/>
      <c r="G74" s="658"/>
      <c r="H74" s="1031">
        <f>IF(B141=1,(J43-2-6)/(H68-1),IF(B141=2,(J43-2-7)/(H68-1),IF(B141=3,(J43-2-6)/(H68-1),IF(B141=4,(J43-2-8.5)/(H68-1),IF(B141=5,(J43-2-10)/(H68-1),"--------")))))</f>
        <v>341</v>
      </c>
      <c r="I74" s="1031"/>
      <c r="J74" s="1031"/>
      <c r="K74" s="658"/>
      <c r="L74" s="658"/>
      <c r="M74" s="658"/>
      <c r="N74" s="658"/>
      <c r="O74" s="658"/>
      <c r="P74" s="658"/>
      <c r="Q74" s="658"/>
      <c r="R74" s="639"/>
      <c r="S74" s="361" t="s">
        <v>512</v>
      </c>
      <c r="T74" s="361">
        <f>IF((T75*33&lt;=300),1,2)</f>
        <v>1</v>
      </c>
      <c r="V74" s="1032" t="s">
        <v>460</v>
      </c>
      <c r="W74" s="1032"/>
      <c r="X74" s="639"/>
    </row>
    <row r="75" ht="18">
      <c r="A75" s="1021"/>
      <c r="B75" s="675" t="s">
        <v>425</v>
      </c>
      <c r="C75" s="675">
        <f>H68*3</f>
        <v>6</v>
      </c>
      <c r="D75" s="543">
        <v>5</v>
      </c>
      <c r="E75" s="543">
        <f t="shared" si="17"/>
        <v>30</v>
      </c>
      <c r="F75" s="658"/>
      <c r="G75" s="658"/>
      <c r="H75" s="528"/>
      <c r="I75" s="528"/>
      <c r="J75" s="528"/>
      <c r="K75" s="658"/>
      <c r="L75" s="658"/>
      <c r="M75" s="658"/>
      <c r="N75" s="658"/>
      <c r="O75" s="658"/>
      <c r="P75" s="658"/>
      <c r="Q75" s="658"/>
      <c r="R75" s="639"/>
      <c r="S75" s="361" t="s">
        <v>513</v>
      </c>
      <c r="T75" s="361">
        <f>ROUND(Table1134[العرض]/40,0)</f>
        <v>9</v>
      </c>
      <c r="V75" s="1032"/>
      <c r="W75" s="1032"/>
      <c r="X75" s="639"/>
    </row>
    <row r="76" ht="18">
      <c r="A76" s="1021"/>
      <c r="B76" s="675" t="s">
        <v>427</v>
      </c>
      <c r="C76" s="675">
        <f>H68*3</f>
        <v>6</v>
      </c>
      <c r="D76" s="543">
        <v>5</v>
      </c>
      <c r="E76" s="543">
        <f t="shared" si="17"/>
        <v>30</v>
      </c>
      <c r="F76" s="658"/>
      <c r="G76" s="658"/>
      <c r="H76" s="1043" t="s">
        <v>345</v>
      </c>
      <c r="I76" s="1043"/>
      <c r="J76" s="1043"/>
      <c r="K76" s="658"/>
      <c r="L76" s="658"/>
      <c r="M76" s="658"/>
      <c r="N76" s="658"/>
      <c r="O76" s="658"/>
      <c r="P76" s="658"/>
      <c r="Q76" s="658"/>
      <c r="R76" s="639"/>
      <c r="S76" s="361" t="s">
        <v>448</v>
      </c>
      <c r="T76" s="361" t="s">
        <v>449</v>
      </c>
      <c r="U76" s="361" t="s">
        <v>450</v>
      </c>
      <c r="V76" s="361" t="s">
        <v>451</v>
      </c>
      <c r="W76" s="361" t="s">
        <v>452</v>
      </c>
      <c r="X76" s="639"/>
    </row>
    <row r="77" ht="18">
      <c r="A77" s="1021"/>
      <c r="B77" s="675" t="s">
        <v>429</v>
      </c>
      <c r="C77" s="675" t="str">
        <f>IF(H68&gt;2,(H68-2)*2,"0")</f>
        <v>0</v>
      </c>
      <c r="D77" s="543">
        <f>0.4*L46/1000</f>
        <v>112.8</v>
      </c>
      <c r="E77" s="543">
        <f t="shared" si="17"/>
        <v>0</v>
      </c>
      <c r="F77" s="658"/>
      <c r="G77" s="658"/>
      <c r="H77" s="678" t="s">
        <v>322</v>
      </c>
      <c r="I77" s="1044" t="s">
        <v>399</v>
      </c>
      <c r="J77" s="1044"/>
      <c r="K77" s="658"/>
      <c r="L77" s="658"/>
      <c r="M77" s="658"/>
      <c r="N77" s="658"/>
      <c r="O77" s="658"/>
      <c r="P77" s="658"/>
      <c r="Q77" s="658"/>
      <c r="R77" s="639"/>
      <c r="S77" s="361" t="s">
        <v>455</v>
      </c>
      <c r="T77" s="361">
        <v>4</v>
      </c>
      <c r="U77" s="361">
        <v>3</v>
      </c>
      <c r="V77" s="361">
        <v>4.8</v>
      </c>
      <c r="W77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15955.199999999999</v>
      </c>
      <c r="X77" s="639"/>
    </row>
    <row r="78" ht="18">
      <c r="A78" s="1021"/>
      <c r="B78" s="675" t="s">
        <v>431</v>
      </c>
      <c r="C78" s="675" t="str">
        <f>IF(H68&gt;2,(H68-2)*H71,"0")</f>
        <v>0</v>
      </c>
      <c r="D78" s="543">
        <f>0.2*L46/1000</f>
        <v>56.4</v>
      </c>
      <c r="E78" s="543">
        <f t="shared" si="17"/>
        <v>0</v>
      </c>
      <c r="F78" s="658"/>
      <c r="G78" s="658"/>
      <c r="H78" s="676">
        <f>IF(F141=1,"-------",IF(F141=5,"-------",I133))</f>
        <v>2</v>
      </c>
      <c r="I78" s="1043" t="str">
        <f>IF(H78="-------","-------",E114)</f>
        <v>4Χ220- 1Χ250</v>
      </c>
      <c r="J78" s="1043"/>
      <c r="K78" s="658"/>
      <c r="L78" s="658"/>
      <c r="M78" s="658"/>
      <c r="N78" s="658"/>
      <c r="O78" s="658"/>
      <c r="P78" s="658"/>
      <c r="Q78" s="658"/>
      <c r="R78" s="639"/>
      <c r="S78" s="361" t="s">
        <v>495</v>
      </c>
      <c r="T78" s="361">
        <v>2</v>
      </c>
      <c r="U78" s="361">
        <f>(Table1134[الامتداد]+Table1134[العرض])/100</f>
        <v>7</v>
      </c>
      <c r="V78" s="361">
        <v>3.63</v>
      </c>
      <c r="W78" s="361">
        <f>IF((Table1134[لون الشاسية]=$AI$1),(Table212136714[[#This Row],[العدد]]*Table212136714[[#This Row],[الطول]]*Table212136714[[#This Row],[الوزن المتري]]*(($K$3/1000)+25)),IF((Table1134[لون الشاسية]=$AI$2),(Table212136714[[#This Row],[العدد]]*Table212136714[[#This Row],[الطول]]*Table212136714[[#This Row],[الوزن المتري]]*(($K$3/1000)+65)),0))</f>
        <v>14077.14</v>
      </c>
      <c r="X78" s="639"/>
    </row>
    <row r="79" ht="18">
      <c r="A79" s="1021"/>
      <c r="B79" s="675" t="s">
        <v>433</v>
      </c>
      <c r="C79" s="675">
        <f>C81</f>
        <v>1</v>
      </c>
      <c r="D79" s="543">
        <v>500</v>
      </c>
      <c r="E79" s="543">
        <f t="shared" si="17"/>
        <v>500</v>
      </c>
      <c r="F79" s="658"/>
      <c r="G79" s="658"/>
      <c r="H79" s="658"/>
      <c r="I79" s="658"/>
      <c r="J79" s="658"/>
      <c r="K79" s="658"/>
      <c r="L79" s="658"/>
      <c r="M79" s="658"/>
      <c r="N79" s="658"/>
      <c r="O79" s="658"/>
      <c r="P79" s="658"/>
      <c r="Q79" s="658"/>
      <c r="R79" s="639"/>
      <c r="S79" s="361" t="s">
        <v>514</v>
      </c>
      <c r="T79" s="361">
        <f>IF(AND(Table1134[العرض]&gt;=350,Table1134[العرض]&lt;=600,Table1134[الامتداد]&gt;=Table1134[العرض]),(Table1134[الامتداد]/50)+1,"NO")</f>
        <v>8</v>
      </c>
      <c r="U79" s="361">
        <f>MROUND(Table1134[العرض]/100,1)</f>
        <v>4</v>
      </c>
      <c r="V79" s="361">
        <v>1.6</v>
      </c>
      <c r="W79" s="361">
        <f>IF((Table1134[لون اللوفرز]=$AI$1),(Table212136714[[#This Row],[العدد]]*Table212136714[[#This Row],[الطول]]*Table212136714[[#This Row],[الوزن المتري]]*(($K$3/1000)+25)),IF((Table1134[لون اللوفرز]=$AI$2),(Table212136714[[#This Row],[العدد]]*Table212136714[[#This Row],[الطول]]*Table212136714[[#This Row],[الوزن المتري]]*(($K$3/1000)+65)),0))</f>
        <v>14182.400000000002</v>
      </c>
      <c r="X79" s="639"/>
    </row>
    <row r="80" ht="18">
      <c r="A80" s="1021"/>
      <c r="B80" s="675" t="s">
        <v>435</v>
      </c>
      <c r="C80" s="675">
        <f>D124</f>
        <v>20</v>
      </c>
      <c r="D80" s="543">
        <v>130</v>
      </c>
      <c r="E80" s="543">
        <f t="shared" si="17"/>
        <v>2600</v>
      </c>
      <c r="F80" s="658"/>
      <c r="G80" s="658"/>
      <c r="H80" s="658"/>
      <c r="I80" s="658"/>
      <c r="J80" s="658"/>
      <c r="K80" s="658"/>
      <c r="L80" s="658"/>
      <c r="M80" s="658"/>
      <c r="N80" s="658"/>
      <c r="O80" s="658"/>
      <c r="P80" s="658"/>
      <c r="Q80" s="658"/>
      <c r="R80" s="639"/>
      <c r="S80" s="361" t="s">
        <v>515</v>
      </c>
      <c r="T80" s="361">
        <f>T74*3</f>
        <v>3</v>
      </c>
      <c r="U80" s="361">
        <f>MROUND(Table1134[الامتداد]*0.012,1)</f>
        <v>4</v>
      </c>
      <c r="V80" s="361">
        <v>125</v>
      </c>
      <c r="W80" s="361">
        <f>Table212136714[[#This Row],[الوزن المتري]]*Table212136714[[#This Row],[الطول]]*Table212136714[[#This Row],[العدد]]</f>
        <v>1500</v>
      </c>
      <c r="X80" s="639"/>
    </row>
    <row r="81" ht="18">
      <c r="A81" s="1021"/>
      <c r="B81" s="675" t="s">
        <v>350</v>
      </c>
      <c r="C81" s="675">
        <f>IF(J44&lt;=65,1,2)</f>
        <v>1</v>
      </c>
      <c r="D81" s="543">
        <f>IF(J44&lt;40,5000,10000)</f>
        <v>5000</v>
      </c>
      <c r="E81" s="543">
        <f t="shared" si="17"/>
        <v>5000</v>
      </c>
      <c r="F81" s="658"/>
      <c r="G81" s="658"/>
      <c r="H81" s="658"/>
      <c r="I81" s="658"/>
      <c r="J81" s="658"/>
      <c r="K81" s="658"/>
      <c r="L81" s="658"/>
      <c r="M81" s="658"/>
      <c r="N81" s="658"/>
      <c r="O81" s="658"/>
      <c r="P81" s="658"/>
      <c r="Q81" s="658"/>
      <c r="R81" s="639"/>
      <c r="S81" s="361" t="s">
        <v>458</v>
      </c>
      <c r="T81" s="361">
        <v>4</v>
      </c>
      <c r="V81" s="361">
        <f>Sheet2!B60</f>
        <v>600</v>
      </c>
      <c r="W81" s="361">
        <f>Table212136714[[#This Row],[العدد]]*Table212136714[[#This Row],[الوزن المتري]]</f>
        <v>2400</v>
      </c>
      <c r="X81" s="639"/>
    </row>
    <row r="82" ht="18">
      <c r="A82" s="1021"/>
      <c r="B82" s="675" t="s">
        <v>410</v>
      </c>
      <c r="C82" s="675">
        <f>IF(C91=1,0,1)</f>
        <v>1</v>
      </c>
      <c r="D82" s="543">
        <v>1000</v>
      </c>
      <c r="E82" s="543">
        <f t="shared" si="17"/>
        <v>1000</v>
      </c>
      <c r="F82" s="658"/>
      <c r="G82" s="658"/>
      <c r="H82" s="658"/>
      <c r="I82" s="658"/>
      <c r="J82" s="658"/>
      <c r="K82" s="658"/>
      <c r="L82" s="658"/>
      <c r="M82" s="658"/>
      <c r="N82" s="658"/>
      <c r="O82" s="658"/>
      <c r="P82" s="658"/>
      <c r="Q82" s="658"/>
      <c r="R82" s="639"/>
      <c r="S82" s="361" t="s">
        <v>473</v>
      </c>
      <c r="T82" s="361">
        <v>4</v>
      </c>
      <c r="V82" s="361">
        <f>Sheet2!B61</f>
        <v>900</v>
      </c>
      <c r="W82" s="361">
        <f>Table212136714[[#This Row],[الوزن المتري]]*Table212136714[[#This Row],[العدد]]</f>
        <v>3600</v>
      </c>
      <c r="X82" s="639"/>
    </row>
    <row r="83" ht="18">
      <c r="A83" s="1021"/>
      <c r="B83" s="675" t="s">
        <v>412</v>
      </c>
      <c r="C83" s="675">
        <f>(C66*2)-C84</f>
        <v>3</v>
      </c>
      <c r="D83" s="543">
        <v>150</v>
      </c>
      <c r="E83" s="543">
        <f t="shared" si="17"/>
        <v>450</v>
      </c>
      <c r="F83" s="658"/>
      <c r="G83" s="658"/>
      <c r="H83" s="658"/>
      <c r="I83" s="658"/>
      <c r="J83" s="658"/>
      <c r="K83" s="658"/>
      <c r="L83" s="658"/>
      <c r="M83" s="658"/>
      <c r="N83" s="658"/>
      <c r="O83" s="658"/>
      <c r="P83" s="658"/>
      <c r="Q83" s="658"/>
      <c r="R83" s="639"/>
      <c r="S83" s="361" t="s">
        <v>486</v>
      </c>
      <c r="T83" s="361">
        <v>4</v>
      </c>
      <c r="V83" s="361">
        <v>300</v>
      </c>
      <c r="W83" s="361">
        <f>Table212136714[[#This Row],[الوزن المتري]]*Table212136714[[#This Row],[العدد]]</f>
        <v>1200</v>
      </c>
      <c r="X83" s="639"/>
    </row>
    <row r="84" ht="18">
      <c r="A84" s="1021"/>
      <c r="B84" s="675" t="s">
        <v>414</v>
      </c>
      <c r="C84" s="675">
        <f>IF(C81=1,1,0)</f>
        <v>1</v>
      </c>
      <c r="D84" s="543">
        <v>150</v>
      </c>
      <c r="E84" s="543">
        <f t="shared" si="17"/>
        <v>150</v>
      </c>
      <c r="F84" s="658"/>
      <c r="G84" s="658"/>
      <c r="H84" s="658"/>
      <c r="I84" s="658"/>
      <c r="J84" s="658"/>
      <c r="K84" s="658"/>
      <c r="L84" s="658"/>
      <c r="M84" s="658"/>
      <c r="N84" s="658"/>
      <c r="O84" s="658"/>
      <c r="P84" s="658"/>
      <c r="Q84" s="658"/>
      <c r="R84" s="639"/>
      <c r="S84" s="361" t="s">
        <v>476</v>
      </c>
      <c r="T84" s="361">
        <v>4</v>
      </c>
      <c r="V84" s="642">
        <v>350</v>
      </c>
      <c r="W84" s="361">
        <f>Table212136714[[#This Row],[الوزن المتري]]*Table212136714[[#This Row],[العدد]]</f>
        <v>1400</v>
      </c>
      <c r="X84" s="639"/>
    </row>
    <row r="85" ht="20.4">
      <c r="A85" s="1021"/>
      <c r="B85" s="675" t="s">
        <v>416</v>
      </c>
      <c r="C85" s="675">
        <f>IF(D52&gt;700,C52,0)</f>
        <v>0</v>
      </c>
      <c r="D85" s="543">
        <v>440</v>
      </c>
      <c r="E85" s="543">
        <f t="shared" si="17"/>
        <v>0</v>
      </c>
      <c r="F85" s="658"/>
      <c r="G85" s="658"/>
      <c r="H85" s="658"/>
      <c r="I85" s="658"/>
      <c r="J85" s="658"/>
      <c r="K85" s="658"/>
      <c r="L85" s="658"/>
      <c r="M85" s="658"/>
      <c r="N85" s="658"/>
      <c r="O85" s="658"/>
      <c r="P85" s="658"/>
      <c r="Q85" s="658"/>
      <c r="R85" s="639"/>
      <c r="S85" s="528" t="s">
        <v>477</v>
      </c>
      <c r="T85" s="528">
        <v>1</v>
      </c>
      <c r="U85" s="643" t="s">
        <v>478</v>
      </c>
      <c r="V85" s="528">
        <v>1425</v>
      </c>
      <c r="W85" s="361">
        <f>Table212136714[[#This Row],[الوزن المتري]]*Table212136714[[#This Row],[العدد]]</f>
        <v>1425</v>
      </c>
      <c r="X85" s="639"/>
    </row>
    <row r="86" ht="18">
      <c r="A86" s="1021"/>
      <c r="B86" s="675" t="s">
        <v>418</v>
      </c>
      <c r="C86" s="675">
        <f>C66</f>
        <v>2</v>
      </c>
      <c r="D86" s="543">
        <f>[3]Sheet2!B35</f>
        <v>750</v>
      </c>
      <c r="E86" s="543">
        <f t="shared" si="17"/>
        <v>1500</v>
      </c>
      <c r="F86" s="528"/>
      <c r="G86" s="528"/>
      <c r="H86" s="528"/>
      <c r="I86" s="528"/>
      <c r="J86" s="528"/>
      <c r="K86" s="528"/>
      <c r="L86" s="528"/>
      <c r="M86" s="528"/>
      <c r="N86" s="528"/>
      <c r="O86" s="528"/>
      <c r="P86" s="528"/>
      <c r="Q86" s="528"/>
      <c r="R86" s="639"/>
      <c r="S86" s="361" t="s">
        <v>479</v>
      </c>
      <c r="T86" s="528">
        <f>T79</f>
        <v>8</v>
      </c>
      <c r="U86" s="643"/>
      <c r="V86" s="528">
        <v>250</v>
      </c>
      <c r="W86" s="361">
        <f>Table212136714[[#This Row],[الوزن المتري]]*Table212136714[[#This Row],[العدد]]</f>
        <v>2000</v>
      </c>
      <c r="X86" s="639"/>
    </row>
    <row r="87" ht="18">
      <c r="A87" s="1021"/>
      <c r="B87" s="675" t="s">
        <v>420</v>
      </c>
      <c r="C87" s="675">
        <f>C66</f>
        <v>2</v>
      </c>
      <c r="D87" s="543">
        <f>[3]Sheet2!B36</f>
        <v>750</v>
      </c>
      <c r="E87" s="543">
        <f t="shared" si="17"/>
        <v>1500</v>
      </c>
      <c r="F87" s="528"/>
      <c r="G87" s="528"/>
      <c r="H87" s="528"/>
      <c r="I87" s="528"/>
      <c r="J87" s="528"/>
      <c r="K87" s="528"/>
      <c r="L87" s="528"/>
      <c r="M87" s="528"/>
      <c r="N87" s="528"/>
      <c r="O87" s="528"/>
      <c r="P87" s="528"/>
      <c r="Q87" s="528"/>
      <c r="R87" s="639"/>
      <c r="S87" s="528" t="s">
        <v>465</v>
      </c>
      <c r="W87" s="361">
        <f>SUM(W77:W86)*0.15</f>
        <v>8660.961</v>
      </c>
      <c r="X87" s="639"/>
    </row>
    <row r="88" ht="18">
      <c r="A88" s="1021"/>
      <c r="B88" s="675" t="s">
        <v>422</v>
      </c>
      <c r="C88" s="675">
        <f>C72</f>
        <v>10</v>
      </c>
      <c r="D88" s="543">
        <v>50</v>
      </c>
      <c r="E88" s="543">
        <f t="shared" si="17"/>
        <v>500</v>
      </c>
      <c r="F88" s="528"/>
      <c r="G88" s="528"/>
      <c r="H88" s="528"/>
      <c r="I88" s="528"/>
      <c r="J88" s="528"/>
      <c r="K88" s="528"/>
      <c r="L88" s="528"/>
      <c r="M88" s="528"/>
      <c r="N88" s="528"/>
      <c r="O88" s="528"/>
      <c r="P88" s="528"/>
      <c r="Q88" s="528"/>
      <c r="R88" s="639"/>
      <c r="S88" s="361" t="s">
        <v>54</v>
      </c>
      <c r="W88" s="641">
        <f>SUBTOTAL(109,Table212136714[القيمة])</f>
        <v>66400.701</v>
      </c>
      <c r="X88" s="639"/>
    </row>
    <row r="89" ht="18">
      <c r="A89" s="1021"/>
      <c r="B89" s="675" t="s">
        <v>424</v>
      </c>
      <c r="C89" s="675">
        <f>C66</f>
        <v>2</v>
      </c>
      <c r="D89" s="543">
        <v>260</v>
      </c>
      <c r="E89" s="543">
        <f t="shared" si="17"/>
        <v>520</v>
      </c>
      <c r="F89" s="658"/>
      <c r="G89" s="658"/>
      <c r="H89" s="658"/>
      <c r="I89" s="658"/>
      <c r="J89" s="658"/>
      <c r="K89" s="658"/>
      <c r="L89" s="658"/>
      <c r="M89" s="658"/>
      <c r="N89" s="658"/>
      <c r="O89" s="658"/>
      <c r="P89" s="658"/>
      <c r="Q89" s="658"/>
      <c r="R89" s="639"/>
      <c r="S89" s="1014"/>
      <c r="T89" s="1014"/>
      <c r="U89" s="1014"/>
      <c r="V89" s="1014"/>
      <c r="W89" s="1014"/>
      <c r="X89" s="639"/>
    </row>
    <row r="90" ht="18">
      <c r="A90" s="1021"/>
      <c r="B90" s="675" t="s">
        <v>426</v>
      </c>
      <c r="C90" s="675">
        <f>C66</f>
        <v>2</v>
      </c>
      <c r="D90" s="543">
        <v>380</v>
      </c>
      <c r="E90" s="543">
        <f t="shared" si="17"/>
        <v>760</v>
      </c>
      <c r="F90" s="658"/>
      <c r="G90" s="658"/>
      <c r="H90" s="658"/>
      <c r="I90" s="658"/>
      <c r="J90" s="658"/>
      <c r="K90" s="658"/>
      <c r="L90" s="658"/>
      <c r="M90" s="658"/>
      <c r="N90" s="658"/>
      <c r="O90" s="658"/>
      <c r="P90" s="658"/>
      <c r="Q90" s="658"/>
      <c r="R90" s="639"/>
    </row>
    <row r="91" ht="18">
      <c r="A91" s="1021"/>
      <c r="B91" s="675" t="s">
        <v>428</v>
      </c>
      <c r="C91" s="675">
        <f>IF(C81=2,1,0)</f>
        <v>0</v>
      </c>
      <c r="D91" s="543">
        <v>5000</v>
      </c>
      <c r="E91" s="543">
        <f t="shared" si="17"/>
        <v>0</v>
      </c>
      <c r="F91" s="658"/>
      <c r="G91" s="658"/>
      <c r="H91" s="658"/>
      <c r="I91" s="658"/>
      <c r="J91" s="658"/>
      <c r="K91" s="658"/>
      <c r="L91" s="658"/>
      <c r="M91" s="658"/>
      <c r="N91" s="658"/>
      <c r="O91" s="658"/>
      <c r="P91" s="658"/>
      <c r="Q91" s="658"/>
      <c r="R91" s="639"/>
    </row>
    <row r="92" ht="18">
      <c r="A92" s="1021"/>
      <c r="B92" s="675" t="s">
        <v>430</v>
      </c>
      <c r="C92" s="675">
        <f>C91</f>
        <v>0</v>
      </c>
      <c r="D92" s="543">
        <v>1000</v>
      </c>
      <c r="E92" s="543">
        <f t="shared" si="17"/>
        <v>0</v>
      </c>
      <c r="F92" s="658"/>
      <c r="G92" s="658"/>
      <c r="H92" s="658"/>
      <c r="I92" s="658"/>
      <c r="J92" s="658"/>
      <c r="K92" s="658"/>
      <c r="L92" s="658"/>
      <c r="M92" s="658"/>
      <c r="N92" s="658"/>
      <c r="O92" s="658"/>
      <c r="P92" s="658"/>
      <c r="Q92" s="658"/>
      <c r="R92" s="639"/>
    </row>
    <row r="93" ht="18">
      <c r="A93" s="1021"/>
      <c r="B93" s="675" t="s">
        <v>432</v>
      </c>
      <c r="C93" s="675">
        <f>C61</f>
        <v>0</v>
      </c>
      <c r="D93" s="543">
        <v>175</v>
      </c>
      <c r="E93" s="543">
        <f t="shared" si="17"/>
        <v>0</v>
      </c>
      <c r="F93" s="658"/>
      <c r="G93" s="658"/>
      <c r="H93" s="658"/>
      <c r="I93" s="658"/>
      <c r="J93" s="658"/>
      <c r="K93" s="658"/>
      <c r="L93" s="658"/>
      <c r="M93" s="658"/>
      <c r="N93" s="658"/>
      <c r="O93" s="658"/>
      <c r="P93" s="658"/>
      <c r="Q93" s="658"/>
      <c r="R93" s="639"/>
    </row>
    <row r="94" ht="18">
      <c r="A94" s="1021"/>
      <c r="B94" s="675" t="s">
        <v>434</v>
      </c>
      <c r="C94" s="675">
        <f>C66</f>
        <v>2</v>
      </c>
      <c r="D94" s="543">
        <v>45</v>
      </c>
      <c r="E94" s="543">
        <f t="shared" si="17"/>
        <v>90</v>
      </c>
      <c r="F94" s="658"/>
      <c r="G94" s="658"/>
      <c r="H94" s="658"/>
      <c r="I94" s="658"/>
      <c r="J94" s="658"/>
      <c r="K94" s="658"/>
      <c r="L94" s="658"/>
      <c r="M94" s="658"/>
      <c r="N94" s="658"/>
      <c r="O94" s="658"/>
      <c r="P94" s="658"/>
      <c r="Q94" s="658"/>
      <c r="R94" s="639"/>
    </row>
    <row r="95" ht="18">
      <c r="A95" s="1021"/>
      <c r="B95" s="675" t="s">
        <v>436</v>
      </c>
      <c r="C95" s="679">
        <v>0</v>
      </c>
      <c r="D95" s="543">
        <v>0</v>
      </c>
      <c r="E95" s="543">
        <v>0</v>
      </c>
      <c r="F95" s="658"/>
      <c r="G95" s="658"/>
      <c r="H95" s="658"/>
      <c r="I95" s="658"/>
      <c r="J95" s="658"/>
      <c r="K95" s="658"/>
      <c r="L95" s="658"/>
      <c r="M95" s="658"/>
      <c r="N95" s="658"/>
      <c r="O95" s="658"/>
      <c r="P95" s="658"/>
      <c r="Q95" s="658"/>
      <c r="R95" s="639"/>
    </row>
    <row r="96" ht="18">
      <c r="A96" s="1021"/>
      <c r="B96" s="679" t="s">
        <v>54</v>
      </c>
      <c r="D96" s="597"/>
      <c r="E96" s="597">
        <f>SUBTOTAL(109,Table15139[قيمة])</f>
        <v>34003.547</v>
      </c>
      <c r="F96" s="658"/>
      <c r="G96" s="658"/>
      <c r="H96" s="658"/>
      <c r="I96" s="658"/>
      <c r="J96" s="658"/>
      <c r="K96" s="658"/>
      <c r="L96" s="658"/>
      <c r="M96" s="658"/>
      <c r="N96" s="658"/>
      <c r="O96" s="658"/>
      <c r="P96" s="658"/>
      <c r="Q96" s="658"/>
      <c r="R96" s="639"/>
    </row>
    <row r="97" ht="18">
      <c r="A97" s="1021"/>
      <c r="B97" s="680"/>
      <c r="C97" s="528"/>
      <c r="D97" s="528"/>
      <c r="E97" s="528"/>
      <c r="F97" s="528"/>
      <c r="G97" s="528"/>
      <c r="H97" s="528"/>
      <c r="I97" s="528"/>
      <c r="J97" s="528"/>
      <c r="K97" s="528"/>
      <c r="L97" s="528"/>
      <c r="M97" s="528"/>
      <c r="N97" s="528"/>
      <c r="O97" s="621"/>
      <c r="P97" s="528"/>
      <c r="Q97" s="681"/>
      <c r="R97" s="639"/>
    </row>
    <row r="98" ht="18">
      <c r="A98" s="1021"/>
      <c r="B98" s="680"/>
      <c r="C98" s="528"/>
      <c r="D98" s="528"/>
      <c r="E98" s="528"/>
      <c r="F98" s="528"/>
      <c r="G98" s="528"/>
      <c r="H98" s="528"/>
      <c r="I98" s="528"/>
      <c r="J98" s="528"/>
      <c r="K98" s="528"/>
      <c r="L98" s="528"/>
      <c r="M98" s="528"/>
      <c r="N98" s="528"/>
      <c r="O98" s="621"/>
      <c r="P98" s="528"/>
      <c r="Q98" s="681"/>
      <c r="R98" s="639"/>
    </row>
    <row r="99" ht="18">
      <c r="A99" s="1021"/>
      <c r="B99" s="680"/>
      <c r="C99" s="528"/>
      <c r="D99" s="528"/>
      <c r="E99" s="528"/>
      <c r="F99" s="528"/>
      <c r="G99" s="528"/>
      <c r="H99" s="528"/>
      <c r="I99" s="528"/>
      <c r="J99" s="528"/>
      <c r="K99" s="528"/>
      <c r="L99" s="528"/>
      <c r="M99" s="528"/>
      <c r="N99" s="528"/>
      <c r="O99" s="621"/>
      <c r="P99" s="528"/>
      <c r="Q99" s="681"/>
      <c r="R99" s="639"/>
    </row>
    <row r="100" ht="18">
      <c r="A100" s="1021"/>
      <c r="B100" s="528"/>
      <c r="C100" s="528"/>
      <c r="D100" s="528"/>
      <c r="E100" s="528"/>
      <c r="F100" s="528"/>
      <c r="G100" s="528"/>
      <c r="H100" s="528"/>
      <c r="I100" s="528"/>
      <c r="J100" s="528"/>
      <c r="K100" s="528"/>
      <c r="L100" s="528"/>
      <c r="M100" s="528"/>
      <c r="N100" s="528"/>
      <c r="O100" s="528"/>
      <c r="P100" s="528"/>
      <c r="Q100" s="681"/>
      <c r="R100" s="639"/>
    </row>
    <row r="101" ht="18">
      <c r="A101" s="1021"/>
      <c r="B101" s="1045" t="str">
        <f>K42</f>
        <v>اسم العميل </v>
      </c>
      <c r="C101" s="1046"/>
      <c r="D101" s="1046"/>
      <c r="E101" s="682"/>
      <c r="F101" s="683" t="str">
        <f>L44</f>
        <v>عميل</v>
      </c>
      <c r="G101" s="682"/>
      <c r="H101" s="682"/>
      <c r="I101" s="682"/>
      <c r="J101" s="682"/>
      <c r="K101" s="682"/>
      <c r="L101" s="682"/>
      <c r="M101" s="682"/>
      <c r="N101" s="684"/>
      <c r="O101" s="685"/>
      <c r="P101" s="686"/>
      <c r="Q101" s="687"/>
      <c r="R101" s="639"/>
    </row>
    <row r="102" ht="18">
      <c r="A102" s="1021"/>
      <c r="B102" s="688"/>
      <c r="C102" s="536"/>
      <c r="D102" s="536"/>
      <c r="E102" s="536"/>
      <c r="F102" s="689" t="str">
        <f>I45</f>
        <v>مقاس البي في سي </v>
      </c>
      <c r="G102" s="690"/>
      <c r="H102" s="690"/>
      <c r="I102" s="690"/>
      <c r="J102" s="691"/>
      <c r="K102" s="686"/>
      <c r="L102" s="536">
        <f>J45</f>
        <v>349</v>
      </c>
      <c r="M102" s="536" t="str">
        <f>K45</f>
        <v>Χ</v>
      </c>
      <c r="N102" s="1039">
        <f>L45</f>
        <v>322</v>
      </c>
      <c r="O102" s="1040"/>
      <c r="P102" s="536"/>
      <c r="Q102" s="687"/>
      <c r="R102" s="639"/>
    </row>
    <row r="103" ht="18">
      <c r="A103" s="1021"/>
      <c r="B103" s="692"/>
      <c r="C103" s="693"/>
      <c r="D103" s="693"/>
      <c r="E103" s="693"/>
      <c r="F103" s="692" t="str">
        <f>L108</f>
        <v>لون البي في سي </v>
      </c>
      <c r="G103" s="693"/>
      <c r="H103" s="693"/>
      <c r="I103" s="693"/>
      <c r="J103" s="694"/>
      <c r="K103" s="1047" t="str">
        <f>L109</f>
        <v>بيج  Ral 1013</v>
      </c>
      <c r="L103" s="1048"/>
      <c r="M103" s="1048"/>
      <c r="N103" s="1048"/>
      <c r="O103" s="1049"/>
      <c r="P103" s="536"/>
      <c r="Q103" s="687"/>
      <c r="R103" s="639"/>
    </row>
    <row r="104" ht="18">
      <c r="A104" s="1021"/>
      <c r="B104" s="528"/>
      <c r="C104" s="528"/>
      <c r="D104" s="528"/>
      <c r="E104" s="528"/>
      <c r="F104" s="528"/>
      <c r="G104" s="528"/>
      <c r="H104" s="528"/>
      <c r="I104" s="528"/>
      <c r="J104" s="528"/>
      <c r="K104" s="528"/>
      <c r="L104" s="528"/>
      <c r="M104" s="528"/>
      <c r="N104" s="528"/>
      <c r="O104" s="528"/>
      <c r="P104" s="528"/>
      <c r="Q104" s="681"/>
      <c r="R104" s="639"/>
    </row>
    <row r="105" ht="18">
      <c r="A105" s="1021"/>
      <c r="B105" s="695" t="s">
        <v>335</v>
      </c>
      <c r="C105" s="1050">
        <f>[2]Royal!J47</f>
        <v>0</v>
      </c>
      <c r="D105" s="1051"/>
      <c r="E105" s="1051"/>
      <c r="F105" s="1051"/>
      <c r="G105" s="1052"/>
      <c r="H105" s="695">
        <v>1</v>
      </c>
      <c r="I105" s="695"/>
      <c r="J105" s="695"/>
      <c r="K105" s="528"/>
      <c r="L105" s="528"/>
      <c r="M105" s="528"/>
      <c r="N105" s="528"/>
      <c r="O105" s="528"/>
      <c r="P105" s="528"/>
      <c r="Q105" s="681"/>
      <c r="R105" s="639"/>
    </row>
    <row r="106" ht="18">
      <c r="A106" s="1021"/>
      <c r="B106" s="695" t="s">
        <v>336</v>
      </c>
      <c r="C106" s="695"/>
      <c r="D106" s="695"/>
      <c r="E106" s="695"/>
      <c r="F106" s="695"/>
      <c r="G106" s="1053" t="s">
        <v>337</v>
      </c>
      <c r="H106" s="1053"/>
      <c r="I106" s="695"/>
      <c r="J106" s="695"/>
      <c r="K106" s="528"/>
      <c r="L106" s="954" t="s">
        <v>338</v>
      </c>
      <c r="M106" s="955"/>
      <c r="N106" s="956"/>
      <c r="O106" s="528"/>
      <c r="P106" s="528"/>
      <c r="Q106" s="681"/>
      <c r="R106" s="639"/>
    </row>
    <row r="107" ht="18">
      <c r="A107" s="1021"/>
      <c r="B107" s="695" t="s">
        <v>338</v>
      </c>
      <c r="C107" s="695"/>
      <c r="D107" s="695"/>
      <c r="E107" s="695"/>
      <c r="F107" s="695"/>
      <c r="G107" s="1054" t="s">
        <v>339</v>
      </c>
      <c r="H107" s="1055"/>
      <c r="I107" s="1055"/>
      <c r="J107" s="1056"/>
      <c r="K107" s="528"/>
      <c r="L107" s="1057" t="str">
        <f>IF(C139=1,C136,IF(C139=2,C137,G107))</f>
        <v>بيج  Ral 1013</v>
      </c>
      <c r="M107" s="1058"/>
      <c r="N107" s="1059"/>
      <c r="O107" s="528"/>
      <c r="P107" s="528"/>
      <c r="Q107" s="681"/>
      <c r="R107" s="639"/>
    </row>
    <row r="108" ht="18">
      <c r="A108" s="1021"/>
      <c r="B108" s="695" t="s">
        <v>340</v>
      </c>
      <c r="C108" s="695"/>
      <c r="D108" s="695"/>
      <c r="E108" s="695"/>
      <c r="F108" s="695"/>
      <c r="G108" s="1062" t="s">
        <v>341</v>
      </c>
      <c r="H108" s="1063"/>
      <c r="I108" s="1063"/>
      <c r="J108" s="1064"/>
      <c r="K108" s="528"/>
      <c r="L108" s="923" t="s">
        <v>340</v>
      </c>
      <c r="M108" s="924"/>
      <c r="N108" s="925"/>
      <c r="O108" s="528"/>
      <c r="P108" s="528"/>
      <c r="Q108" s="681"/>
      <c r="R108" s="639"/>
    </row>
    <row r="109" ht="18">
      <c r="A109" s="1021"/>
      <c r="B109" s="695" t="s">
        <v>342</v>
      </c>
      <c r="C109" s="695"/>
      <c r="D109" s="695"/>
      <c r="E109" s="695"/>
      <c r="F109" s="695"/>
      <c r="G109" s="695"/>
      <c r="H109" s="695"/>
      <c r="I109" s="695"/>
      <c r="J109" s="695"/>
      <c r="K109" s="528"/>
      <c r="L109" s="1065" t="str">
        <f>IF(D142=1,D136,IF(D142=2,D137,IF(D142=3,D138,IF(D142=4,D139,IF(D142=5,D140,G108)))))</f>
        <v>بيج  Ral 1013</v>
      </c>
      <c r="M109" s="1066"/>
      <c r="N109" s="1067"/>
      <c r="O109" s="528"/>
      <c r="P109" s="528"/>
      <c r="Q109" s="681"/>
      <c r="R109" s="639"/>
    </row>
    <row r="110" ht="18">
      <c r="A110" s="1021"/>
      <c r="B110" s="695"/>
      <c r="C110" s="697" t="s">
        <v>125</v>
      </c>
      <c r="D110" s="698">
        <f>Table1134[العرض]</f>
        <v>350</v>
      </c>
      <c r="E110" s="699" t="s">
        <v>164</v>
      </c>
      <c r="F110" s="700">
        <f>Table1134[الامتداد]</f>
        <v>350</v>
      </c>
      <c r="G110" s="695"/>
      <c r="H110" s="695"/>
      <c r="I110" s="695"/>
      <c r="J110" s="695"/>
      <c r="K110" s="528"/>
      <c r="L110" s="1068" t="s">
        <v>437</v>
      </c>
      <c r="M110" s="1069"/>
      <c r="N110" s="1069"/>
      <c r="O110" s="528"/>
      <c r="P110" s="528"/>
      <c r="Q110" s="681"/>
      <c r="R110" s="639"/>
    </row>
    <row r="111" ht="18">
      <c r="A111" s="1021"/>
      <c r="B111" s="695"/>
      <c r="C111" s="695"/>
      <c r="D111" s="695"/>
      <c r="E111" s="695"/>
      <c r="F111" s="695"/>
      <c r="G111" s="695">
        <v>5</v>
      </c>
      <c r="H111" s="695"/>
      <c r="I111" s="695"/>
      <c r="J111" s="695"/>
      <c r="K111" s="528"/>
      <c r="L111" s="1070" t="str">
        <f>IF(J139=1,"-------",IF(J139=2,J137,J138))</f>
        <v>صونفي </v>
      </c>
      <c r="M111" s="1071"/>
      <c r="N111" s="1072"/>
      <c r="O111" s="528"/>
      <c r="P111" s="528"/>
      <c r="Q111" s="681"/>
      <c r="R111" s="639"/>
    </row>
    <row r="112" ht="18">
      <c r="A112" s="1021"/>
      <c r="B112" s="695" t="s">
        <v>343</v>
      </c>
      <c r="C112" s="695"/>
      <c r="D112" s="695"/>
      <c r="E112" s="695"/>
      <c r="F112" s="695"/>
      <c r="G112" s="695"/>
      <c r="H112" s="695"/>
      <c r="I112" s="695"/>
      <c r="J112" s="695"/>
      <c r="K112" s="528"/>
      <c r="L112" s="1070"/>
      <c r="M112" s="1071"/>
      <c r="N112" s="1072"/>
      <c r="O112" s="528"/>
      <c r="P112" s="528"/>
      <c r="Q112" s="681"/>
      <c r="R112" s="639"/>
    </row>
    <row r="113" ht="18">
      <c r="A113" s="1021"/>
      <c r="B113" s="695" t="s">
        <v>344</v>
      </c>
      <c r="C113" s="695"/>
      <c r="D113" s="695"/>
      <c r="E113" s="695"/>
      <c r="F113" s="695"/>
      <c r="G113" s="695"/>
      <c r="H113" s="695"/>
      <c r="I113" s="695"/>
      <c r="J113" s="695"/>
      <c r="K113" s="528"/>
      <c r="L113" s="1073" t="str">
        <f>IF('[2]Cutting Ro-1'!Q139=1,"Τηλεχειρισμος",IF('[2]Cutting Ro-1'!Q139=2,"-------","Διακοπτης"))</f>
        <v>Διακοπτης</v>
      </c>
      <c r="M113" s="1074"/>
      <c r="N113" s="1075"/>
      <c r="O113" s="528"/>
      <c r="P113" s="528"/>
      <c r="Q113" s="681"/>
      <c r="R113" s="639"/>
    </row>
    <row r="114" ht="18">
      <c r="A114" s="1021"/>
      <c r="B114" s="695" t="s">
        <v>345</v>
      </c>
      <c r="C114" s="1060" t="s">
        <v>346</v>
      </c>
      <c r="D114" s="1061"/>
      <c r="E114" s="1063" t="s">
        <v>347</v>
      </c>
      <c r="F114" s="1064"/>
      <c r="G114" s="695"/>
      <c r="H114" s="695"/>
      <c r="I114" s="695"/>
      <c r="J114" s="695"/>
      <c r="K114" s="528"/>
      <c r="L114" s="528"/>
      <c r="M114" s="528"/>
      <c r="N114" s="528"/>
      <c r="O114" s="528"/>
      <c r="P114" s="528"/>
      <c r="Q114" s="681"/>
      <c r="R114" s="639"/>
    </row>
    <row r="115" ht="18">
      <c r="A115" s="1021"/>
      <c r="B115" s="695" t="s">
        <v>348</v>
      </c>
      <c r="C115" s="695"/>
      <c r="D115" s="695"/>
      <c r="E115" s="695"/>
      <c r="F115" s="695"/>
      <c r="G115" s="695"/>
      <c r="H115" s="695"/>
      <c r="I115" s="695"/>
      <c r="J115" s="695"/>
      <c r="K115" s="528"/>
      <c r="L115" s="528"/>
      <c r="M115" s="528"/>
      <c r="N115" s="528"/>
      <c r="O115" s="528"/>
      <c r="P115" s="528"/>
      <c r="Q115" s="681"/>
      <c r="R115" s="639"/>
    </row>
    <row r="116" ht="18">
      <c r="A116" s="1021"/>
      <c r="B116" s="695" t="s">
        <v>349</v>
      </c>
      <c r="C116" s="695"/>
      <c r="D116" s="695"/>
      <c r="E116" s="695"/>
      <c r="F116" s="695"/>
      <c r="G116" s="695"/>
      <c r="H116" s="695"/>
      <c r="I116" s="695"/>
      <c r="J116" s="695"/>
      <c r="K116" s="528"/>
      <c r="L116" s="528"/>
      <c r="M116" s="528"/>
      <c r="N116" s="528"/>
      <c r="O116" s="528"/>
      <c r="P116" s="528"/>
      <c r="Q116" s="681"/>
      <c r="R116" s="639"/>
    </row>
    <row r="117" ht="18">
      <c r="A117" s="1021"/>
      <c r="B117" s="695"/>
      <c r="C117" s="695"/>
      <c r="D117" s="695"/>
      <c r="E117" s="695"/>
      <c r="F117" s="695"/>
      <c r="G117" s="695"/>
      <c r="H117" s="695"/>
      <c r="I117" s="695"/>
      <c r="J117" s="695"/>
      <c r="K117" s="528"/>
      <c r="L117" s="528"/>
      <c r="M117" s="528"/>
      <c r="N117" s="528"/>
      <c r="O117" s="528"/>
      <c r="P117" s="528"/>
      <c r="Q117" s="681"/>
      <c r="R117" s="639"/>
    </row>
    <row r="118" ht="18">
      <c r="A118" s="1021"/>
      <c r="B118" s="695" t="s">
        <v>350</v>
      </c>
      <c r="C118" s="695"/>
      <c r="D118" s="695"/>
      <c r="E118" s="695"/>
      <c r="F118" s="695"/>
      <c r="G118" s="695"/>
      <c r="H118" s="695"/>
      <c r="I118" s="695"/>
      <c r="J118" s="695"/>
      <c r="K118" s="528"/>
      <c r="L118" s="528"/>
      <c r="M118" s="528"/>
      <c r="N118" s="528"/>
      <c r="O118" s="528"/>
      <c r="P118" s="528"/>
      <c r="Q118" s="681"/>
      <c r="R118" s="639"/>
    </row>
    <row r="119" ht="18">
      <c r="A119" s="1021"/>
      <c r="B119" s="695"/>
      <c r="C119" s="695"/>
      <c r="D119" s="1053" t="s">
        <v>351</v>
      </c>
      <c r="E119" s="1053"/>
      <c r="F119" s="1053"/>
      <c r="G119" s="695" t="s">
        <v>352</v>
      </c>
      <c r="H119" s="695"/>
      <c r="I119" s="695"/>
      <c r="J119" s="695"/>
      <c r="K119" s="528"/>
      <c r="L119" s="528"/>
      <c r="M119" s="528"/>
      <c r="N119" s="528"/>
      <c r="O119" s="528"/>
      <c r="P119" s="528"/>
      <c r="Q119" s="681"/>
      <c r="R119" s="639"/>
    </row>
    <row r="120" ht="18">
      <c r="A120" s="1021"/>
      <c r="B120" s="1053" t="s">
        <v>353</v>
      </c>
      <c r="C120" s="1053"/>
      <c r="D120" s="1053"/>
      <c r="E120" s="695"/>
      <c r="F120" s="695"/>
      <c r="G120" s="695"/>
      <c r="H120" s="695"/>
      <c r="I120" s="695"/>
      <c r="J120" s="695"/>
      <c r="K120" s="528"/>
      <c r="L120" s="528"/>
      <c r="M120" s="528"/>
      <c r="N120" s="528"/>
      <c r="O120" s="528"/>
      <c r="P120" s="528"/>
      <c r="Q120" s="681"/>
      <c r="R120" s="639"/>
    </row>
    <row r="121" ht="18">
      <c r="A121" s="1021"/>
      <c r="B121" s="1060" t="s">
        <v>354</v>
      </c>
      <c r="C121" s="1061"/>
      <c r="D121" s="701">
        <f>C214</f>
        <v>3</v>
      </c>
      <c r="E121" s="695"/>
      <c r="F121" s="695"/>
      <c r="G121" s="695"/>
      <c r="H121" s="695"/>
      <c r="I121" s="695"/>
      <c r="J121" s="695"/>
      <c r="K121" s="528"/>
      <c r="L121" s="528"/>
      <c r="M121" s="528"/>
      <c r="N121" s="528"/>
      <c r="O121" s="528"/>
      <c r="P121" s="528"/>
      <c r="Q121" s="681"/>
      <c r="R121" s="639"/>
    </row>
    <row r="122" ht="18">
      <c r="A122" s="1021"/>
      <c r="B122" s="1060" t="s">
        <v>355</v>
      </c>
      <c r="C122" s="1061"/>
      <c r="D122" s="701">
        <f>C217</f>
        <v>6</v>
      </c>
      <c r="E122" s="695"/>
      <c r="F122" s="695"/>
      <c r="G122" s="695"/>
      <c r="H122" s="695"/>
      <c r="I122" s="695"/>
      <c r="J122" s="695"/>
      <c r="K122" s="528"/>
      <c r="L122" s="528"/>
      <c r="M122" s="528"/>
      <c r="N122" s="528"/>
      <c r="O122" s="528"/>
      <c r="P122" s="528"/>
      <c r="Q122" s="681"/>
      <c r="R122" s="639"/>
    </row>
    <row r="123" ht="18">
      <c r="A123" s="1021"/>
      <c r="B123" s="1060" t="s">
        <v>356</v>
      </c>
      <c r="C123" s="1061"/>
      <c r="D123" s="701">
        <f>D122/D121</f>
        <v>2</v>
      </c>
      <c r="E123" s="695"/>
      <c r="F123" s="695"/>
      <c r="G123" s="695"/>
      <c r="H123" s="695"/>
      <c r="I123" s="695"/>
      <c r="J123" s="695"/>
      <c r="K123" s="528"/>
      <c r="L123" s="528"/>
      <c r="M123" s="528"/>
      <c r="N123" s="528"/>
      <c r="O123" s="528"/>
      <c r="P123" s="528"/>
      <c r="Q123" s="681"/>
      <c r="R123" s="639"/>
    </row>
    <row r="124" ht="18">
      <c r="A124" s="1021"/>
      <c r="B124" s="1060" t="s">
        <v>357</v>
      </c>
      <c r="C124" s="1061"/>
      <c r="D124" s="1063">
        <v>20</v>
      </c>
      <c r="E124" s="1064"/>
      <c r="F124" s="1060" t="s">
        <v>358</v>
      </c>
      <c r="G124" s="1061"/>
      <c r="H124" s="1061"/>
      <c r="I124" s="701">
        <f>D124/D121</f>
        <v>6.666666666666667</v>
      </c>
      <c r="J124" s="695"/>
      <c r="K124" s="528"/>
      <c r="L124" s="528"/>
      <c r="M124" s="528"/>
      <c r="N124" s="528"/>
      <c r="O124" s="528"/>
      <c r="P124" s="528"/>
      <c r="Q124" s="681"/>
      <c r="R124" s="639"/>
    </row>
    <row r="125" ht="18">
      <c r="A125" s="1021"/>
      <c r="B125" s="1060" t="s">
        <v>359</v>
      </c>
      <c r="C125" s="1061"/>
      <c r="D125" s="696">
        <v>50</v>
      </c>
      <c r="E125" s="701" t="s">
        <v>360</v>
      </c>
      <c r="F125" s="695"/>
      <c r="G125" s="695"/>
      <c r="H125" s="695"/>
      <c r="I125" s="695"/>
      <c r="J125" s="695"/>
      <c r="K125" s="528"/>
      <c r="L125" s="528"/>
      <c r="M125" s="528"/>
      <c r="N125" s="528"/>
      <c r="O125" s="528"/>
      <c r="P125" s="528"/>
      <c r="Q125" s="681"/>
      <c r="R125" s="639"/>
    </row>
    <row r="126" ht="18">
      <c r="A126" s="1021"/>
      <c r="B126" s="695"/>
      <c r="C126" s="695"/>
      <c r="D126" s="695"/>
      <c r="E126" s="695"/>
      <c r="F126" s="695"/>
      <c r="G126" s="695"/>
      <c r="H126" s="695"/>
      <c r="I126" s="695"/>
      <c r="J126" s="695"/>
      <c r="K126" s="528"/>
      <c r="L126" s="528"/>
      <c r="M126" s="528"/>
      <c r="N126" s="528"/>
      <c r="O126" s="528"/>
      <c r="P126" s="528"/>
      <c r="Q126" s="681"/>
      <c r="R126" s="639"/>
    </row>
    <row r="127" ht="18">
      <c r="A127" s="1021"/>
      <c r="B127" s="695"/>
      <c r="C127" s="695"/>
      <c r="D127" s="695"/>
      <c r="E127" s="695"/>
      <c r="F127" s="695"/>
      <c r="G127" s="695"/>
      <c r="H127" s="695"/>
      <c r="I127" s="695"/>
      <c r="J127" s="695"/>
      <c r="K127" s="528"/>
      <c r="L127" s="528"/>
      <c r="M127" s="528"/>
      <c r="N127" s="528"/>
      <c r="O127" s="528"/>
      <c r="P127" s="528"/>
      <c r="Q127" s="681"/>
      <c r="R127" s="639"/>
    </row>
    <row r="128" ht="18">
      <c r="A128" s="1021"/>
      <c r="B128" s="695" t="s">
        <v>361</v>
      </c>
      <c r="C128" s="695"/>
      <c r="D128" s="695"/>
      <c r="E128" s="695"/>
      <c r="F128" s="695"/>
      <c r="G128" s="695"/>
      <c r="H128" s="695"/>
      <c r="I128" s="695"/>
      <c r="J128" s="695"/>
      <c r="K128" s="528"/>
      <c r="L128" s="528"/>
      <c r="M128" s="528"/>
      <c r="N128" s="528"/>
      <c r="O128" s="528"/>
      <c r="P128" s="528"/>
      <c r="Q128" s="681"/>
      <c r="R128" s="639"/>
    </row>
    <row r="129" ht="18">
      <c r="A129" s="1021"/>
      <c r="B129" s="695"/>
      <c r="C129" s="695"/>
      <c r="D129" s="695"/>
      <c r="E129" s="695"/>
      <c r="F129" s="695"/>
      <c r="G129" s="695"/>
      <c r="H129" s="695" t="s">
        <v>362</v>
      </c>
      <c r="I129" s="695" t="s">
        <v>363</v>
      </c>
      <c r="J129" s="695"/>
      <c r="K129" s="528"/>
      <c r="L129" s="528"/>
      <c r="M129" s="528"/>
      <c r="N129" s="528"/>
      <c r="O129" s="528"/>
      <c r="P129" s="528"/>
      <c r="Q129" s="681"/>
      <c r="R129" s="639"/>
    </row>
    <row r="130" ht="18">
      <c r="A130" s="1021"/>
      <c r="B130" s="695" t="s">
        <v>364</v>
      </c>
      <c r="C130" s="695"/>
      <c r="D130" s="695"/>
      <c r="E130" s="695"/>
      <c r="F130" s="695"/>
      <c r="G130" s="695"/>
      <c r="H130" s="702">
        <f>IF(B141=1,D153,IF(B141=2,D153,IF(B141=3,D153,IF(B141=4,D153,IF(B141=5,D153,IF(B141=6,F153,IF(B141=7,F153,IF(B141=8,F153,IF(B141=9,F153,IF(B141=10,F153,IF(B141=11,E153,IF(B141=12,G153,IF(B141=13,G153)))))))))))))</f>
        <v>2</v>
      </c>
      <c r="I130" s="702">
        <f>IF(K142=3,H130,IF(K142=1,H130-2,IF(K142=2,H130-1,IF(K142=4,H130+1,IF(K142=5,H130+2)))))</f>
        <v>2</v>
      </c>
      <c r="J130" s="695"/>
      <c r="K130" s="528"/>
      <c r="L130" s="528"/>
      <c r="M130" s="528"/>
      <c r="N130" s="528"/>
      <c r="O130" s="528"/>
      <c r="P130" s="528"/>
      <c r="Q130" s="681"/>
      <c r="R130" s="639"/>
    </row>
    <row r="131" ht="18">
      <c r="A131" s="1021"/>
      <c r="B131" s="695" t="s">
        <v>365</v>
      </c>
      <c r="C131" s="695"/>
      <c r="D131" s="695"/>
      <c r="E131" s="695"/>
      <c r="F131" s="695"/>
      <c r="G131" s="695"/>
      <c r="H131" s="702">
        <f>IF(B141=1,F157,IF(B141=2,F157,IF(B141=3,F157,IF(B141=4,F157,IF(B141=5,F157,N153)))))</f>
        <v>5</v>
      </c>
      <c r="I131" s="702">
        <f>IF(L148=6,0,IF(L148=1,-5,IF(L148=2,-4,IF(L148=3,-3,IF(L148=4,-2,IF(L148=5,-1,IF(L148=7,1,IF(L148=8,2,IF(L148=9,3,IF(L148=10,4,IF(L148=11,5,)))))))))))+H131</f>
        <v>5</v>
      </c>
      <c r="J131" s="695"/>
      <c r="K131" s="528"/>
      <c r="L131" s="528"/>
      <c r="M131" s="528"/>
      <c r="N131" s="528"/>
      <c r="O131" s="528"/>
      <c r="P131" s="528"/>
      <c r="Q131" s="681"/>
      <c r="R131" s="639"/>
    </row>
    <row r="132" ht="18">
      <c r="A132" s="1021"/>
      <c r="B132" s="695"/>
      <c r="C132" s="695"/>
      <c r="D132" s="695"/>
      <c r="E132" s="695"/>
      <c r="F132" s="695"/>
      <c r="G132" s="695"/>
      <c r="H132" s="702">
        <f>IF(I130=2,2,I130+1)</f>
        <v>2</v>
      </c>
      <c r="I132" s="702">
        <f>IF(M148=6,0,IF(M148=1,-5,IF(M148=2,-4,IF(M148=3,-3,IF(M148=4,-2,IF(M148=5,-1,IF(M148=7,1,IF(M148=8,2,IF(M148=9,3,IF(M148=10,4,IF(M148=11,5,)))))))))))+H132</f>
        <v>2</v>
      </c>
      <c r="J132" s="695"/>
      <c r="K132" s="528"/>
      <c r="L132" s="528"/>
      <c r="M132" s="528"/>
      <c r="N132" s="528"/>
      <c r="O132" s="528"/>
      <c r="P132" s="528"/>
      <c r="Q132" s="681"/>
      <c r="R132" s="639"/>
    </row>
    <row r="133" ht="18">
      <c r="A133" s="1021"/>
      <c r="B133" s="695" t="s">
        <v>345</v>
      </c>
      <c r="C133" s="695"/>
      <c r="D133" s="695"/>
      <c r="E133" s="695"/>
      <c r="F133" s="695"/>
      <c r="G133" s="695"/>
      <c r="H133" s="702">
        <f>H130</f>
        <v>2</v>
      </c>
      <c r="I133" s="702">
        <f>IF(N142=3,H133,IF(N142=1,H133-2,IF(N142=2,H133-1,IF(N142=4,H133+1,IF(N142=5,H133+2)))))</f>
        <v>2</v>
      </c>
      <c r="J133" s="695"/>
      <c r="K133" s="528"/>
      <c r="L133" s="528"/>
      <c r="M133" s="528"/>
      <c r="N133" s="528"/>
      <c r="O133" s="528"/>
      <c r="P133" s="528"/>
      <c r="Q133" s="681"/>
      <c r="R133" s="639"/>
    </row>
    <row r="134" ht="18.6">
      <c r="A134" s="1021"/>
      <c r="B134" s="695"/>
      <c r="C134" s="695"/>
      <c r="D134" s="695"/>
      <c r="E134" s="695"/>
      <c r="F134" s="695"/>
      <c r="G134" s="695"/>
      <c r="H134" s="695"/>
      <c r="I134" s="695"/>
      <c r="J134" s="695"/>
      <c r="K134" s="528"/>
      <c r="L134" s="528"/>
      <c r="M134" s="528"/>
      <c r="N134" s="528"/>
      <c r="O134" s="528"/>
      <c r="P134" s="528"/>
      <c r="Q134" s="703"/>
      <c r="R134" s="639"/>
    </row>
    <row r="135">
      <c r="A135" s="1021"/>
      <c r="B135" s="704" t="s">
        <v>371</v>
      </c>
      <c r="C135" s="705" t="s">
        <v>338</v>
      </c>
      <c r="D135" s="705" t="s">
        <v>340</v>
      </c>
      <c r="E135" s="705" t="s">
        <v>343</v>
      </c>
      <c r="F135" s="705" t="s">
        <v>344</v>
      </c>
      <c r="G135" s="705" t="s">
        <v>348</v>
      </c>
      <c r="H135" s="705" t="s">
        <v>353</v>
      </c>
      <c r="I135" s="705" t="s">
        <v>516</v>
      </c>
      <c r="J135" s="705" t="s">
        <v>350</v>
      </c>
      <c r="K135" s="1078" t="s">
        <v>517</v>
      </c>
      <c r="L135" s="1079"/>
      <c r="M135" s="1079"/>
      <c r="N135" s="1080"/>
      <c r="O135" s="705" t="s">
        <v>518</v>
      </c>
      <c r="P135" s="705" t="s">
        <v>350</v>
      </c>
      <c r="Q135" s="705" t="s">
        <v>519</v>
      </c>
      <c r="R135" s="639"/>
    </row>
    <row r="136">
      <c r="A136" s="1021"/>
      <c r="B136" s="706" t="s">
        <v>520</v>
      </c>
      <c r="C136" s="707" t="s">
        <v>521</v>
      </c>
      <c r="D136" s="707" t="s">
        <v>521</v>
      </c>
      <c r="E136" s="707" t="s">
        <v>522</v>
      </c>
      <c r="F136" s="707" t="s">
        <v>523</v>
      </c>
      <c r="G136" s="707" t="s">
        <v>524</v>
      </c>
      <c r="H136" s="707" t="s">
        <v>524</v>
      </c>
      <c r="I136" s="707" t="s">
        <v>524</v>
      </c>
      <c r="J136" s="707" t="s">
        <v>523</v>
      </c>
      <c r="K136" s="708" t="s">
        <v>364</v>
      </c>
      <c r="L136" s="709" t="s">
        <v>365</v>
      </c>
      <c r="M136" s="709" t="s">
        <v>525</v>
      </c>
      <c r="N136" s="710" t="s">
        <v>345</v>
      </c>
      <c r="O136" s="707" t="s">
        <v>526</v>
      </c>
      <c r="P136" s="707" t="s">
        <v>527</v>
      </c>
      <c r="Q136" s="707" t="s">
        <v>524</v>
      </c>
      <c r="R136" s="639"/>
    </row>
    <row r="137">
      <c r="A137" s="1021"/>
      <c r="B137" s="706" t="s">
        <v>528</v>
      </c>
      <c r="C137" s="707" t="s">
        <v>529</v>
      </c>
      <c r="D137" s="707" t="s">
        <v>529</v>
      </c>
      <c r="E137" s="707" t="s">
        <v>530</v>
      </c>
      <c r="F137" s="707" t="s">
        <v>531</v>
      </c>
      <c r="G137" s="707" t="s">
        <v>523</v>
      </c>
      <c r="H137" s="707" t="s">
        <v>523</v>
      </c>
      <c r="I137" s="707" t="s">
        <v>523</v>
      </c>
      <c r="J137" s="707" t="s">
        <v>532</v>
      </c>
      <c r="K137" s="708">
        <v>-2</v>
      </c>
      <c r="L137" s="709">
        <v>-5</v>
      </c>
      <c r="M137" s="709">
        <v>-5</v>
      </c>
      <c r="N137" s="710">
        <v>-2</v>
      </c>
      <c r="O137" s="707" t="s">
        <v>533</v>
      </c>
      <c r="P137" s="707" t="s">
        <v>534</v>
      </c>
      <c r="Q137" s="707" t="s">
        <v>523</v>
      </c>
      <c r="R137" s="639"/>
    </row>
    <row r="138">
      <c r="A138" s="1021"/>
      <c r="B138" s="706" t="s">
        <v>535</v>
      </c>
      <c r="C138" s="707" t="s">
        <v>536</v>
      </c>
      <c r="D138" s="707" t="s">
        <v>537</v>
      </c>
      <c r="E138" s="707">
        <v>1</v>
      </c>
      <c r="F138" s="707" t="s">
        <v>538</v>
      </c>
      <c r="G138" s="707">
        <v>1</v>
      </c>
      <c r="H138" s="707">
        <v>1</v>
      </c>
      <c r="I138" s="707">
        <v>2</v>
      </c>
      <c r="J138" s="707" t="s">
        <v>539</v>
      </c>
      <c r="K138" s="708">
        <v>-1</v>
      </c>
      <c r="L138" s="709">
        <v>-4</v>
      </c>
      <c r="M138" s="709">
        <v>-4</v>
      </c>
      <c r="N138" s="710">
        <v>-1</v>
      </c>
      <c r="O138" s="707" t="s">
        <v>540</v>
      </c>
      <c r="P138" s="707">
        <v>1</v>
      </c>
      <c r="Q138" s="707" t="s">
        <v>541</v>
      </c>
      <c r="R138" s="639"/>
    </row>
    <row r="139">
      <c r="A139" s="1021"/>
      <c r="B139" s="706" t="s">
        <v>542</v>
      </c>
      <c r="C139" s="707">
        <v>1</v>
      </c>
      <c r="D139" s="707" t="s">
        <v>543</v>
      </c>
      <c r="E139" s="707"/>
      <c r="F139" s="707" t="s">
        <v>544</v>
      </c>
      <c r="G139" s="707"/>
      <c r="H139" s="707"/>
      <c r="I139" s="707"/>
      <c r="J139" s="707">
        <v>2</v>
      </c>
      <c r="K139" s="708">
        <v>0</v>
      </c>
      <c r="L139" s="709">
        <v>-3</v>
      </c>
      <c r="M139" s="709">
        <v>-3</v>
      </c>
      <c r="N139" s="710">
        <v>0</v>
      </c>
      <c r="O139" s="707" t="s">
        <v>545</v>
      </c>
      <c r="P139" s="707"/>
      <c r="Q139" s="707">
        <v>1</v>
      </c>
      <c r="R139" s="639"/>
    </row>
    <row r="140">
      <c r="A140" s="1021"/>
      <c r="B140" s="706" t="s">
        <v>546</v>
      </c>
      <c r="C140" s="707"/>
      <c r="D140" s="707" t="s">
        <v>547</v>
      </c>
      <c r="E140" s="707"/>
      <c r="F140" s="707" t="s">
        <v>548</v>
      </c>
      <c r="G140" s="707"/>
      <c r="H140" s="707"/>
      <c r="I140" s="707"/>
      <c r="J140" s="707"/>
      <c r="K140" s="708">
        <v>1</v>
      </c>
      <c r="L140" s="709">
        <v>-2</v>
      </c>
      <c r="M140" s="709">
        <v>-2</v>
      </c>
      <c r="N140" s="710">
        <v>1</v>
      </c>
      <c r="O140" s="707" t="s">
        <v>549</v>
      </c>
      <c r="P140" s="707"/>
      <c r="Q140" s="707"/>
      <c r="R140" s="639"/>
    </row>
    <row r="141">
      <c r="A141" s="1021"/>
      <c r="B141" s="706">
        <v>2</v>
      </c>
      <c r="C141" s="707"/>
      <c r="D141" s="707" t="s">
        <v>536</v>
      </c>
      <c r="E141" s="707"/>
      <c r="F141" s="707" t="s">
        <v>550</v>
      </c>
      <c r="G141" s="707"/>
      <c r="H141" s="707"/>
      <c r="I141" s="707"/>
      <c r="J141" s="707"/>
      <c r="K141" s="708">
        <v>2</v>
      </c>
      <c r="L141" s="709">
        <v>-1</v>
      </c>
      <c r="M141" s="709">
        <v>-1</v>
      </c>
      <c r="N141" s="710">
        <v>2</v>
      </c>
      <c r="O141" s="707" t="s">
        <v>551</v>
      </c>
      <c r="P141" s="707"/>
      <c r="Q141" s="707"/>
      <c r="R141" s="639"/>
    </row>
    <row r="142">
      <c r="A142" s="1021"/>
      <c r="B142" s="706"/>
      <c r="C142" s="707"/>
      <c r="D142" s="707">
        <v>1</v>
      </c>
      <c r="E142" s="707"/>
      <c r="F142" s="707">
        <v>1</v>
      </c>
      <c r="G142" s="707"/>
      <c r="H142" s="707"/>
      <c r="I142" s="707"/>
      <c r="J142" s="707"/>
      <c r="K142" s="708">
        <v>3</v>
      </c>
      <c r="L142" s="709">
        <v>0</v>
      </c>
      <c r="M142" s="709">
        <v>0</v>
      </c>
      <c r="N142" s="710">
        <v>3</v>
      </c>
      <c r="O142" s="707">
        <v>1</v>
      </c>
      <c r="P142" s="707"/>
      <c r="Q142" s="707"/>
      <c r="R142" s="639"/>
    </row>
    <row r="143">
      <c r="A143" s="1021"/>
      <c r="B143" s="706"/>
      <c r="C143" s="707"/>
      <c r="D143" s="707"/>
      <c r="E143" s="707"/>
      <c r="F143" s="707"/>
      <c r="G143" s="707"/>
      <c r="H143" s="707"/>
      <c r="I143" s="707"/>
      <c r="J143" s="707"/>
      <c r="K143" s="708"/>
      <c r="L143" s="709">
        <v>1</v>
      </c>
      <c r="M143" s="709">
        <v>1</v>
      </c>
      <c r="N143" s="710"/>
      <c r="O143" s="707"/>
      <c r="P143" s="707"/>
      <c r="Q143" s="707"/>
      <c r="R143" s="639"/>
    </row>
    <row r="144">
      <c r="A144" s="1021"/>
      <c r="B144" s="706"/>
      <c r="C144" s="707"/>
      <c r="D144" s="707"/>
      <c r="E144" s="707"/>
      <c r="F144" s="707"/>
      <c r="G144" s="707"/>
      <c r="H144" s="707"/>
      <c r="I144" s="707"/>
      <c r="J144" s="707"/>
      <c r="K144" s="708"/>
      <c r="L144" s="709">
        <v>2</v>
      </c>
      <c r="M144" s="709">
        <v>2</v>
      </c>
      <c r="N144" s="710"/>
      <c r="O144" s="707"/>
      <c r="P144" s="707"/>
      <c r="Q144" s="707"/>
      <c r="R144" s="639"/>
    </row>
    <row r="145">
      <c r="A145" s="1021"/>
      <c r="B145" s="706"/>
      <c r="C145" s="707"/>
      <c r="D145" s="707"/>
      <c r="E145" s="707"/>
      <c r="F145" s="707"/>
      <c r="G145" s="707"/>
      <c r="H145" s="707"/>
      <c r="I145" s="707"/>
      <c r="J145" s="707"/>
      <c r="K145" s="708"/>
      <c r="L145" s="709">
        <v>3</v>
      </c>
      <c r="M145" s="709">
        <v>3</v>
      </c>
      <c r="N145" s="710"/>
      <c r="O145" s="707"/>
      <c r="P145" s="707"/>
      <c r="Q145" s="707"/>
      <c r="R145" s="639"/>
    </row>
    <row r="146">
      <c r="A146" s="1021"/>
      <c r="B146" s="706"/>
      <c r="C146" s="707"/>
      <c r="D146" s="707"/>
      <c r="E146" s="707"/>
      <c r="F146" s="707"/>
      <c r="G146" s="707"/>
      <c r="H146" s="707"/>
      <c r="I146" s="707"/>
      <c r="J146" s="707"/>
      <c r="K146" s="708"/>
      <c r="L146" s="709">
        <v>4</v>
      </c>
      <c r="M146" s="709">
        <v>4</v>
      </c>
      <c r="N146" s="710"/>
      <c r="O146" s="707"/>
      <c r="P146" s="707"/>
      <c r="Q146" s="707"/>
      <c r="R146" s="639"/>
    </row>
    <row r="147">
      <c r="A147" s="1021"/>
      <c r="B147" s="706"/>
      <c r="C147" s="707"/>
      <c r="D147" s="707"/>
      <c r="E147" s="707"/>
      <c r="F147" s="707"/>
      <c r="G147" s="707"/>
      <c r="H147" s="707"/>
      <c r="I147" s="707"/>
      <c r="J147" s="707"/>
      <c r="K147" s="708"/>
      <c r="L147" s="709">
        <v>5</v>
      </c>
      <c r="M147" s="709">
        <v>5</v>
      </c>
      <c r="N147" s="710"/>
      <c r="O147" s="707"/>
      <c r="P147" s="707"/>
      <c r="Q147" s="707"/>
      <c r="R147" s="639"/>
    </row>
    <row r="148">
      <c r="A148" s="1021"/>
      <c r="B148" s="706"/>
      <c r="C148" s="707"/>
      <c r="D148" s="707"/>
      <c r="E148" s="707"/>
      <c r="F148" s="707"/>
      <c r="G148" s="707"/>
      <c r="H148" s="707"/>
      <c r="I148" s="707"/>
      <c r="J148" s="707"/>
      <c r="K148" s="708"/>
      <c r="L148" s="709">
        <v>6</v>
      </c>
      <c r="M148" s="709">
        <v>6</v>
      </c>
      <c r="N148" s="710"/>
      <c r="O148" s="707"/>
      <c r="P148" s="707"/>
      <c r="Q148" s="707"/>
      <c r="R148" s="639"/>
    </row>
    <row r="149">
      <c r="A149" s="1021"/>
      <c r="B149" s="711"/>
      <c r="C149" s="712"/>
      <c r="D149" s="712"/>
      <c r="E149" s="712"/>
      <c r="F149" s="712"/>
      <c r="G149" s="712"/>
      <c r="H149" s="712"/>
      <c r="I149" s="712"/>
      <c r="J149" s="712"/>
      <c r="K149" s="713"/>
      <c r="L149" s="714"/>
      <c r="M149" s="714"/>
      <c r="N149" s="715"/>
      <c r="O149" s="712"/>
      <c r="P149" s="712"/>
      <c r="Q149" s="712"/>
      <c r="R149" s="639"/>
    </row>
    <row r="150" ht="15">
      <c r="A150" s="1021"/>
      <c r="B150" s="716"/>
      <c r="C150" s="709"/>
      <c r="D150" s="709"/>
      <c r="E150" s="709"/>
      <c r="F150" s="709"/>
      <c r="G150" s="709"/>
      <c r="H150" s="709"/>
      <c r="I150" s="709"/>
      <c r="J150" s="709"/>
      <c r="K150" s="709"/>
      <c r="L150" s="709"/>
      <c r="M150" s="709"/>
      <c r="N150" s="709"/>
      <c r="O150" s="709"/>
      <c r="P150" s="709"/>
      <c r="Q150" s="709"/>
      <c r="R150" s="639"/>
    </row>
    <row r="151">
      <c r="A151" s="1021"/>
      <c r="B151" s="717" t="s">
        <v>552</v>
      </c>
      <c r="C151" s="718" t="str">
        <f>IF(B141=1,B136,IF(B141=2,B137,IF(B141=3,B138,IF(B141=4,B139,IF(B141=5,B140,IF(B141=6,B141,IF(B141=7,B142,IF(B141=8,B143,IF(B141=9,B144,IF(B141=10,B145,IF(B141=11,B146,IF(B141=12,B147,B148))))))))))))</f>
        <v>EVO 150X70</v>
      </c>
      <c r="D151" s="1081" t="s">
        <v>553</v>
      </c>
      <c r="E151" s="1082"/>
      <c r="F151" s="1082"/>
      <c r="G151" s="1083"/>
      <c r="H151" s="709"/>
      <c r="I151" s="709"/>
      <c r="J151" s="1084" t="s">
        <v>554</v>
      </c>
      <c r="K151" s="1085"/>
      <c r="L151" s="1085"/>
      <c r="M151" s="1085"/>
      <c r="N151" s="1085"/>
      <c r="O151" s="1085"/>
      <c r="P151" s="1085"/>
      <c r="Q151" s="1086"/>
      <c r="R151" s="639"/>
    </row>
    <row r="152">
      <c r="A152" s="1021"/>
      <c r="B152" s="720" t="s">
        <v>555</v>
      </c>
      <c r="C152" s="721">
        <f>D110</f>
        <v>350</v>
      </c>
      <c r="D152" s="722" t="s">
        <v>556</v>
      </c>
      <c r="E152" s="722"/>
      <c r="F152" s="722"/>
      <c r="G152" s="719"/>
      <c r="H152" s="709"/>
      <c r="I152" s="709"/>
      <c r="J152" s="723"/>
      <c r="K152" s="724"/>
      <c r="L152" s="724"/>
      <c r="M152" s="724"/>
      <c r="N152" s="724"/>
      <c r="O152" s="724"/>
      <c r="P152" s="724"/>
      <c r="Q152" s="725"/>
      <c r="R152" s="639"/>
    </row>
    <row r="153" ht="15">
      <c r="A153" s="1021"/>
      <c r="B153" s="726" t="s">
        <v>557</v>
      </c>
      <c r="C153" s="727">
        <f>G242</f>
        <v>350</v>
      </c>
      <c r="D153" s="712">
        <f>IF(C152&gt;2400,8,IF(C152&gt;2000,7,IF(C152&gt;1600,6,IF(C152&gt;1200,5,IF(C152&gt;800,4,IF(C152&gt;400,3,2))))))</f>
        <v>2</v>
      </c>
      <c r="E153" s="712"/>
      <c r="F153" s="712"/>
      <c r="G153" s="715"/>
      <c r="H153" s="709"/>
      <c r="I153" s="709"/>
      <c r="J153" s="1087" t="s">
        <v>558</v>
      </c>
      <c r="K153" s="1088"/>
      <c r="L153" s="729">
        <f>C153</f>
        <v>350</v>
      </c>
      <c r="M153" s="729" t="s">
        <v>559</v>
      </c>
      <c r="N153" s="729">
        <f>INT((L153-4)/25)+1</f>
        <v>14</v>
      </c>
      <c r="O153" s="729"/>
      <c r="P153" s="729"/>
      <c r="Q153" s="730"/>
      <c r="R153" s="639"/>
    </row>
    <row r="154" ht="15">
      <c r="A154" s="1021"/>
      <c r="B154" s="716"/>
      <c r="C154" s="709"/>
      <c r="D154" s="709"/>
      <c r="E154" s="709"/>
      <c r="F154" s="709"/>
      <c r="G154" s="709"/>
      <c r="H154" s="709"/>
      <c r="I154" s="709"/>
      <c r="J154" s="709"/>
      <c r="K154" s="709"/>
      <c r="L154" s="709"/>
      <c r="M154" s="709"/>
      <c r="N154" s="709"/>
      <c r="O154" s="709"/>
      <c r="P154" s="709"/>
      <c r="Q154" s="709"/>
      <c r="R154" s="639"/>
    </row>
    <row r="155">
      <c r="A155" s="1021"/>
      <c r="B155" s="1084" t="s">
        <v>560</v>
      </c>
      <c r="C155" s="1085"/>
      <c r="D155" s="1085"/>
      <c r="E155" s="1085"/>
      <c r="F155" s="1085"/>
      <c r="G155" s="1085"/>
      <c r="H155" s="1085"/>
      <c r="I155" s="1086"/>
      <c r="J155" s="1084" t="s">
        <v>561</v>
      </c>
      <c r="K155" s="1085"/>
      <c r="L155" s="1085"/>
      <c r="M155" s="1085"/>
      <c r="N155" s="1085"/>
      <c r="O155" s="1085"/>
      <c r="P155" s="1085"/>
      <c r="Q155" s="1086"/>
      <c r="R155" s="639"/>
    </row>
    <row r="156">
      <c r="A156" s="1021"/>
      <c r="B156" s="723"/>
      <c r="C156" s="724"/>
      <c r="D156" s="724"/>
      <c r="E156" s="724"/>
      <c r="F156" s="724"/>
      <c r="G156" s="724"/>
      <c r="H156" s="724"/>
      <c r="I156" s="725"/>
      <c r="J156" s="723"/>
      <c r="K156" s="724"/>
      <c r="L156" s="724"/>
      <c r="M156" s="724"/>
      <c r="N156" s="724"/>
      <c r="O156" s="724"/>
      <c r="P156" s="724"/>
      <c r="Q156" s="725"/>
      <c r="R156" s="639"/>
    </row>
    <row r="157">
      <c r="A157" s="1021"/>
      <c r="B157" s="1076" t="s">
        <v>558</v>
      </c>
      <c r="C157" s="1077"/>
      <c r="D157" s="724">
        <f>C153</f>
        <v>350</v>
      </c>
      <c r="E157" s="724" t="s">
        <v>562</v>
      </c>
      <c r="F157" s="724">
        <f>I160</f>
        <v>5</v>
      </c>
      <c r="G157" s="724"/>
      <c r="H157" s="724"/>
      <c r="I157" s="725"/>
      <c r="J157" s="1076" t="s">
        <v>558</v>
      </c>
      <c r="K157" s="1077"/>
      <c r="L157" s="724">
        <f>C153</f>
        <v>350</v>
      </c>
      <c r="M157" s="724" t="s">
        <v>562</v>
      </c>
      <c r="N157" s="724">
        <f>Q160</f>
        <v>4</v>
      </c>
      <c r="O157" s="724"/>
      <c r="P157" s="724"/>
      <c r="Q157" s="725"/>
      <c r="R157" s="639"/>
    </row>
    <row r="158">
      <c r="A158" s="1021"/>
      <c r="B158" s="1092" t="s">
        <v>562</v>
      </c>
      <c r="C158" s="1093"/>
      <c r="D158" s="1093"/>
      <c r="E158" s="724"/>
      <c r="F158" s="724"/>
      <c r="G158" s="733"/>
      <c r="H158" s="724"/>
      <c r="I158" s="725"/>
      <c r="J158" s="1092" t="s">
        <v>563</v>
      </c>
      <c r="K158" s="1093"/>
      <c r="L158" s="1093"/>
      <c r="M158" s="724"/>
      <c r="N158" s="724"/>
      <c r="O158" s="733"/>
      <c r="P158" s="724"/>
      <c r="Q158" s="725"/>
      <c r="R158" s="639"/>
    </row>
    <row r="159">
      <c r="A159" s="1021"/>
      <c r="B159" s="731" t="s">
        <v>564</v>
      </c>
      <c r="C159" s="732" t="s">
        <v>565</v>
      </c>
      <c r="D159" s="732" t="s">
        <v>566</v>
      </c>
      <c r="E159" s="724"/>
      <c r="F159" s="732" t="s">
        <v>564</v>
      </c>
      <c r="G159" s="732" t="s">
        <v>565</v>
      </c>
      <c r="H159" s="732" t="s">
        <v>566</v>
      </c>
      <c r="I159" s="725"/>
      <c r="J159" s="731" t="s">
        <v>564</v>
      </c>
      <c r="K159" s="732" t="s">
        <v>565</v>
      </c>
      <c r="L159" s="732" t="s">
        <v>566</v>
      </c>
      <c r="M159" s="724"/>
      <c r="N159" s="732" t="s">
        <v>564</v>
      </c>
      <c r="O159" s="732" t="s">
        <v>565</v>
      </c>
      <c r="P159" s="732" t="s">
        <v>566</v>
      </c>
      <c r="Q159" s="725"/>
      <c r="R159" s="639"/>
    </row>
    <row r="160">
      <c r="A160" s="1021"/>
      <c r="B160" s="723">
        <v>1</v>
      </c>
      <c r="C160" s="734">
        <v>0</v>
      </c>
      <c r="D160" s="734">
        <v>152</v>
      </c>
      <c r="E160" s="734">
        <f ref="E160:E178" t="shared" si="18">D160+1</f>
        <v>153</v>
      </c>
      <c r="F160" s="724" t="s">
        <v>567</v>
      </c>
      <c r="G160" s="734">
        <f>C160</f>
        <v>0</v>
      </c>
      <c r="H160" s="734">
        <f>D164</f>
        <v>402</v>
      </c>
      <c r="I160" s="735">
        <f>IF(D157&lt;E160,B160,IF(D157&lt;E161,B161,IF(D157&lt;E162,B162,IF(D157&lt;E163,B163,IF(D157&lt;E164,B164,I165)))))</f>
        <v>5</v>
      </c>
      <c r="J160" s="723">
        <v>1</v>
      </c>
      <c r="K160" s="734">
        <v>0</v>
      </c>
      <c r="L160" s="734">
        <v>168</v>
      </c>
      <c r="M160" s="734">
        <f ref="M160:M178" t="shared" si="19">L160+1</f>
        <v>169</v>
      </c>
      <c r="N160" s="724" t="s">
        <v>567</v>
      </c>
      <c r="O160" s="734">
        <f>K160</f>
        <v>0</v>
      </c>
      <c r="P160" s="734">
        <f>L164</f>
        <v>460</v>
      </c>
      <c r="Q160" s="735">
        <f>IF(L157&lt;M160,J160,IF(L157&lt;M161,J161,IF(L157&lt;M162,J162,IF(L157&lt;M163,J163,IF(L157&lt;M164,J164,Q165)))))</f>
        <v>4</v>
      </c>
      <c r="R160" s="639"/>
    </row>
    <row r="161">
      <c r="A161" s="1021"/>
      <c r="B161" s="731">
        <v>2</v>
      </c>
      <c r="C161" s="736">
        <f ref="C161:C178" t="shared" si="20">D160+1</f>
        <v>153</v>
      </c>
      <c r="D161" s="736">
        <v>215</v>
      </c>
      <c r="E161" s="734">
        <f t="shared" si="18"/>
        <v>216</v>
      </c>
      <c r="F161" s="724"/>
      <c r="G161" s="724"/>
      <c r="H161" s="724"/>
      <c r="I161" s="735"/>
      <c r="J161" s="731">
        <v>2</v>
      </c>
      <c r="K161" s="736">
        <f ref="K161:K178" t="shared" si="21">L160+1</f>
        <v>169</v>
      </c>
      <c r="L161" s="736">
        <v>241</v>
      </c>
      <c r="M161" s="734">
        <f t="shared" si="19"/>
        <v>242</v>
      </c>
      <c r="N161" s="724"/>
      <c r="O161" s="724"/>
      <c r="P161" s="724"/>
      <c r="Q161" s="735"/>
      <c r="R161" s="639"/>
    </row>
    <row r="162">
      <c r="A162" s="1021"/>
      <c r="B162" s="723">
        <v>3</v>
      </c>
      <c r="C162" s="736">
        <f t="shared" si="20"/>
        <v>216</v>
      </c>
      <c r="D162" s="734">
        <v>277</v>
      </c>
      <c r="E162" s="734">
        <f t="shared" si="18"/>
        <v>278</v>
      </c>
      <c r="F162" s="724"/>
      <c r="G162" s="724"/>
      <c r="H162" s="724"/>
      <c r="I162" s="735"/>
      <c r="J162" s="723">
        <v>3</v>
      </c>
      <c r="K162" s="736">
        <f t="shared" si="21"/>
        <v>242</v>
      </c>
      <c r="L162" s="734">
        <v>314</v>
      </c>
      <c r="M162" s="734">
        <f t="shared" si="19"/>
        <v>315</v>
      </c>
      <c r="N162" s="724"/>
      <c r="O162" s="724"/>
      <c r="P162" s="724"/>
      <c r="Q162" s="735"/>
      <c r="R162" s="639"/>
    </row>
    <row r="163">
      <c r="A163" s="1021"/>
      <c r="B163" s="731">
        <v>4</v>
      </c>
      <c r="C163" s="736">
        <f t="shared" si="20"/>
        <v>278</v>
      </c>
      <c r="D163" s="734">
        <v>339</v>
      </c>
      <c r="E163" s="734">
        <f t="shared" si="18"/>
        <v>340</v>
      </c>
      <c r="F163" s="724"/>
      <c r="G163" s="724"/>
      <c r="H163" s="724"/>
      <c r="I163" s="735"/>
      <c r="J163" s="731">
        <v>4</v>
      </c>
      <c r="K163" s="736">
        <f t="shared" si="21"/>
        <v>315</v>
      </c>
      <c r="L163" s="734">
        <v>387</v>
      </c>
      <c r="M163" s="734">
        <f t="shared" si="19"/>
        <v>388</v>
      </c>
      <c r="N163" s="724"/>
      <c r="O163" s="724"/>
      <c r="P163" s="724"/>
      <c r="Q163" s="735"/>
      <c r="R163" s="639"/>
    </row>
    <row r="164">
      <c r="A164" s="1021"/>
      <c r="B164" s="723">
        <v>5</v>
      </c>
      <c r="C164" s="736">
        <f t="shared" si="20"/>
        <v>340</v>
      </c>
      <c r="D164" s="736">
        <v>402</v>
      </c>
      <c r="E164" s="734">
        <f t="shared" si="18"/>
        <v>403</v>
      </c>
      <c r="F164" s="724"/>
      <c r="G164" s="724"/>
      <c r="H164" s="724"/>
      <c r="I164" s="735"/>
      <c r="J164" s="723">
        <v>5</v>
      </c>
      <c r="K164" s="736">
        <f t="shared" si="21"/>
        <v>388</v>
      </c>
      <c r="L164" s="736">
        <v>460</v>
      </c>
      <c r="M164" s="734">
        <f t="shared" si="19"/>
        <v>461</v>
      </c>
      <c r="N164" s="724"/>
      <c r="O164" s="724"/>
      <c r="P164" s="724"/>
      <c r="Q164" s="735"/>
      <c r="R164" s="639"/>
    </row>
    <row r="165">
      <c r="A165" s="1021"/>
      <c r="B165" s="731">
        <v>6</v>
      </c>
      <c r="C165" s="736">
        <f t="shared" si="20"/>
        <v>403</v>
      </c>
      <c r="D165" s="734">
        <v>464</v>
      </c>
      <c r="E165" s="734">
        <f t="shared" si="18"/>
        <v>465</v>
      </c>
      <c r="F165" s="732" t="s">
        <v>568</v>
      </c>
      <c r="G165" s="734">
        <f>C165</f>
        <v>403</v>
      </c>
      <c r="H165" s="734">
        <f>D169</f>
        <v>713</v>
      </c>
      <c r="I165" s="735">
        <f>IF(D157&lt;E165,B165,IF(D157&lt;E166,B166,IF(D157&lt;E167,B167,IF(D157&lt;E168,B168,IF(D157&lt;E169,B169,I170)))))</f>
        <v>6</v>
      </c>
      <c r="J165" s="731">
        <v>6</v>
      </c>
      <c r="K165" s="736">
        <f t="shared" si="21"/>
        <v>461</v>
      </c>
      <c r="L165" s="734">
        <v>533</v>
      </c>
      <c r="M165" s="734">
        <f t="shared" si="19"/>
        <v>534</v>
      </c>
      <c r="N165" s="732" t="s">
        <v>568</v>
      </c>
      <c r="O165" s="734">
        <f>K165</f>
        <v>461</v>
      </c>
      <c r="P165" s="734">
        <f>L169</f>
        <v>825</v>
      </c>
      <c r="Q165" s="735">
        <f>IF(L157&lt;M165,J165,IF(L157&lt;M166,J166,IF(L157&lt;M167,J167,IF(L157&lt;M168,J168,IF(L157&lt;M169,J169,Q170)))))</f>
        <v>6</v>
      </c>
      <c r="R165" s="639"/>
    </row>
    <row r="166">
      <c r="A166" s="1021"/>
      <c r="B166" s="723">
        <v>7</v>
      </c>
      <c r="C166" s="736">
        <f t="shared" si="20"/>
        <v>465</v>
      </c>
      <c r="D166" s="734">
        <v>527</v>
      </c>
      <c r="E166" s="734">
        <f t="shared" si="18"/>
        <v>528</v>
      </c>
      <c r="F166" s="724"/>
      <c r="G166" s="724"/>
      <c r="H166" s="724"/>
      <c r="I166" s="735"/>
      <c r="J166" s="723">
        <v>7</v>
      </c>
      <c r="K166" s="736">
        <f t="shared" si="21"/>
        <v>534</v>
      </c>
      <c r="L166" s="734">
        <v>606</v>
      </c>
      <c r="M166" s="734">
        <f t="shared" si="19"/>
        <v>607</v>
      </c>
      <c r="N166" s="724"/>
      <c r="O166" s="724"/>
      <c r="P166" s="724"/>
      <c r="Q166" s="735"/>
      <c r="R166" s="639"/>
    </row>
    <row r="167">
      <c r="A167" s="1021"/>
      <c r="B167" s="731">
        <v>8</v>
      </c>
      <c r="C167" s="736">
        <f t="shared" si="20"/>
        <v>528</v>
      </c>
      <c r="D167" s="736">
        <v>589</v>
      </c>
      <c r="E167" s="734">
        <f t="shared" si="18"/>
        <v>590</v>
      </c>
      <c r="F167" s="724"/>
      <c r="G167" s="724"/>
      <c r="H167" s="724"/>
      <c r="I167" s="735"/>
      <c r="J167" s="731">
        <v>8</v>
      </c>
      <c r="K167" s="736">
        <f t="shared" si="21"/>
        <v>607</v>
      </c>
      <c r="L167" s="736">
        <v>679</v>
      </c>
      <c r="M167" s="734">
        <f t="shared" si="19"/>
        <v>680</v>
      </c>
      <c r="N167" s="724"/>
      <c r="O167" s="724"/>
      <c r="P167" s="724"/>
      <c r="Q167" s="735"/>
      <c r="R167" s="639"/>
    </row>
    <row r="168">
      <c r="A168" s="1021"/>
      <c r="B168" s="723">
        <v>9</v>
      </c>
      <c r="C168" s="736">
        <f t="shared" si="20"/>
        <v>590</v>
      </c>
      <c r="D168" s="734">
        <v>651</v>
      </c>
      <c r="E168" s="734">
        <f t="shared" si="18"/>
        <v>652</v>
      </c>
      <c r="F168" s="724"/>
      <c r="G168" s="724"/>
      <c r="H168" s="724"/>
      <c r="I168" s="735"/>
      <c r="J168" s="723">
        <v>9</v>
      </c>
      <c r="K168" s="736">
        <f t="shared" si="21"/>
        <v>680</v>
      </c>
      <c r="L168" s="734">
        <v>752</v>
      </c>
      <c r="M168" s="734">
        <f t="shared" si="19"/>
        <v>753</v>
      </c>
      <c r="N168" s="724"/>
      <c r="O168" s="724"/>
      <c r="P168" s="724"/>
      <c r="Q168" s="735"/>
      <c r="R168" s="639"/>
    </row>
    <row r="169">
      <c r="A169" s="1021"/>
      <c r="B169" s="731">
        <v>10</v>
      </c>
      <c r="C169" s="736">
        <f t="shared" si="20"/>
        <v>652</v>
      </c>
      <c r="D169" s="734">
        <v>713</v>
      </c>
      <c r="E169" s="734">
        <f t="shared" si="18"/>
        <v>714</v>
      </c>
      <c r="F169" s="724"/>
      <c r="G169" s="724"/>
      <c r="H169" s="724"/>
      <c r="I169" s="735"/>
      <c r="J169" s="731">
        <v>10</v>
      </c>
      <c r="K169" s="736">
        <f t="shared" si="21"/>
        <v>753</v>
      </c>
      <c r="L169" s="734">
        <v>825</v>
      </c>
      <c r="M169" s="734">
        <f t="shared" si="19"/>
        <v>826</v>
      </c>
      <c r="N169" s="724"/>
      <c r="O169" s="724"/>
      <c r="P169" s="724"/>
      <c r="Q169" s="735"/>
      <c r="R169" s="639"/>
    </row>
    <row r="170">
      <c r="A170" s="1021"/>
      <c r="B170" s="723">
        <v>11</v>
      </c>
      <c r="C170" s="736">
        <f t="shared" si="20"/>
        <v>714</v>
      </c>
      <c r="D170" s="736">
        <v>776</v>
      </c>
      <c r="E170" s="734">
        <f t="shared" si="18"/>
        <v>777</v>
      </c>
      <c r="F170" s="724" t="s">
        <v>569</v>
      </c>
      <c r="G170" s="734">
        <f>C170</f>
        <v>714</v>
      </c>
      <c r="H170" s="734">
        <f>D173</f>
        <v>963</v>
      </c>
      <c r="I170" s="735">
        <f>IF(D157&lt;E170,B170,IF(D157&lt;E171,B171,IF(D157&lt;E172,B172,IF(D157&lt;E173,B173,I174))))</f>
        <v>11</v>
      </c>
      <c r="J170" s="723">
        <v>11</v>
      </c>
      <c r="K170" s="736">
        <f t="shared" si="21"/>
        <v>826</v>
      </c>
      <c r="L170" s="736">
        <v>898</v>
      </c>
      <c r="M170" s="734">
        <f t="shared" si="19"/>
        <v>899</v>
      </c>
      <c r="N170" s="724" t="s">
        <v>569</v>
      </c>
      <c r="O170" s="734">
        <f>K170</f>
        <v>826</v>
      </c>
      <c r="P170" s="734">
        <f>L173</f>
        <v>1117</v>
      </c>
      <c r="Q170" s="735">
        <f>IF(L157&lt;M170,J170,IF(L157&lt;M171,J171,IF(L157&lt;M172,J172,IF(L157&lt;M173,J173,Q174))))</f>
        <v>11</v>
      </c>
      <c r="R170" s="639"/>
    </row>
    <row r="171">
      <c r="A171" s="1021"/>
      <c r="B171" s="731">
        <v>12</v>
      </c>
      <c r="C171" s="736">
        <f t="shared" si="20"/>
        <v>777</v>
      </c>
      <c r="D171" s="734">
        <v>837</v>
      </c>
      <c r="E171" s="734">
        <f t="shared" si="18"/>
        <v>838</v>
      </c>
      <c r="F171" s="724"/>
      <c r="G171" s="724"/>
      <c r="H171" s="724"/>
      <c r="I171" s="735"/>
      <c r="J171" s="731">
        <v>12</v>
      </c>
      <c r="K171" s="736">
        <f t="shared" si="21"/>
        <v>899</v>
      </c>
      <c r="L171" s="734">
        <v>971</v>
      </c>
      <c r="M171" s="734">
        <f t="shared" si="19"/>
        <v>972</v>
      </c>
      <c r="N171" s="724"/>
      <c r="O171" s="724"/>
      <c r="P171" s="724"/>
      <c r="Q171" s="735"/>
      <c r="R171" s="639"/>
    </row>
    <row r="172">
      <c r="A172" s="1021"/>
      <c r="B172" s="723">
        <v>13</v>
      </c>
      <c r="C172" s="736">
        <f t="shared" si="20"/>
        <v>838</v>
      </c>
      <c r="D172" s="734">
        <v>900</v>
      </c>
      <c r="E172" s="734">
        <f t="shared" si="18"/>
        <v>901</v>
      </c>
      <c r="F172" s="724"/>
      <c r="G172" s="724"/>
      <c r="H172" s="724"/>
      <c r="I172" s="735"/>
      <c r="J172" s="723">
        <v>13</v>
      </c>
      <c r="K172" s="736">
        <f t="shared" si="21"/>
        <v>972</v>
      </c>
      <c r="L172" s="734">
        <v>1044</v>
      </c>
      <c r="M172" s="734">
        <f t="shared" si="19"/>
        <v>1045</v>
      </c>
      <c r="N172" s="724"/>
      <c r="O172" s="724"/>
      <c r="P172" s="724"/>
      <c r="Q172" s="735"/>
      <c r="R172" s="639"/>
    </row>
    <row r="173">
      <c r="A173" s="1021"/>
      <c r="B173" s="731">
        <v>14</v>
      </c>
      <c r="C173" s="736">
        <f t="shared" si="20"/>
        <v>901</v>
      </c>
      <c r="D173" s="736">
        <v>963</v>
      </c>
      <c r="E173" s="734">
        <f t="shared" si="18"/>
        <v>964</v>
      </c>
      <c r="F173" s="724"/>
      <c r="G173" s="724"/>
      <c r="H173" s="724"/>
      <c r="I173" s="735"/>
      <c r="J173" s="731">
        <v>14</v>
      </c>
      <c r="K173" s="736">
        <f t="shared" si="21"/>
        <v>1045</v>
      </c>
      <c r="L173" s="736">
        <v>1117</v>
      </c>
      <c r="M173" s="734">
        <f t="shared" si="19"/>
        <v>1118</v>
      </c>
      <c r="N173" s="724"/>
      <c r="O173" s="724"/>
      <c r="P173" s="724"/>
      <c r="Q173" s="735"/>
      <c r="R173" s="639"/>
    </row>
    <row r="174">
      <c r="A174" s="1021"/>
      <c r="B174" s="723">
        <v>15</v>
      </c>
      <c r="C174" s="736">
        <f t="shared" si="20"/>
        <v>964</v>
      </c>
      <c r="D174" s="734">
        <v>1025</v>
      </c>
      <c r="E174" s="734">
        <f t="shared" si="18"/>
        <v>1026</v>
      </c>
      <c r="F174" s="724" t="s">
        <v>570</v>
      </c>
      <c r="G174" s="734">
        <f>C174</f>
        <v>964</v>
      </c>
      <c r="H174" s="734">
        <f>D178</f>
        <v>1270</v>
      </c>
      <c r="I174" s="735">
        <f>IF(D157&lt;E174,B174,IF(D157&lt;E175,B175,IF(D157&lt;E176,B176,IF(D157&lt;E177,B177,I178))))</f>
        <v>15</v>
      </c>
      <c r="J174" s="723">
        <v>15</v>
      </c>
      <c r="K174" s="736">
        <f t="shared" si="21"/>
        <v>1118</v>
      </c>
      <c r="L174" s="734">
        <v>1190</v>
      </c>
      <c r="M174" s="734">
        <f t="shared" si="19"/>
        <v>1191</v>
      </c>
      <c r="N174" s="724" t="s">
        <v>570</v>
      </c>
      <c r="O174" s="734">
        <f>K174</f>
        <v>1118</v>
      </c>
      <c r="P174" s="734">
        <f>L178</f>
        <v>1269</v>
      </c>
      <c r="Q174" s="735">
        <f>IF(L157&lt;M174,J174,IF(L157&lt;M175,J175,IF(L157&lt;M176,J176,IF(L157&lt;M177,J177,Q178))))</f>
        <v>15</v>
      </c>
      <c r="R174" s="639"/>
    </row>
    <row r="175">
      <c r="A175" s="1021"/>
      <c r="B175" s="731">
        <v>16</v>
      </c>
      <c r="C175" s="736">
        <f t="shared" si="20"/>
        <v>1026</v>
      </c>
      <c r="D175" s="734">
        <v>1087</v>
      </c>
      <c r="E175" s="734">
        <f t="shared" si="18"/>
        <v>1088</v>
      </c>
      <c r="F175" s="724"/>
      <c r="G175" s="724"/>
      <c r="H175" s="724"/>
      <c r="I175" s="735"/>
      <c r="J175" s="731">
        <v>16</v>
      </c>
      <c r="K175" s="736">
        <f t="shared" si="21"/>
        <v>1191</v>
      </c>
      <c r="L175" s="734">
        <v>1263</v>
      </c>
      <c r="M175" s="734">
        <f t="shared" si="19"/>
        <v>1264</v>
      </c>
      <c r="N175" s="724"/>
      <c r="O175" s="724"/>
      <c r="P175" s="724"/>
      <c r="Q175" s="735"/>
      <c r="R175" s="639"/>
    </row>
    <row r="176">
      <c r="A176" s="1021"/>
      <c r="B176" s="723">
        <v>17</v>
      </c>
      <c r="C176" s="736">
        <f t="shared" si="20"/>
        <v>1088</v>
      </c>
      <c r="D176" s="736">
        <v>1145</v>
      </c>
      <c r="E176" s="734">
        <f t="shared" si="18"/>
        <v>1146</v>
      </c>
      <c r="F176" s="724"/>
      <c r="G176" s="724"/>
      <c r="H176" s="724"/>
      <c r="I176" s="735"/>
      <c r="J176" s="723">
        <v>17</v>
      </c>
      <c r="K176" s="736">
        <f t="shared" si="21"/>
        <v>1264</v>
      </c>
      <c r="L176" s="736">
        <v>1265</v>
      </c>
      <c r="M176" s="734">
        <f t="shared" si="19"/>
        <v>1266</v>
      </c>
      <c r="N176" s="724"/>
      <c r="O176" s="724"/>
      <c r="P176" s="724"/>
      <c r="Q176" s="735"/>
      <c r="R176" s="639"/>
    </row>
    <row r="177">
      <c r="A177" s="1021"/>
      <c r="B177" s="723">
        <v>18</v>
      </c>
      <c r="C177" s="736">
        <f t="shared" si="20"/>
        <v>1146</v>
      </c>
      <c r="D177" s="736">
        <v>1210</v>
      </c>
      <c r="E177" s="734">
        <f t="shared" si="18"/>
        <v>1211</v>
      </c>
      <c r="F177" s="724"/>
      <c r="G177" s="724"/>
      <c r="H177" s="724"/>
      <c r="I177" s="725"/>
      <c r="J177" s="723">
        <v>18</v>
      </c>
      <c r="K177" s="736">
        <f t="shared" si="21"/>
        <v>1266</v>
      </c>
      <c r="L177" s="736">
        <v>1267</v>
      </c>
      <c r="M177" s="734">
        <f t="shared" si="19"/>
        <v>1268</v>
      </c>
      <c r="N177" s="724"/>
      <c r="O177" s="724"/>
      <c r="P177" s="724"/>
      <c r="Q177" s="725"/>
      <c r="R177" s="639"/>
    </row>
    <row r="178" ht="15">
      <c r="A178" s="1021"/>
      <c r="B178" s="728">
        <v>19</v>
      </c>
      <c r="C178" s="737">
        <f t="shared" si="20"/>
        <v>1211</v>
      </c>
      <c r="D178" s="737">
        <v>1270</v>
      </c>
      <c r="E178" s="738">
        <f t="shared" si="18"/>
        <v>1271</v>
      </c>
      <c r="F178" s="729"/>
      <c r="G178" s="729"/>
      <c r="H178" s="729"/>
      <c r="I178" s="730" t="s">
        <v>571</v>
      </c>
      <c r="J178" s="728">
        <v>19</v>
      </c>
      <c r="K178" s="737">
        <f t="shared" si="21"/>
        <v>1268</v>
      </c>
      <c r="L178" s="737">
        <v>1269</v>
      </c>
      <c r="M178" s="738">
        <f t="shared" si="19"/>
        <v>1270</v>
      </c>
      <c r="N178" s="729"/>
      <c r="O178" s="729"/>
      <c r="P178" s="729"/>
      <c r="Q178" s="730" t="s">
        <v>571</v>
      </c>
      <c r="R178" s="639"/>
    </row>
    <row r="179" ht="18.6">
      <c r="A179" s="1021"/>
      <c r="B179" s="528"/>
      <c r="C179" s="528"/>
      <c r="D179" s="528"/>
      <c r="E179" s="528"/>
      <c r="F179" s="528"/>
      <c r="G179" s="528"/>
      <c r="H179" s="528"/>
      <c r="I179" s="528"/>
      <c r="J179" s="528"/>
      <c r="K179" s="528"/>
      <c r="L179" s="528"/>
      <c r="M179" s="528"/>
      <c r="N179" s="528"/>
      <c r="O179" s="528"/>
      <c r="P179" s="528"/>
      <c r="Q179" s="739"/>
      <c r="R179" s="639"/>
    </row>
    <row r="180">
      <c r="A180" s="1021"/>
      <c r="B180" s="1094" t="s">
        <v>572</v>
      </c>
      <c r="C180" s="1095"/>
      <c r="D180" s="740"/>
      <c r="E180" s="740" t="s">
        <v>573</v>
      </c>
      <c r="F180" s="740" t="s">
        <v>574</v>
      </c>
      <c r="G180" s="740" t="s">
        <v>575</v>
      </c>
      <c r="H180" s="740" t="s">
        <v>576</v>
      </c>
      <c r="I180" s="741" t="s">
        <v>577</v>
      </c>
      <c r="J180" s="740"/>
      <c r="K180" s="740"/>
      <c r="L180" s="740"/>
      <c r="M180" s="740"/>
      <c r="N180" s="740"/>
      <c r="O180" s="740"/>
      <c r="P180" s="740"/>
      <c r="Q180" s="740"/>
      <c r="R180" s="639"/>
    </row>
    <row r="181">
      <c r="A181" s="1021"/>
      <c r="B181" s="1096"/>
      <c r="C181" s="1097"/>
      <c r="D181" s="742" t="s">
        <v>578</v>
      </c>
      <c r="E181" s="743">
        <f>F110</f>
        <v>350</v>
      </c>
      <c r="F181" s="743">
        <f>F110</f>
        <v>350</v>
      </c>
      <c r="G181" s="744">
        <f>F110</f>
        <v>350</v>
      </c>
      <c r="H181" s="743">
        <f>F110</f>
        <v>350</v>
      </c>
      <c r="I181" s="745">
        <f>F110</f>
        <v>350</v>
      </c>
      <c r="J181" s="742"/>
      <c r="K181" s="742"/>
      <c r="L181" s="742"/>
      <c r="M181" s="742"/>
      <c r="N181" s="742"/>
      <c r="O181" s="742"/>
      <c r="P181" s="742"/>
      <c r="Q181" s="742"/>
      <c r="R181" s="639"/>
    </row>
    <row r="182">
      <c r="A182" s="1021"/>
      <c r="B182" s="1096"/>
      <c r="C182" s="1097"/>
      <c r="D182" s="742" t="s">
        <v>579</v>
      </c>
      <c r="E182" s="742" t="e">
        <f>IF(#REF!=0,0,#REF!)</f>
        <v>#REF!</v>
      </c>
      <c r="F182" s="742" t="e">
        <f>IF(#REF!=0,0,#REF!)</f>
        <v>#REF!</v>
      </c>
      <c r="G182" s="742" t="e">
        <f>IF(#REF!=0,0,#REF!)</f>
        <v>#REF!</v>
      </c>
      <c r="H182" s="742" t="e">
        <f>IF(#REF!=0,0,#REF!)</f>
        <v>#REF!</v>
      </c>
      <c r="I182" s="746" t="e">
        <f>IF(#REF!=0,0,#REF!)</f>
        <v>#REF!</v>
      </c>
      <c r="J182" s="742"/>
      <c r="K182" s="742"/>
      <c r="L182" s="742"/>
      <c r="M182" s="742"/>
      <c r="N182" s="742"/>
      <c r="O182" s="742"/>
      <c r="P182" s="742"/>
      <c r="Q182" s="742"/>
      <c r="R182" s="639"/>
    </row>
    <row r="183">
      <c r="A183" s="1021"/>
      <c r="B183" s="1096"/>
      <c r="C183" s="1097"/>
      <c r="D183" s="742" t="s">
        <v>580</v>
      </c>
      <c r="E183" s="742">
        <v>8</v>
      </c>
      <c r="F183" s="742">
        <v>14</v>
      </c>
      <c r="G183" s="742">
        <v>12</v>
      </c>
      <c r="H183" s="742">
        <v>10</v>
      </c>
      <c r="I183" s="746" t="e">
        <f>#REF!</f>
        <v>#REF!</v>
      </c>
      <c r="J183" s="742"/>
      <c r="K183" s="742"/>
      <c r="L183" s="742"/>
      <c r="M183" s="742"/>
      <c r="N183" s="742"/>
      <c r="O183" s="742"/>
      <c r="P183" s="742"/>
      <c r="Q183" s="742"/>
      <c r="R183" s="639"/>
    </row>
    <row r="184">
      <c r="A184" s="1021"/>
      <c r="B184" s="1096"/>
      <c r="C184" s="1097"/>
      <c r="D184" s="742"/>
      <c r="E184" s="742"/>
      <c r="F184" s="742"/>
      <c r="G184" s="742"/>
      <c r="H184" s="742"/>
      <c r="I184" s="746"/>
      <c r="J184" s="742"/>
      <c r="K184" s="742"/>
      <c r="L184" s="742" t="s">
        <v>581</v>
      </c>
      <c r="M184" s="742" t="s">
        <v>582</v>
      </c>
      <c r="N184" s="742"/>
      <c r="O184" s="742"/>
      <c r="P184" s="742"/>
      <c r="Q184" s="742"/>
      <c r="R184" s="639"/>
    </row>
    <row r="185">
      <c r="A185" s="1021"/>
      <c r="B185" s="1096"/>
      <c r="C185" s="1097"/>
      <c r="D185" s="742" t="s">
        <v>583</v>
      </c>
      <c r="E185" s="742" t="e">
        <f>IF(E182=0,E181,E181-E182-E183+10)</f>
        <v>#REF!</v>
      </c>
      <c r="F185" s="742" t="e">
        <f>IF(F182=0,F181,F181-F182-F183+10)</f>
        <v>#REF!</v>
      </c>
      <c r="G185" s="742" t="e">
        <f>IF(G182=0,G181,G181-G182-G183+10)</f>
        <v>#REF!</v>
      </c>
      <c r="H185" s="742" t="e">
        <f>IF(H182=0,H181,H181-H182-H183+10)</f>
        <v>#REF!</v>
      </c>
      <c r="I185" s="746" t="e">
        <f>IF(I182=0,I181,I181-I182-I183+10)</f>
        <v>#REF!</v>
      </c>
      <c r="J185" s="742"/>
      <c r="K185" s="742" t="s">
        <v>584</v>
      </c>
      <c r="L185" s="742">
        <f>IF(F142=1,F110,IF(F142=2E+185,IF(F142=3,F185,IF(F142=4,G185,IF(F142=5,H185,IF(F142=6,I185,"-----"))))))</f>
        <v>350</v>
      </c>
      <c r="M185" s="742">
        <f>IF(F142=1,F110-30,IF(F142=2,E186,IF(F142=3,F186,IF(F142=4,G186,IF(F142=5,H186,IF(F142=6,I186,"-----"))))))</f>
        <v>320</v>
      </c>
      <c r="N185" s="742"/>
      <c r="O185" s="742"/>
      <c r="P185" s="742"/>
      <c r="Q185" s="742"/>
      <c r="R185" s="639"/>
    </row>
    <row r="186">
      <c r="A186" s="1021"/>
      <c r="B186" s="1098"/>
      <c r="C186" s="1099"/>
      <c r="D186" s="747" t="s">
        <v>585</v>
      </c>
      <c r="E186" s="747" t="e">
        <f>E185-30</f>
        <v>#REF!</v>
      </c>
      <c r="F186" s="747" t="e">
        <f>F185-17</f>
        <v>#REF!</v>
      </c>
      <c r="G186" s="747" t="e">
        <f>G185-30</f>
        <v>#REF!</v>
      </c>
      <c r="H186" s="747" t="e">
        <f>H185-17</f>
        <v>#REF!</v>
      </c>
      <c r="I186" s="748" t="e">
        <f>I185-30</f>
        <v>#REF!</v>
      </c>
      <c r="J186" s="742"/>
      <c r="K186" s="742"/>
      <c r="L186" s="742"/>
      <c r="M186" s="742"/>
      <c r="N186" s="742"/>
      <c r="O186" s="742"/>
      <c r="P186" s="742"/>
      <c r="Q186" s="742"/>
      <c r="R186" s="639"/>
    </row>
    <row r="187">
      <c r="A187" s="1021"/>
      <c r="B187" s="749"/>
      <c r="C187" s="742"/>
      <c r="D187" s="742"/>
      <c r="E187" s="742"/>
      <c r="F187" s="742"/>
      <c r="G187" s="742"/>
      <c r="H187" s="742"/>
      <c r="I187" s="742"/>
      <c r="J187" s="742"/>
      <c r="K187" s="742"/>
      <c r="L187" s="742"/>
      <c r="M187" s="742"/>
      <c r="N187" s="742"/>
      <c r="O187" s="742"/>
      <c r="P187" s="742"/>
      <c r="Q187" s="742"/>
      <c r="R187" s="639"/>
    </row>
    <row r="188">
      <c r="A188" s="1021"/>
      <c r="B188" s="749"/>
      <c r="C188" s="742"/>
      <c r="D188" s="742"/>
      <c r="E188" s="742"/>
      <c r="F188" s="742"/>
      <c r="G188" s="742"/>
      <c r="H188" s="742"/>
      <c r="I188" s="742"/>
      <c r="J188" s="742"/>
      <c r="K188" s="742"/>
      <c r="L188" s="742"/>
      <c r="M188" s="742"/>
      <c r="N188" s="742"/>
      <c r="O188" s="742"/>
      <c r="P188" s="742"/>
      <c r="Q188" s="742"/>
      <c r="R188" s="639"/>
    </row>
    <row r="189">
      <c r="A189" s="1021"/>
      <c r="B189" s="1100" t="s">
        <v>586</v>
      </c>
      <c r="C189" s="1101"/>
      <c r="D189" s="750"/>
      <c r="E189" s="750" t="s">
        <v>573</v>
      </c>
      <c r="F189" s="750" t="s">
        <v>574</v>
      </c>
      <c r="G189" s="750" t="s">
        <v>575</v>
      </c>
      <c r="H189" s="750" t="s">
        <v>576</v>
      </c>
      <c r="I189" s="751" t="s">
        <v>577</v>
      </c>
      <c r="J189" s="742"/>
      <c r="K189" s="742"/>
      <c r="L189" s="742"/>
      <c r="M189" s="742"/>
      <c r="N189" s="742"/>
      <c r="O189" s="742"/>
      <c r="P189" s="742"/>
      <c r="Q189" s="742"/>
      <c r="R189" s="639"/>
    </row>
    <row r="190">
      <c r="A190" s="1021"/>
      <c r="B190" s="1096"/>
      <c r="C190" s="1097"/>
      <c r="D190" s="742" t="s">
        <v>578</v>
      </c>
      <c r="E190" s="743">
        <f>F110</f>
        <v>350</v>
      </c>
      <c r="F190" s="743">
        <f>F110</f>
        <v>350</v>
      </c>
      <c r="G190" s="743">
        <f>F110</f>
        <v>350</v>
      </c>
      <c r="H190" s="743">
        <f>F110</f>
        <v>350</v>
      </c>
      <c r="I190" s="745">
        <f>F110</f>
        <v>350</v>
      </c>
      <c r="J190" s="742"/>
      <c r="K190" s="742"/>
      <c r="L190" s="742"/>
      <c r="M190" s="742"/>
      <c r="N190" s="742"/>
      <c r="O190" s="742"/>
      <c r="P190" s="742"/>
      <c r="Q190" s="742"/>
      <c r="R190" s="639"/>
    </row>
    <row r="191">
      <c r="A191" s="1021"/>
      <c r="B191" s="1096"/>
      <c r="C191" s="1097"/>
      <c r="D191" s="742" t="s">
        <v>579</v>
      </c>
      <c r="E191" s="742" t="e">
        <f>IF(#REF!=0,0,#REF!)</f>
        <v>#REF!</v>
      </c>
      <c r="F191" s="742" t="e">
        <f>IF(#REF!=0,0,#REF!)</f>
        <v>#REF!</v>
      </c>
      <c r="G191" s="742" t="e">
        <f>IF(#REF!=0,0,#REF!)</f>
        <v>#REF!</v>
      </c>
      <c r="H191" s="742" t="e">
        <f>IF(#REF!=0,0,#REF!)</f>
        <v>#REF!</v>
      </c>
      <c r="I191" s="746" t="e">
        <f>IF(#REF!=0,0,#REF!)</f>
        <v>#REF!</v>
      </c>
      <c r="J191" s="742"/>
      <c r="K191" s="742"/>
      <c r="L191" s="742"/>
      <c r="M191" s="742"/>
      <c r="N191" s="742"/>
      <c r="O191" s="742"/>
      <c r="P191" s="742"/>
      <c r="Q191" s="742"/>
      <c r="R191" s="639"/>
    </row>
    <row r="192">
      <c r="A192" s="1021"/>
      <c r="B192" s="1096"/>
      <c r="C192" s="1097"/>
      <c r="D192" s="742" t="s">
        <v>580</v>
      </c>
      <c r="E192" s="742">
        <v>8</v>
      </c>
      <c r="F192" s="742">
        <v>14</v>
      </c>
      <c r="G192" s="742">
        <v>12</v>
      </c>
      <c r="H192" s="742">
        <v>10</v>
      </c>
      <c r="I192" s="746" t="e">
        <f>#REF!</f>
        <v>#REF!</v>
      </c>
      <c r="J192" s="742"/>
      <c r="K192" s="742"/>
      <c r="L192" s="742" t="s">
        <v>581</v>
      </c>
      <c r="M192" s="742" t="s">
        <v>582</v>
      </c>
      <c r="N192" s="742"/>
      <c r="O192" s="742"/>
      <c r="P192" s="742"/>
      <c r="Q192" s="742"/>
      <c r="R192" s="639"/>
    </row>
    <row r="193">
      <c r="A193" s="1021"/>
      <c r="B193" s="1096"/>
      <c r="C193" s="1097"/>
      <c r="D193" s="742"/>
      <c r="E193" s="742"/>
      <c r="F193" s="742"/>
      <c r="G193" s="742"/>
      <c r="H193" s="742"/>
      <c r="I193" s="746"/>
      <c r="J193" s="742"/>
      <c r="K193" s="742" t="s">
        <v>584</v>
      </c>
      <c r="L193" s="742">
        <f>IF(F142=1,F110,IF(F142=2,E194,IF(F142=3,F194,IF(F142=4,G194,IF(F142=5,H194,IF(F142=6,I194))))))</f>
        <v>350</v>
      </c>
      <c r="M193" s="742">
        <f>IF(F142=1,F110-30,IF(F142=2,E195,IF(F142=3,F195,IF(F142=4,G195,IF(F142=5,H195,IF(F142=6,I195))))))</f>
        <v>320</v>
      </c>
      <c r="N193" s="742"/>
      <c r="O193" s="742" t="s">
        <v>557</v>
      </c>
      <c r="P193" s="752" t="s">
        <v>587</v>
      </c>
      <c r="Q193" s="742"/>
      <c r="R193" s="639"/>
    </row>
    <row r="194">
      <c r="A194" s="1021"/>
      <c r="B194" s="1096"/>
      <c r="C194" s="1097"/>
      <c r="D194" s="742" t="s">
        <v>583</v>
      </c>
      <c r="E194" s="742" t="e">
        <f>IF(E191=0,E190,E190-E191-E192+11)</f>
        <v>#REF!</v>
      </c>
      <c r="F194" s="742" t="e">
        <f>IF(F191=0,F190,F190-F191-F192+11)</f>
        <v>#REF!</v>
      </c>
      <c r="G194" s="742" t="e">
        <f>IF(G191=0,G190,G190-G191-G192+11)</f>
        <v>#REF!</v>
      </c>
      <c r="H194" s="742" t="e">
        <f>IF(H191=0,H190,H190-H191-H192+11)</f>
        <v>#REF!</v>
      </c>
      <c r="I194" s="746" t="e">
        <f>IF(I191=0,I190,I190-I191-I192+11)</f>
        <v>#REF!</v>
      </c>
      <c r="J194" s="742"/>
      <c r="K194" s="742"/>
      <c r="L194" s="742"/>
      <c r="M194" s="742"/>
      <c r="N194" s="742"/>
      <c r="O194" s="742">
        <f>IF(B141=1,L185,IF(B141=3,L185,IF(B141=4,L202,IF(B141=2,L202,IF(B141=5,L193,"------")))))</f>
        <v>350</v>
      </c>
      <c r="P194" s="752">
        <f>IF(B141=1,M185,IF(B141=3,M185,IF(B141=4,M202,IF(B141=2,M202+2,IF(B141=5,M193,"------")))))</f>
        <v>322</v>
      </c>
      <c r="Q194" s="742"/>
      <c r="R194" s="639"/>
    </row>
    <row r="195">
      <c r="A195" s="1021"/>
      <c r="B195" s="1098"/>
      <c r="C195" s="1099"/>
      <c r="D195" s="747" t="s">
        <v>585</v>
      </c>
      <c r="E195" s="747" t="e">
        <f>E194-30</f>
        <v>#REF!</v>
      </c>
      <c r="F195" s="747" t="e">
        <f>F194-17</f>
        <v>#REF!</v>
      </c>
      <c r="G195" s="747" t="e">
        <f>G194-30</f>
        <v>#REF!</v>
      </c>
      <c r="H195" s="747" t="e">
        <f>H194-17</f>
        <v>#REF!</v>
      </c>
      <c r="I195" s="748" t="e">
        <f>I194-30</f>
        <v>#REF!</v>
      </c>
      <c r="J195" s="742"/>
      <c r="K195" s="742"/>
      <c r="L195" s="742"/>
      <c r="M195" s="742"/>
      <c r="N195" s="742"/>
      <c r="O195" s="742"/>
      <c r="P195" s="742"/>
      <c r="Q195" s="742"/>
      <c r="R195" s="639"/>
    </row>
    <row r="196">
      <c r="A196" s="1021"/>
      <c r="B196" s="749"/>
      <c r="C196" s="742"/>
      <c r="D196" s="742"/>
      <c r="E196" s="742"/>
      <c r="F196" s="742"/>
      <c r="G196" s="742"/>
      <c r="H196" s="742"/>
      <c r="I196" s="742"/>
      <c r="J196" s="742"/>
      <c r="K196" s="742"/>
      <c r="L196" s="742"/>
      <c r="M196" s="742"/>
      <c r="N196" s="742"/>
      <c r="O196" s="742"/>
      <c r="P196" s="742"/>
      <c r="Q196" s="742"/>
      <c r="R196" s="639"/>
    </row>
    <row r="197">
      <c r="A197" s="1021"/>
      <c r="B197" s="749"/>
      <c r="C197" s="742"/>
      <c r="D197" s="742"/>
      <c r="E197" s="742"/>
      <c r="F197" s="742"/>
      <c r="G197" s="742"/>
      <c r="H197" s="742"/>
      <c r="I197" s="742"/>
      <c r="J197" s="742"/>
      <c r="K197" s="742"/>
      <c r="L197" s="742"/>
      <c r="M197" s="742"/>
      <c r="N197" s="742"/>
      <c r="O197" s="742"/>
      <c r="P197" s="742"/>
      <c r="Q197" s="742"/>
      <c r="R197" s="639"/>
    </row>
    <row r="198">
      <c r="A198" s="1021"/>
      <c r="B198" s="1100" t="s">
        <v>588</v>
      </c>
      <c r="C198" s="1101"/>
      <c r="D198" s="750"/>
      <c r="E198" s="750" t="s">
        <v>573</v>
      </c>
      <c r="F198" s="750" t="s">
        <v>574</v>
      </c>
      <c r="G198" s="750" t="s">
        <v>575</v>
      </c>
      <c r="H198" s="750" t="s">
        <v>576</v>
      </c>
      <c r="I198" s="751" t="s">
        <v>577</v>
      </c>
      <c r="J198" s="742"/>
      <c r="K198" s="742"/>
      <c r="L198" s="742"/>
      <c r="M198" s="742"/>
      <c r="N198" s="742"/>
      <c r="O198" s="742"/>
      <c r="P198" s="742"/>
      <c r="Q198" s="742"/>
      <c r="R198" s="639"/>
    </row>
    <row r="199">
      <c r="A199" s="1021"/>
      <c r="B199" s="1096"/>
      <c r="C199" s="1097"/>
      <c r="D199" s="742" t="s">
        <v>578</v>
      </c>
      <c r="E199" s="743">
        <f>F110</f>
        <v>350</v>
      </c>
      <c r="F199" s="743">
        <f>F110</f>
        <v>350</v>
      </c>
      <c r="G199" s="743">
        <f>F110</f>
        <v>350</v>
      </c>
      <c r="H199" s="743">
        <f>F110</f>
        <v>350</v>
      </c>
      <c r="I199" s="745">
        <f>F110</f>
        <v>350</v>
      </c>
      <c r="J199" s="742"/>
      <c r="K199" s="742"/>
      <c r="L199" s="742"/>
      <c r="M199" s="742"/>
      <c r="N199" s="742"/>
      <c r="O199" s="742"/>
      <c r="P199" s="742"/>
      <c r="Q199" s="742"/>
      <c r="R199" s="639"/>
    </row>
    <row r="200">
      <c r="A200" s="1021"/>
      <c r="B200" s="1096"/>
      <c r="C200" s="1097"/>
      <c r="D200" s="742" t="s">
        <v>579</v>
      </c>
      <c r="E200" s="742" t="e">
        <f>IF(#REF!=0,0,#REF!)</f>
        <v>#REF!</v>
      </c>
      <c r="F200" s="742" t="e">
        <f>IF(#REF!=0,0,#REF!)</f>
        <v>#REF!</v>
      </c>
      <c r="G200" s="742" t="e">
        <f>IF(#REF!=0,0,#REF!)</f>
        <v>#REF!</v>
      </c>
      <c r="H200" s="742" t="e">
        <f>IF(#REF!=0,0,#REF!)</f>
        <v>#REF!</v>
      </c>
      <c r="I200" s="746" t="e">
        <f>IF(#REF!=0,0,#REF!)</f>
        <v>#REF!</v>
      </c>
      <c r="J200" s="742"/>
      <c r="K200" s="742"/>
      <c r="L200" s="742"/>
      <c r="M200" s="742"/>
      <c r="N200" s="742"/>
      <c r="O200" s="742"/>
      <c r="P200" s="742"/>
      <c r="Q200" s="742"/>
      <c r="R200" s="639"/>
    </row>
    <row r="201">
      <c r="A201" s="1021"/>
      <c r="B201" s="1096"/>
      <c r="C201" s="1097"/>
      <c r="D201" s="742" t="s">
        <v>580</v>
      </c>
      <c r="E201" s="742">
        <v>8</v>
      </c>
      <c r="F201" s="742">
        <v>14</v>
      </c>
      <c r="G201" s="742">
        <v>12</v>
      </c>
      <c r="H201" s="742">
        <v>10</v>
      </c>
      <c r="I201" s="746" t="e">
        <f>#REF!</f>
        <v>#REF!</v>
      </c>
      <c r="J201" s="742"/>
      <c r="K201" s="742"/>
      <c r="L201" s="742" t="s">
        <v>581</v>
      </c>
      <c r="M201" s="742" t="s">
        <v>582</v>
      </c>
      <c r="N201" s="742"/>
      <c r="O201" s="742"/>
      <c r="P201" s="742"/>
      <c r="Q201" s="742"/>
      <c r="R201" s="639"/>
    </row>
    <row r="202">
      <c r="A202" s="1021"/>
      <c r="B202" s="1096"/>
      <c r="C202" s="1097"/>
      <c r="D202" s="742"/>
      <c r="E202" s="742"/>
      <c r="F202" s="742"/>
      <c r="G202" s="742"/>
      <c r="H202" s="742"/>
      <c r="I202" s="746"/>
      <c r="J202" s="742"/>
      <c r="K202" s="742" t="s">
        <v>584</v>
      </c>
      <c r="L202" s="742">
        <f>IF(F142=1,F110,IF(F142=2,E203,IF(F142=3,F203,IF(F142=4,G203,IF(F142=5,H203,IF(F142=6,I203))))))</f>
        <v>350</v>
      </c>
      <c r="M202" s="742">
        <f>IF(F142=1,F110-30,IF(F142=2,E204,IF(F142=3,F204,IF(F142=4,G204,IF(F142=5,H204,IF(F142=6,I204))))))</f>
        <v>320</v>
      </c>
      <c r="N202" s="742"/>
      <c r="O202" s="742"/>
      <c r="P202" s="742"/>
      <c r="Q202" s="742"/>
      <c r="R202" s="639"/>
    </row>
    <row r="203">
      <c r="A203" s="1021"/>
      <c r="B203" s="1096"/>
      <c r="C203" s="1097"/>
      <c r="D203" s="742" t="s">
        <v>583</v>
      </c>
      <c r="E203" s="742" t="e">
        <f>IF(E200=0,E199,E199-E200-E201+11)</f>
        <v>#REF!</v>
      </c>
      <c r="F203" s="742" t="e">
        <f>IF(F200=0,F199,F199-F200-F201+11)</f>
        <v>#REF!</v>
      </c>
      <c r="G203" s="742" t="e">
        <f>IF(G200=0,G199,G199-G200-G201+11)</f>
        <v>#REF!</v>
      </c>
      <c r="H203" s="742" t="e">
        <f>IF(H200=0,H199,H199-H200-H201+11)</f>
        <v>#REF!</v>
      </c>
      <c r="I203" s="746" t="e">
        <f>IF(I200=0,I199,I199-I200-I201+11)</f>
        <v>#REF!</v>
      </c>
      <c r="J203" s="742"/>
      <c r="K203" s="742"/>
      <c r="L203" s="742"/>
      <c r="M203" s="742"/>
      <c r="N203" s="742"/>
      <c r="O203" s="742"/>
      <c r="P203" s="742"/>
      <c r="Q203" s="742"/>
      <c r="R203" s="639"/>
    </row>
    <row r="204" ht="15">
      <c r="A204" s="1021"/>
      <c r="B204" s="1102"/>
      <c r="C204" s="1103"/>
      <c r="D204" s="753" t="s">
        <v>585</v>
      </c>
      <c r="E204" s="753" t="e">
        <f>E203-30</f>
        <v>#REF!</v>
      </c>
      <c r="F204" s="753" t="e">
        <f>F203-13</f>
        <v>#REF!</v>
      </c>
      <c r="G204" s="753" t="e">
        <f>G203-30</f>
        <v>#REF!</v>
      </c>
      <c r="H204" s="753" t="e">
        <f>H203-13</f>
        <v>#REF!</v>
      </c>
      <c r="I204" s="754" t="e">
        <f>I203-30</f>
        <v>#REF!</v>
      </c>
      <c r="J204" s="753"/>
      <c r="K204" s="753"/>
      <c r="L204" s="753"/>
      <c r="M204" s="753"/>
      <c r="N204" s="753"/>
      <c r="O204" s="753"/>
      <c r="P204" s="753"/>
      <c r="Q204" s="753"/>
      <c r="R204" s="639"/>
    </row>
    <row r="205" ht="18.6">
      <c r="A205" s="1021"/>
      <c r="B205" s="528"/>
      <c r="C205" s="528"/>
      <c r="D205" s="528"/>
      <c r="E205" s="528"/>
      <c r="F205" s="528"/>
      <c r="G205" s="528"/>
      <c r="H205" s="528"/>
      <c r="I205" s="528"/>
      <c r="J205" s="528"/>
      <c r="K205" s="528"/>
      <c r="L205" s="528"/>
      <c r="M205" s="528"/>
      <c r="N205" s="528"/>
      <c r="O205" s="528"/>
      <c r="P205" s="528"/>
      <c r="Q205" s="755"/>
      <c r="R205" s="639"/>
    </row>
    <row r="206" ht="18">
      <c r="A206" s="1021"/>
      <c r="B206" s="756"/>
      <c r="C206" s="757"/>
      <c r="D206" s="757"/>
      <c r="E206" s="757"/>
      <c r="F206" s="757"/>
      <c r="G206" s="757"/>
      <c r="H206" s="757"/>
      <c r="I206" s="757"/>
      <c r="J206" s="757"/>
      <c r="K206" s="757"/>
      <c r="L206" s="757"/>
      <c r="M206" s="757"/>
      <c r="N206" s="757"/>
      <c r="O206" s="757"/>
      <c r="P206" s="758"/>
      <c r="Q206" s="759"/>
      <c r="R206" s="639"/>
    </row>
    <row r="207" ht="18">
      <c r="A207" s="1021"/>
      <c r="B207" s="760"/>
      <c r="C207" s="761"/>
      <c r="D207" s="761"/>
      <c r="E207" s="761"/>
      <c r="F207" s="761"/>
      <c r="G207" s="761"/>
      <c r="H207" s="761"/>
      <c r="I207" s="761"/>
      <c r="J207" s="761"/>
      <c r="K207" s="761" t="s">
        <v>390</v>
      </c>
      <c r="L207" s="761" t="s">
        <v>589</v>
      </c>
      <c r="M207" s="761"/>
      <c r="N207" s="761"/>
      <c r="O207" s="761"/>
      <c r="P207" s="762" t="s">
        <v>590</v>
      </c>
      <c r="Q207" s="759"/>
      <c r="R207" s="639"/>
    </row>
    <row r="208" ht="18">
      <c r="A208" s="1021"/>
      <c r="B208" s="760" t="s">
        <v>371</v>
      </c>
      <c r="C208" s="761" t="str">
        <f>C151</f>
        <v>EVO 150X70</v>
      </c>
      <c r="D208" s="761"/>
      <c r="E208" s="761"/>
      <c r="F208" s="761"/>
      <c r="G208" s="761"/>
      <c r="H208" s="761"/>
      <c r="I208" s="761"/>
      <c r="J208" s="761"/>
      <c r="K208" s="763">
        <v>3</v>
      </c>
      <c r="L208" s="763">
        <v>2</v>
      </c>
      <c r="M208" s="761"/>
      <c r="N208" s="761"/>
      <c r="O208" s="761"/>
      <c r="P208" s="762"/>
      <c r="Q208" s="759"/>
      <c r="R208" s="639"/>
    </row>
    <row r="209" ht="18">
      <c r="A209" s="1021"/>
      <c r="B209" s="760" t="s">
        <v>591</v>
      </c>
      <c r="C209" s="764">
        <f>D110</f>
        <v>350</v>
      </c>
      <c r="D209" s="761"/>
      <c r="E209" s="761"/>
      <c r="F209" s="761"/>
      <c r="G209" s="761"/>
      <c r="H209" s="761"/>
      <c r="I209" s="761"/>
      <c r="J209" s="761"/>
      <c r="K209" s="763">
        <v>4</v>
      </c>
      <c r="L209" s="763">
        <v>2</v>
      </c>
      <c r="M209" s="761"/>
      <c r="N209" s="761"/>
      <c r="O209" s="761"/>
      <c r="P209" s="762"/>
      <c r="Q209" s="759"/>
      <c r="R209" s="639"/>
    </row>
    <row r="210" ht="18">
      <c r="A210" s="1021"/>
      <c r="B210" s="760" t="s">
        <v>581</v>
      </c>
      <c r="C210" s="764">
        <f>F110</f>
        <v>350</v>
      </c>
      <c r="D210" s="761"/>
      <c r="E210" s="761"/>
      <c r="F210" s="761"/>
      <c r="G210" s="761"/>
      <c r="H210" s="761"/>
      <c r="I210" s="761"/>
      <c r="J210" s="761"/>
      <c r="K210" s="763">
        <v>5</v>
      </c>
      <c r="L210" s="763">
        <v>3</v>
      </c>
      <c r="M210" s="761">
        <f>IF(C211&lt;3,2,IF(C211&lt;4,2,IF(C211&lt;5,2,IF(C211&lt;6,3,IF(C211&lt;7,3,IF(C211&lt;8,3,IF(C211&lt;8,4,M216)))))))</f>
        <v>3</v>
      </c>
      <c r="N210" s="761"/>
      <c r="O210" s="761"/>
      <c r="P210" s="762"/>
      <c r="Q210" s="759"/>
      <c r="R210" s="639"/>
    </row>
    <row r="211" ht="18">
      <c r="A211" s="1021"/>
      <c r="B211" s="760" t="s">
        <v>390</v>
      </c>
      <c r="C211" s="761">
        <f>H71</f>
        <v>5</v>
      </c>
      <c r="D211" s="761" t="s">
        <v>392</v>
      </c>
      <c r="E211" s="761">
        <v>2</v>
      </c>
      <c r="F211" s="761"/>
      <c r="G211" s="761"/>
      <c r="H211" s="761"/>
      <c r="I211" s="761"/>
      <c r="J211" s="761"/>
      <c r="K211" s="763">
        <v>6</v>
      </c>
      <c r="L211" s="763">
        <v>3</v>
      </c>
      <c r="M211" s="761"/>
      <c r="N211" s="761"/>
      <c r="O211" s="761"/>
      <c r="P211" s="762"/>
      <c r="Q211" s="759"/>
      <c r="R211" s="639"/>
    </row>
    <row r="212" ht="18">
      <c r="A212" s="1021"/>
      <c r="B212" s="760"/>
      <c r="C212" s="761"/>
      <c r="D212" s="761"/>
      <c r="E212" s="761"/>
      <c r="F212" s="761"/>
      <c r="G212" s="761"/>
      <c r="H212" s="761"/>
      <c r="I212" s="761"/>
      <c r="J212" s="761"/>
      <c r="K212" s="763">
        <v>7</v>
      </c>
      <c r="L212" s="763">
        <v>3</v>
      </c>
      <c r="M212" s="761"/>
      <c r="N212" s="761"/>
      <c r="O212" s="761"/>
      <c r="P212" s="762"/>
      <c r="Q212" s="759"/>
      <c r="R212" s="639"/>
    </row>
    <row r="213" ht="18">
      <c r="A213" s="1021"/>
      <c r="B213" s="760"/>
      <c r="C213" s="761"/>
      <c r="D213" s="761"/>
      <c r="E213" s="761"/>
      <c r="F213" s="761"/>
      <c r="G213" s="761"/>
      <c r="H213" s="761"/>
      <c r="I213" s="761"/>
      <c r="J213" s="761"/>
      <c r="K213" s="765">
        <v>8</v>
      </c>
      <c r="L213" s="765">
        <v>4</v>
      </c>
      <c r="M213" s="761"/>
      <c r="N213" s="761"/>
      <c r="O213" s="761"/>
      <c r="P213" s="762">
        <f>IF(C211&lt;8,M210,IF(C211&lt;15,M216,IF(C211&lt;21,M222,"-------")))</f>
        <v>3</v>
      </c>
      <c r="Q213" s="759"/>
      <c r="R213" s="639"/>
    </row>
    <row r="214" ht="18">
      <c r="A214" s="1021"/>
      <c r="B214" s="760" t="s">
        <v>592</v>
      </c>
      <c r="C214" s="761">
        <f>P213</f>
        <v>3</v>
      </c>
      <c r="D214" s="761"/>
      <c r="E214" s="761"/>
      <c r="F214" s="761"/>
      <c r="G214" s="761"/>
      <c r="H214" s="761"/>
      <c r="I214" s="761"/>
      <c r="J214" s="761"/>
      <c r="K214" s="763">
        <v>9</v>
      </c>
      <c r="L214" s="763">
        <v>4</v>
      </c>
      <c r="M214" s="761"/>
      <c r="N214" s="761"/>
      <c r="O214" s="761"/>
      <c r="P214" s="762"/>
      <c r="Q214" s="759"/>
      <c r="R214" s="639"/>
    </row>
    <row r="215" ht="18">
      <c r="A215" s="1021"/>
      <c r="B215" s="766" t="s">
        <v>593</v>
      </c>
      <c r="C215" s="767">
        <f>(((C209-(D125*2))/200)+1)*C214</f>
        <v>6.75</v>
      </c>
      <c r="D215" s="1089" t="s">
        <v>594</v>
      </c>
      <c r="E215" s="1089"/>
      <c r="F215" s="768">
        <f>ROUND(C215,0)</f>
        <v>7</v>
      </c>
      <c r="G215" s="761"/>
      <c r="H215" s="761"/>
      <c r="I215" s="761"/>
      <c r="J215" s="761"/>
      <c r="K215" s="763">
        <v>10</v>
      </c>
      <c r="L215" s="763">
        <v>4</v>
      </c>
      <c r="M215" s="761"/>
      <c r="N215" s="761"/>
      <c r="O215" s="761"/>
      <c r="P215" s="762"/>
      <c r="Q215" s="759"/>
      <c r="R215" s="639"/>
    </row>
    <row r="216" ht="18">
      <c r="A216" s="1021"/>
      <c r="B216" s="766" t="s">
        <v>595</v>
      </c>
      <c r="C216" s="767">
        <f>F215/C214</f>
        <v>2.3333333333333335</v>
      </c>
      <c r="D216" s="1089" t="s">
        <v>594</v>
      </c>
      <c r="E216" s="1089"/>
      <c r="F216" s="768">
        <f>ROUND(C216,0)</f>
        <v>2</v>
      </c>
      <c r="G216" s="761"/>
      <c r="H216" s="761"/>
      <c r="I216" s="761"/>
      <c r="J216" s="761"/>
      <c r="K216" s="763">
        <v>11</v>
      </c>
      <c r="L216" s="763">
        <v>5</v>
      </c>
      <c r="M216" s="761">
        <f>IF(C211&lt;9,4,IF(C211&lt;10,4,IF(C211&lt;11,4,IF(C211&lt;12,5,IF(C211&lt;13,5,IF(C211&lt;14,5,IF(C211&lt;15,5,M222)))))))</f>
        <v>4</v>
      </c>
      <c r="N216" s="761"/>
      <c r="O216" s="761"/>
      <c r="P216" s="762"/>
      <c r="Q216" s="759"/>
      <c r="R216" s="639"/>
    </row>
    <row r="217" ht="18">
      <c r="A217" s="1021"/>
      <c r="B217" s="766" t="s">
        <v>596</v>
      </c>
      <c r="C217" s="768">
        <f>F216*C214</f>
        <v>6</v>
      </c>
      <c r="D217" s="761"/>
      <c r="E217" s="761"/>
      <c r="F217" s="761"/>
      <c r="G217" s="761"/>
      <c r="H217" s="761"/>
      <c r="I217" s="761"/>
      <c r="J217" s="761"/>
      <c r="K217" s="763">
        <v>12</v>
      </c>
      <c r="L217" s="763">
        <v>5</v>
      </c>
      <c r="M217" s="761"/>
      <c r="N217" s="761"/>
      <c r="O217" s="761"/>
      <c r="P217" s="762"/>
      <c r="Q217" s="759"/>
      <c r="R217" s="639"/>
    </row>
    <row r="218" ht="18">
      <c r="A218" s="1021"/>
      <c r="B218" s="760"/>
      <c r="C218" s="761"/>
      <c r="D218" s="761"/>
      <c r="E218" s="761"/>
      <c r="F218" s="761"/>
      <c r="G218" s="761"/>
      <c r="H218" s="761"/>
      <c r="I218" s="761"/>
      <c r="J218" s="761"/>
      <c r="K218" s="763">
        <v>13</v>
      </c>
      <c r="L218" s="763">
        <v>5</v>
      </c>
      <c r="M218" s="761"/>
      <c r="N218" s="761"/>
      <c r="O218" s="761"/>
      <c r="P218" s="762"/>
      <c r="Q218" s="759"/>
      <c r="R218" s="639"/>
    </row>
    <row r="219" ht="18">
      <c r="A219" s="1021"/>
      <c r="B219" s="760"/>
      <c r="C219" s="761"/>
      <c r="D219" s="761"/>
      <c r="E219" s="761"/>
      <c r="F219" s="761"/>
      <c r="G219" s="761"/>
      <c r="H219" s="761"/>
      <c r="I219" s="761"/>
      <c r="J219" s="761"/>
      <c r="K219" s="765">
        <v>14</v>
      </c>
      <c r="L219" s="765">
        <v>5</v>
      </c>
      <c r="M219" s="761"/>
      <c r="N219" s="761"/>
      <c r="O219" s="761"/>
      <c r="P219" s="762"/>
      <c r="Q219" s="759"/>
      <c r="R219" s="639"/>
    </row>
    <row r="220" ht="18">
      <c r="A220" s="1021"/>
      <c r="B220" s="760"/>
      <c r="C220" s="761"/>
      <c r="D220" s="761"/>
      <c r="E220" s="761"/>
      <c r="F220" s="761"/>
      <c r="G220" s="761"/>
      <c r="H220" s="761"/>
      <c r="I220" s="761"/>
      <c r="J220" s="761"/>
      <c r="K220" s="763">
        <v>15</v>
      </c>
      <c r="L220" s="763">
        <v>5</v>
      </c>
      <c r="M220" s="761"/>
      <c r="N220" s="761"/>
      <c r="O220" s="761"/>
      <c r="P220" s="762"/>
      <c r="Q220" s="759"/>
      <c r="R220" s="639"/>
    </row>
    <row r="221" ht="18">
      <c r="A221" s="1021"/>
      <c r="B221" s="760"/>
      <c r="C221" s="761"/>
      <c r="D221" s="761"/>
      <c r="E221" s="761"/>
      <c r="F221" s="761"/>
      <c r="G221" s="761"/>
      <c r="H221" s="761"/>
      <c r="I221" s="761"/>
      <c r="J221" s="761"/>
      <c r="K221" s="763">
        <v>16</v>
      </c>
      <c r="L221" s="763">
        <v>6</v>
      </c>
      <c r="M221" s="761"/>
      <c r="N221" s="761"/>
      <c r="O221" s="761"/>
      <c r="P221" s="762"/>
      <c r="Q221" s="759"/>
      <c r="R221" s="639"/>
    </row>
    <row r="222" ht="18">
      <c r="A222" s="1021"/>
      <c r="B222" s="760"/>
      <c r="C222" s="761"/>
      <c r="D222" s="761"/>
      <c r="E222" s="761"/>
      <c r="F222" s="761"/>
      <c r="G222" s="761"/>
      <c r="H222" s="761"/>
      <c r="I222" s="761"/>
      <c r="J222" s="761"/>
      <c r="K222" s="763">
        <v>17</v>
      </c>
      <c r="L222" s="763">
        <v>6</v>
      </c>
      <c r="M222" s="761">
        <f>IF(C211&lt;16,5,IF(C211&lt;17,6,IF(C211&lt;18,6,IF(C211&lt;19,6,IF(C211&lt;20,6,IF(C211&lt;21,6,"-------"))))))</f>
        <v>5</v>
      </c>
      <c r="N222" s="761"/>
      <c r="O222" s="761"/>
      <c r="P222" s="762"/>
      <c r="Q222" s="759"/>
      <c r="R222" s="639"/>
    </row>
    <row r="223" ht="18">
      <c r="A223" s="1021"/>
      <c r="B223" s="760"/>
      <c r="C223" s="761"/>
      <c r="D223" s="761"/>
      <c r="E223" s="761"/>
      <c r="F223" s="761"/>
      <c r="G223" s="761"/>
      <c r="H223" s="761"/>
      <c r="I223" s="761"/>
      <c r="J223" s="761"/>
      <c r="K223" s="763">
        <v>18</v>
      </c>
      <c r="L223" s="763">
        <v>6</v>
      </c>
      <c r="M223" s="761"/>
      <c r="N223" s="761"/>
      <c r="O223" s="761"/>
      <c r="P223" s="762"/>
      <c r="Q223" s="759"/>
      <c r="R223" s="639"/>
    </row>
    <row r="224" ht="18">
      <c r="A224" s="1021"/>
      <c r="B224" s="760"/>
      <c r="C224" s="761"/>
      <c r="D224" s="761"/>
      <c r="E224" s="761"/>
      <c r="F224" s="761"/>
      <c r="G224" s="761"/>
      <c r="H224" s="761"/>
      <c r="I224" s="761"/>
      <c r="J224" s="761"/>
      <c r="K224" s="763">
        <v>19</v>
      </c>
      <c r="L224" s="763">
        <v>6</v>
      </c>
      <c r="M224" s="761"/>
      <c r="N224" s="761"/>
      <c r="O224" s="761"/>
      <c r="P224" s="762"/>
      <c r="Q224" s="759"/>
      <c r="R224" s="639"/>
    </row>
    <row r="225" ht="18.6">
      <c r="A225" s="1021"/>
      <c r="B225" s="769"/>
      <c r="C225" s="770"/>
      <c r="D225" s="770"/>
      <c r="E225" s="770"/>
      <c r="F225" s="770"/>
      <c r="G225" s="770"/>
      <c r="H225" s="770"/>
      <c r="I225" s="770"/>
      <c r="J225" s="770"/>
      <c r="K225" s="771">
        <v>20</v>
      </c>
      <c r="L225" s="771">
        <v>6</v>
      </c>
      <c r="M225" s="770"/>
      <c r="N225" s="770"/>
      <c r="O225" s="770"/>
      <c r="P225" s="772"/>
      <c r="Q225" s="759"/>
      <c r="R225" s="639"/>
    </row>
    <row r="226" ht="18.6">
      <c r="A226" s="1021"/>
      <c r="B226" s="528"/>
      <c r="C226" s="528"/>
      <c r="D226" s="528"/>
      <c r="E226" s="528"/>
      <c r="F226" s="528"/>
      <c r="G226" s="528"/>
      <c r="H226" s="528"/>
      <c r="I226" s="528"/>
      <c r="J226" s="528"/>
      <c r="K226" s="528"/>
      <c r="L226" s="528"/>
      <c r="M226" s="528"/>
      <c r="N226" s="528"/>
      <c r="O226" s="528"/>
      <c r="P226" s="528"/>
      <c r="Q226" s="681"/>
      <c r="R226" s="639"/>
    </row>
    <row r="227" ht="18">
      <c r="A227" s="1021"/>
      <c r="B227" s="773" t="s">
        <v>371</v>
      </c>
      <c r="C227" s="774" t="s">
        <v>581</v>
      </c>
      <c r="D227" s="774" t="s">
        <v>597</v>
      </c>
      <c r="E227" s="774"/>
      <c r="F227" s="774"/>
      <c r="G227" s="774"/>
      <c r="H227" s="774"/>
      <c r="I227" s="774"/>
      <c r="J227" s="774"/>
      <c r="K227" s="774"/>
      <c r="L227" s="775"/>
      <c r="M227" s="528"/>
      <c r="N227" s="528"/>
      <c r="O227" s="528"/>
      <c r="P227" s="528"/>
      <c r="Q227" s="681"/>
      <c r="R227" s="639"/>
    </row>
    <row r="228" ht="18">
      <c r="A228" s="1021"/>
      <c r="B228" s="776" t="str">
        <f>IF(B141=1,B136,IF(B141=2,B137,IF(B141=3,B138,IF(B141=4,B139,IF(B141=5,B140)))))</f>
        <v>EVO 150X70</v>
      </c>
      <c r="C228" s="777">
        <f>F110</f>
        <v>350</v>
      </c>
      <c r="D228" s="778" t="str">
        <f>IF(O142=1,O136,IF(O142=2,O137,IF(O142=3,O138,IF(O142=4,O139,IF(O142=5,O140,IF(O142=6,O141,"--------"))))))</f>
        <v>13cm</v>
      </c>
      <c r="E228" s="778"/>
      <c r="F228" s="778"/>
      <c r="G228" s="778"/>
      <c r="H228" s="778"/>
      <c r="I228" s="778"/>
      <c r="J228" s="778"/>
      <c r="K228" s="778"/>
      <c r="L228" s="779"/>
      <c r="M228" s="528"/>
      <c r="N228" s="528"/>
      <c r="O228" s="528"/>
      <c r="P228" s="528"/>
      <c r="Q228" s="681"/>
      <c r="R228" s="639"/>
    </row>
    <row r="229" ht="18">
      <c r="A229" s="1021"/>
      <c r="B229" s="776"/>
      <c r="C229" s="778"/>
      <c r="D229" s="778"/>
      <c r="E229" s="778"/>
      <c r="F229" s="778"/>
      <c r="G229" s="778"/>
      <c r="H229" s="778"/>
      <c r="I229" s="778"/>
      <c r="J229" s="778"/>
      <c r="K229" s="778"/>
      <c r="L229" s="779"/>
      <c r="M229" s="528"/>
      <c r="N229" s="528"/>
      <c r="O229" s="528"/>
      <c r="P229" s="528"/>
      <c r="Q229" s="681"/>
      <c r="R229" s="639"/>
    </row>
    <row r="230" ht="18">
      <c r="A230" s="1021"/>
      <c r="B230" s="776"/>
      <c r="C230" s="778"/>
      <c r="D230" s="778"/>
      <c r="E230" s="778"/>
      <c r="F230" s="778"/>
      <c r="G230" s="778"/>
      <c r="H230" s="778"/>
      <c r="I230" s="778"/>
      <c r="J230" s="778"/>
      <c r="K230" s="778"/>
      <c r="L230" s="779"/>
      <c r="M230" s="528"/>
      <c r="N230" s="528"/>
      <c r="O230" s="528"/>
      <c r="P230" s="528"/>
      <c r="Q230" s="681"/>
      <c r="R230" s="639"/>
    </row>
    <row r="231" ht="18">
      <c r="A231" s="1021"/>
      <c r="B231" s="780"/>
      <c r="C231" s="781"/>
      <c r="D231" s="781"/>
      <c r="E231" s="781"/>
      <c r="F231" s="781"/>
      <c r="G231" s="781"/>
      <c r="H231" s="781"/>
      <c r="I231" s="781"/>
      <c r="J231" s="781"/>
      <c r="K231" s="781"/>
      <c r="L231" s="782"/>
      <c r="M231" s="528"/>
      <c r="N231" s="528"/>
      <c r="O231" s="528"/>
      <c r="P231" s="528"/>
      <c r="Q231" s="681"/>
      <c r="R231" s="639"/>
    </row>
    <row r="232" ht="18">
      <c r="A232" s="1021"/>
      <c r="B232" s="776" t="s">
        <v>598</v>
      </c>
      <c r="C232" s="778"/>
      <c r="D232" s="778">
        <f>IF(O142=1,C228-32,IF(O142=2,C228-43,"-------"))</f>
        <v>318</v>
      </c>
      <c r="E232" s="778"/>
      <c r="F232" s="778"/>
      <c r="G232" s="778"/>
      <c r="H232" s="778"/>
      <c r="I232" s="778"/>
      <c r="J232" s="778"/>
      <c r="K232" s="778"/>
      <c r="L232" s="779"/>
      <c r="M232" s="528"/>
      <c r="N232" s="528"/>
      <c r="O232" s="528"/>
      <c r="P232" s="528"/>
      <c r="Q232" s="681"/>
      <c r="R232" s="639"/>
    </row>
    <row r="233" ht="18">
      <c r="A233" s="1021"/>
      <c r="B233" s="776" t="s">
        <v>599</v>
      </c>
      <c r="C233" s="778"/>
      <c r="D233" s="778">
        <f>IF(O142=1,C228-35,IF(O142=3,C228-36,IF(O142=4,C228-32,"-------")))</f>
        <v>315</v>
      </c>
      <c r="E233" s="778"/>
      <c r="F233" s="778"/>
      <c r="G233" s="778"/>
      <c r="H233" s="778"/>
      <c r="I233" s="1090" t="s">
        <v>600</v>
      </c>
      <c r="J233" s="1090"/>
      <c r="K233" s="1090"/>
      <c r="L233" s="1091"/>
      <c r="M233" s="528"/>
      <c r="N233" s="528"/>
      <c r="O233" s="528"/>
      <c r="P233" s="528"/>
      <c r="Q233" s="681"/>
      <c r="R233" s="639"/>
    </row>
    <row r="234" ht="18">
      <c r="A234" s="1021"/>
      <c r="B234" s="776" t="s">
        <v>601</v>
      </c>
      <c r="C234" s="778"/>
      <c r="D234" s="778">
        <f>IF(O142=1,C228-32,"-------")</f>
        <v>318</v>
      </c>
      <c r="E234" s="778"/>
      <c r="F234" s="778"/>
      <c r="G234" s="778">
        <f>IF(B141=1,D232,IF(B141=2,D233,IF(B141=3,D234,IF(B141=4,D235,IF(B141=5,D236)))))</f>
        <v>315</v>
      </c>
      <c r="H234" s="778"/>
      <c r="I234" s="1090"/>
      <c r="J234" s="1090"/>
      <c r="K234" s="1090"/>
      <c r="L234" s="1091"/>
      <c r="M234" s="528"/>
      <c r="N234" s="528"/>
      <c r="O234" s="528"/>
      <c r="P234" s="528"/>
      <c r="Q234" s="681"/>
      <c r="R234" s="639"/>
    </row>
    <row r="235" ht="18">
      <c r="A235" s="1021"/>
      <c r="B235" s="776" t="s">
        <v>602</v>
      </c>
      <c r="C235" s="778"/>
      <c r="D235" s="778" t="str">
        <f>IF(O142=5,C228-35,IF(O142=6,C228-31,"-------"))</f>
        <v>-------</v>
      </c>
      <c r="E235" s="778"/>
      <c r="F235" s="778"/>
      <c r="G235" s="778"/>
      <c r="H235" s="778"/>
      <c r="I235" s="1090"/>
      <c r="J235" s="1090"/>
      <c r="K235" s="1090"/>
      <c r="L235" s="1091"/>
      <c r="M235" s="528"/>
      <c r="N235" s="528"/>
      <c r="O235" s="528"/>
      <c r="P235" s="528"/>
      <c r="Q235" s="681"/>
      <c r="R235" s="639"/>
    </row>
    <row r="236" ht="18">
      <c r="A236" s="1021"/>
      <c r="B236" s="776" t="s">
        <v>603</v>
      </c>
      <c r="C236" s="778"/>
      <c r="D236" s="778">
        <f>C228-32</f>
        <v>318</v>
      </c>
      <c r="E236" s="778"/>
      <c r="F236" s="778"/>
      <c r="G236" s="778"/>
      <c r="H236" s="778"/>
      <c r="I236" s="778"/>
      <c r="J236" s="778"/>
      <c r="K236" s="778"/>
      <c r="L236" s="779"/>
      <c r="M236" s="528"/>
      <c r="N236" s="528"/>
      <c r="O236" s="528"/>
      <c r="P236" s="528"/>
      <c r="Q236" s="681"/>
      <c r="R236" s="639"/>
    </row>
    <row r="237" ht="18">
      <c r="A237" s="1021"/>
      <c r="B237" s="783"/>
      <c r="C237" s="784"/>
      <c r="D237" s="784"/>
      <c r="E237" s="784"/>
      <c r="F237" s="784"/>
      <c r="G237" s="784"/>
      <c r="H237" s="784"/>
      <c r="I237" s="784"/>
      <c r="J237" s="784"/>
      <c r="K237" s="784"/>
      <c r="L237" s="785"/>
      <c r="M237" s="528"/>
      <c r="N237" s="528"/>
      <c r="O237" s="528"/>
      <c r="P237" s="528"/>
      <c r="Q237" s="681"/>
      <c r="R237" s="639"/>
    </row>
    <row r="238" ht="18">
      <c r="A238" s="1021"/>
      <c r="B238" s="776"/>
      <c r="C238" s="778"/>
      <c r="D238" s="778"/>
      <c r="E238" s="778"/>
      <c r="F238" s="778"/>
      <c r="G238" s="778"/>
      <c r="H238" s="778"/>
      <c r="I238" s="778"/>
      <c r="J238" s="778"/>
      <c r="K238" s="778"/>
      <c r="L238" s="779"/>
      <c r="M238" s="528"/>
      <c r="N238" s="528"/>
      <c r="O238" s="528"/>
      <c r="P238" s="528"/>
      <c r="Q238" s="681"/>
      <c r="R238" s="639"/>
    </row>
    <row r="239" ht="18">
      <c r="A239" s="1021"/>
      <c r="B239" s="780"/>
      <c r="C239" s="781"/>
      <c r="D239" s="781"/>
      <c r="E239" s="781"/>
      <c r="F239" s="781"/>
      <c r="G239" s="781"/>
      <c r="H239" s="781"/>
      <c r="I239" s="781"/>
      <c r="J239" s="781"/>
      <c r="K239" s="781"/>
      <c r="L239" s="782"/>
      <c r="M239" s="528"/>
      <c r="N239" s="528"/>
      <c r="O239" s="528"/>
      <c r="P239" s="528"/>
      <c r="Q239" s="681"/>
      <c r="R239" s="639"/>
    </row>
    <row r="240" ht="18">
      <c r="A240" s="1021"/>
      <c r="B240" s="776" t="s">
        <v>598</v>
      </c>
      <c r="C240" s="778"/>
      <c r="D240" s="778">
        <f>IF(O142=1,C228,IF(O142=2,C228-11,"-------"))</f>
        <v>350</v>
      </c>
      <c r="E240" s="778"/>
      <c r="F240" s="778"/>
      <c r="G240" s="778"/>
      <c r="H240" s="778"/>
      <c r="I240" s="778"/>
      <c r="J240" s="778"/>
      <c r="K240" s="778"/>
      <c r="L240" s="779"/>
      <c r="M240" s="528"/>
      <c r="N240" s="528"/>
      <c r="O240" s="528"/>
      <c r="P240" s="528"/>
      <c r="Q240" s="681"/>
      <c r="R240" s="639"/>
    </row>
    <row r="241" ht="18">
      <c r="A241" s="1021"/>
      <c r="B241" s="776" t="s">
        <v>599</v>
      </c>
      <c r="C241" s="778"/>
      <c r="D241" s="778">
        <f>IF(O142=3,C228-5,IF(O142=1,C228,IF(O142=4,C228,"-------")))</f>
        <v>350</v>
      </c>
      <c r="E241" s="778"/>
      <c r="F241" s="778"/>
      <c r="G241" s="778"/>
      <c r="H241" s="778"/>
      <c r="I241" s="1090" t="s">
        <v>604</v>
      </c>
      <c r="J241" s="1090"/>
      <c r="K241" s="1090"/>
      <c r="L241" s="1091"/>
      <c r="M241" s="528"/>
      <c r="N241" s="528"/>
      <c r="O241" s="528"/>
      <c r="P241" s="528"/>
      <c r="Q241" s="681"/>
      <c r="R241" s="639"/>
    </row>
    <row r="242" ht="18">
      <c r="A242" s="1021"/>
      <c r="B242" s="776" t="s">
        <v>601</v>
      </c>
      <c r="C242" s="778"/>
      <c r="D242" s="778">
        <f>IF(O142=1,C228,"-------")</f>
        <v>350</v>
      </c>
      <c r="E242" s="778"/>
      <c r="F242" s="778"/>
      <c r="G242" s="778">
        <f>IF(B141=1,D240,IF(B141=2,D241,IF(B141=3,D242,IF(B141=4,D243,IF(B141=5,#REF!)))))</f>
        <v>350</v>
      </c>
      <c r="H242" s="778"/>
      <c r="I242" s="1090"/>
      <c r="J242" s="1090"/>
      <c r="K242" s="1090"/>
      <c r="L242" s="1091"/>
      <c r="M242" s="528"/>
      <c r="N242" s="528"/>
      <c r="O242" s="528"/>
      <c r="P242" s="528"/>
      <c r="Q242" s="681"/>
      <c r="R242" s="639"/>
    </row>
    <row r="243" ht="18">
      <c r="A243" s="1021"/>
      <c r="B243" s="776" t="s">
        <v>602</v>
      </c>
      <c r="C243" s="778"/>
      <c r="D243" s="778" t="str">
        <f>IF(O142=5,C228-6,IF(O142=6,C228-2,"-------"))</f>
        <v>-------</v>
      </c>
      <c r="E243" s="778"/>
      <c r="F243" s="778"/>
      <c r="G243" s="778"/>
      <c r="H243" s="778"/>
      <c r="I243" s="1090"/>
      <c r="J243" s="1090"/>
      <c r="K243" s="1090"/>
      <c r="L243" s="1091"/>
      <c r="M243" s="528"/>
      <c r="N243" s="528"/>
      <c r="O243" s="528"/>
      <c r="P243" s="528"/>
      <c r="Q243" s="681"/>
      <c r="R243" s="639"/>
    </row>
    <row r="244" ht="18">
      <c r="A244" s="1021"/>
      <c r="B244" s="776" t="s">
        <v>603</v>
      </c>
      <c r="C244" s="778"/>
      <c r="D244" s="778">
        <f>C228</f>
        <v>350</v>
      </c>
      <c r="E244" s="778"/>
      <c r="F244" s="778"/>
      <c r="G244" s="778"/>
      <c r="H244" s="778"/>
      <c r="I244" s="778"/>
      <c r="J244" s="778"/>
      <c r="K244" s="778"/>
      <c r="L244" s="779"/>
      <c r="M244" s="528"/>
      <c r="N244" s="528"/>
      <c r="O244" s="528"/>
      <c r="P244" s="528"/>
      <c r="Q244" s="681"/>
      <c r="R244" s="639"/>
    </row>
    <row r="245" ht="18.6">
      <c r="A245" s="1021"/>
      <c r="B245" s="786"/>
      <c r="C245" s="787"/>
      <c r="D245" s="787"/>
      <c r="E245" s="787"/>
      <c r="F245" s="787"/>
      <c r="G245" s="787"/>
      <c r="H245" s="787"/>
      <c r="I245" s="787"/>
      <c r="J245" s="787"/>
      <c r="K245" s="787"/>
      <c r="L245" s="788"/>
      <c r="M245" s="528"/>
      <c r="N245" s="528"/>
      <c r="O245" s="528"/>
      <c r="P245" s="528"/>
      <c r="Q245" s="681"/>
      <c r="R245" s="639"/>
    </row>
    <row r="246">
      <c r="A246" s="1014"/>
      <c r="B246" s="1014"/>
      <c r="C246" s="1014"/>
      <c r="D246" s="1014"/>
      <c r="E246" s="1014"/>
      <c r="F246" s="1014"/>
      <c r="G246" s="1014"/>
      <c r="H246" s="1014"/>
      <c r="I246" s="1014"/>
      <c r="J246" s="1014"/>
      <c r="K246" s="1014"/>
      <c r="L246" s="1014"/>
      <c r="M246" s="1014"/>
      <c r="N246" s="1014"/>
      <c r="O246" s="1014"/>
      <c r="P246" s="1014"/>
      <c r="Q246" s="1014"/>
      <c r="R246" s="639"/>
    </row>
  </sheetData>
  <mergeCells>
    <mergeCell ref="D216:E216"/>
    <mergeCell ref="I233:L235"/>
    <mergeCell ref="I241:L243"/>
    <mergeCell ref="A246:Q246"/>
    <mergeCell ref="B158:D158"/>
    <mergeCell ref="J158:L158"/>
    <mergeCell ref="B180:C186"/>
    <mergeCell ref="B189:C195"/>
    <mergeCell ref="B198:C204"/>
    <mergeCell ref="D215:E215"/>
    <mergeCell ref="B157:C157"/>
    <mergeCell ref="J157:K157"/>
    <mergeCell ref="B123:C123"/>
    <mergeCell ref="B124:C124"/>
    <mergeCell ref="D124:E124"/>
    <mergeCell ref="F124:H124"/>
    <mergeCell ref="B125:C125"/>
    <mergeCell ref="K135:N135"/>
    <mergeCell ref="D151:G151"/>
    <mergeCell ref="J151:Q151"/>
    <mergeCell ref="J153:K153"/>
    <mergeCell ref="B155:I155"/>
    <mergeCell ref="J155:Q155"/>
    <mergeCell ref="G107:J107"/>
    <mergeCell ref="L107:N107"/>
    <mergeCell ref="B122:C122"/>
    <mergeCell ref="G108:J108"/>
    <mergeCell ref="L108:N108"/>
    <mergeCell ref="L109:N109"/>
    <mergeCell ref="L110:N110"/>
    <mergeCell ref="L111:N112"/>
    <mergeCell ref="L113:N113"/>
    <mergeCell ref="C114:D114"/>
    <mergeCell ref="E114:F114"/>
    <mergeCell ref="D119:F119"/>
    <mergeCell ref="B120:D120"/>
    <mergeCell ref="B121:C121"/>
    <mergeCell ref="S89:W89"/>
    <mergeCell ref="B101:D101"/>
    <mergeCell ref="K103:O103"/>
    <mergeCell ref="C105:G105"/>
    <mergeCell ref="G106:H106"/>
    <mergeCell ref="L106:N106"/>
    <mergeCell ref="L47:M47"/>
    <mergeCell ref="J48:K48"/>
    <mergeCell ref="L48:M48"/>
    <mergeCell ref="N102:O102"/>
    <mergeCell ref="H67:J67"/>
    <mergeCell ref="H68:J68"/>
    <mergeCell ref="H70:J70"/>
    <mergeCell ref="H73:J73"/>
    <mergeCell ref="H76:J76"/>
    <mergeCell ref="I77:J77"/>
    <mergeCell ref="I78:J78"/>
    <mergeCell ref="E50:G50"/>
    <mergeCell ref="V58:W59"/>
    <mergeCell ref="V28:W29"/>
    <mergeCell ref="A37:Q37"/>
    <mergeCell ref="A38:A245"/>
    <mergeCell ref="M38:Q45"/>
    <mergeCell ref="S41:W41"/>
    <mergeCell ref="I42:J42"/>
    <mergeCell ref="K42:L42"/>
    <mergeCell ref="V42:W43"/>
    <mergeCell ref="J46:K46"/>
    <mergeCell ref="L46:M46"/>
    <mergeCell ref="S73:W73"/>
    <mergeCell ref="H74:J74"/>
    <mergeCell ref="V74:W75"/>
    <mergeCell ref="J47:K47"/>
    <mergeCell ref="S27:W27"/>
    <mergeCell ref="G2:H2"/>
    <mergeCell ref="G3:H3"/>
    <mergeCell ref="H6:K12"/>
    <mergeCell ref="L6:M10"/>
    <mergeCell ref="V6:W7"/>
  </mergeCells>
  <dataValidations count="1">
    <dataValidation type="list" allowBlank="1" showInputMessage="1" showErrorMessage="1" sqref="B3:F3" xr:uid="{5A64F390-2898-4065-9596-FCAB1366830A}">
      <formula1>$AF$1:$AF$8</formula1>
    </dataValidation>
  </dataValidations>
  <pageMargins left="0.7" right="0.7" top="0.75" bottom="0.75" header="0.3" footer="0.3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7345" r:id="rId3" name="Drop Down 1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1</xdr:col>
                    <xdr:colOff>1771650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6" r:id="rId4" name="Drop Down 2">
              <controlPr defaultSize="0" autoLine="0" autoPict="0">
                <anchor moveWithCells="1">
                  <from>
                    <xdr:col>0</xdr:col>
                    <xdr:colOff>0</xdr:colOff>
                    <xdr:row>105</xdr:row>
                    <xdr:rowOff>22860</xdr:rowOff>
                  </from>
                  <to>
                    <xdr:col>1</xdr:col>
                    <xdr:colOff>1771650</xdr:colOff>
                    <xdr:row>106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7" r:id="rId5" name="Drop Down 3">
              <controlPr defaultSize="0" autoLine="0" autoPict="0">
                <anchor moveWithCells="1">
                  <from>
                    <xdr:col>0</xdr:col>
                    <xdr:colOff>0</xdr:colOff>
                    <xdr:row>106</xdr:row>
                    <xdr:rowOff>22860</xdr:rowOff>
                  </from>
                  <to>
                    <xdr:col>1</xdr:col>
                    <xdr:colOff>1771650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8" r:id="rId6" name="Drop Down 4">
              <controlPr defaultSize="0" autoLine="0" autoPict="0">
                <anchor moveWithCells="1">
                  <from>
                    <xdr:col>0</xdr:col>
                    <xdr:colOff>0</xdr:colOff>
                    <xdr:row>110</xdr:row>
                    <xdr:rowOff>7620</xdr:rowOff>
                  </from>
                  <to>
                    <xdr:col>1</xdr:col>
                    <xdr:colOff>1781175</xdr:colOff>
                    <xdr:row>110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49" r:id="rId7" name="Drop Down 5">
              <controlPr defaultSize="0" autoLine="0" autoPict="0">
                <anchor moveWithCells="1">
                  <from>
                    <xdr:col>0</xdr:col>
                    <xdr:colOff>0</xdr:colOff>
                    <xdr:row>111</xdr:row>
                    <xdr:rowOff>7620</xdr:rowOff>
                  </from>
                  <to>
                    <xdr:col>1</xdr:col>
                    <xdr:colOff>1781175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0" r:id="rId8" name="Drop Down 6">
              <controlPr defaultSize="0" autoLine="0" autoPict="0">
                <anchor moveWithCells="1">
                  <from>
                    <xdr:col>0</xdr:col>
                    <xdr:colOff>0</xdr:colOff>
                    <xdr:row>114</xdr:row>
                    <xdr:rowOff>22860</xdr:rowOff>
                  </from>
                  <to>
                    <xdr:col>1</xdr:col>
                    <xdr:colOff>1781175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1" r:id="rId9" name="Drop Down 7">
              <controlPr defaultSize="0" autoLine="0" autoPict="0">
                <anchor moveWithCells="1">
                  <from>
                    <xdr:col>0</xdr:col>
                    <xdr:colOff>0</xdr:colOff>
                    <xdr:row>115</xdr:row>
                    <xdr:rowOff>22860</xdr:rowOff>
                  </from>
                  <to>
                    <xdr:col>1</xdr:col>
                    <xdr:colOff>1781175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2" r:id="rId10" name="Drop Down 8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1781175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3" r:id="rId11" name="Drop Down 9">
              <controlPr defaultSize="0" autoLine="0" autoPict="0">
                <anchor moveWithCells="1">
                  <from>
                    <xdr:col>0</xdr:col>
                    <xdr:colOff>0</xdr:colOff>
                    <xdr:row>113</xdr:row>
                    <xdr:rowOff>22860</xdr:rowOff>
                  </from>
                  <to>
                    <xdr:col>1</xdr:col>
                    <xdr:colOff>1781175</xdr:colOff>
                    <xdr:row>114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4" r:id="rId12" name="Drop Down 10">
              <controlPr defaultSize="0" autoLine="0" autoPict="0">
                <anchor moveWithCells="1">
                  <from>
                    <xdr:col>0</xdr:col>
                    <xdr:colOff>0</xdr:colOff>
                    <xdr:row>128</xdr:row>
                    <xdr:rowOff>22860</xdr:rowOff>
                  </from>
                  <to>
                    <xdr:col>1</xdr:col>
                    <xdr:colOff>1771650</xdr:colOff>
                    <xdr:row>129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5" r:id="rId13" name="Drop Down 11">
              <controlPr defaultSize="0" autoLine="0" autoPict="0">
                <anchor moveWithCells="1">
                  <from>
                    <xdr:col>0</xdr:col>
                    <xdr:colOff>0</xdr:colOff>
                    <xdr:row>129</xdr:row>
                    <xdr:rowOff>7620</xdr:rowOff>
                  </from>
                  <to>
                    <xdr:col>1</xdr:col>
                    <xdr:colOff>1771650</xdr:colOff>
                    <xdr:row>129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6" r:id="rId14" name="Drop Down 12">
              <controlPr defaultSize="0" autoLine="0" autoPict="0">
                <anchor moveWithCells="1">
                  <from>
                    <xdr:col>0</xdr:col>
                    <xdr:colOff>0</xdr:colOff>
                    <xdr:row>130</xdr:row>
                    <xdr:rowOff>7620</xdr:rowOff>
                  </from>
                  <to>
                    <xdr:col>1</xdr:col>
                    <xdr:colOff>1771650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7" r:id="rId15" name="Drop Down 13">
              <controlPr defaultSize="0" autoLine="0" autoPict="0">
                <anchor moveWithCells="1">
                  <from>
                    <xdr:col>0</xdr:col>
                    <xdr:colOff>0</xdr:colOff>
                    <xdr:row>104</xdr:row>
                    <xdr:rowOff>7620</xdr:rowOff>
                  </from>
                  <to>
                    <xdr:col>0</xdr:col>
                    <xdr:colOff>571500</xdr:colOff>
                    <xdr:row>104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8" r:id="rId16" name="Drop Down 14">
              <controlPr defaultSize="0" autoLine="0" autoPict="0">
                <anchor moveWithCells="1">
                  <from>
                    <xdr:col>0</xdr:col>
                    <xdr:colOff>0</xdr:colOff>
                    <xdr:row>116</xdr:row>
                    <xdr:rowOff>7620</xdr:rowOff>
                  </from>
                  <to>
                    <xdr:col>1</xdr:col>
                    <xdr:colOff>657225</xdr:colOff>
                    <xdr:row>116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59" r:id="rId17" name="Drop Down 15">
              <controlPr defaultSize="0" autoLine="0" autoPict="0">
                <anchor moveWithCells="1">
                  <from>
                    <xdr:col>0</xdr:col>
                    <xdr:colOff>0</xdr:colOff>
                    <xdr:row>117</xdr:row>
                    <xdr:rowOff>22860</xdr:rowOff>
                  </from>
                  <to>
                    <xdr:col>1</xdr:col>
                    <xdr:colOff>657225</xdr:colOff>
                    <xdr:row>118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0" r:id="rId18" name="Drop Down 16">
              <controlPr defaultSize="0" autoLine="0" autoPict="0">
                <anchor moveWithCells="1">
                  <from>
                    <xdr:col>0</xdr:col>
                    <xdr:colOff>0</xdr:colOff>
                    <xdr:row>131</xdr:row>
                    <xdr:rowOff>7620</xdr:rowOff>
                  </from>
                  <to>
                    <xdr:col>1</xdr:col>
                    <xdr:colOff>1771650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1" r:id="rId19" name="Drop Down 17">
              <controlPr defaultSize="0" autoLine="0" autoPict="0">
                <anchor moveWithCells="1">
                  <from>
                    <xdr:col>2</xdr:col>
                    <xdr:colOff>7620</xdr:colOff>
                    <xdr:row>105</xdr:row>
                    <xdr:rowOff>7620</xdr:rowOff>
                  </from>
                  <to>
                    <xdr:col>5</xdr:col>
                    <xdr:colOff>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2" r:id="rId20" name="Drop Down 18">
              <controlPr defaultSize="0" autoLine="0" autoPict="0">
                <anchor moveWithCells="1">
                  <from>
                    <xdr:col>2</xdr:col>
                    <xdr:colOff>7620</xdr:colOff>
                    <xdr:row>106</xdr:row>
                    <xdr:rowOff>22860</xdr:rowOff>
                  </from>
                  <to>
                    <xdr:col>5</xdr:col>
                    <xdr:colOff>0</xdr:colOff>
                    <xdr:row>107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3" r:id="rId21" name="Drop Down 19">
              <controlPr defaultSize="0" autoLine="0" autoPict="0">
                <anchor moveWithCells="1">
                  <from>
                    <xdr:col>2</xdr:col>
                    <xdr:colOff>7620</xdr:colOff>
                    <xdr:row>107</xdr:row>
                    <xdr:rowOff>22860</xdr:rowOff>
                  </from>
                  <to>
                    <xdr:col>5</xdr:col>
                    <xdr:colOff>0</xdr:colOff>
                    <xdr:row>108</xdr:row>
                    <xdr:rowOff>45720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4" r:id="rId22" name="Drop Down 20">
              <controlPr defaultSize="0" autoLine="0" autoPict="0">
                <anchor moveWithCells="1">
                  <from>
                    <xdr:col>2</xdr:col>
                    <xdr:colOff>0</xdr:colOff>
                    <xdr:row>111</xdr:row>
                    <xdr:rowOff>7620</xdr:rowOff>
                  </from>
                  <to>
                    <xdr:col>5</xdr:col>
                    <xdr:colOff>0</xdr:colOff>
                    <xdr:row>111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5" r:id="rId23" name="Drop Down 21">
              <controlPr defaultSize="0" autoLine="0" autoPict="0">
                <anchor moveWithCells="1">
                  <from>
                    <xdr:col>2</xdr:col>
                    <xdr:colOff>0</xdr:colOff>
                    <xdr:row>112</xdr:row>
                    <xdr:rowOff>7620</xdr:rowOff>
                  </from>
                  <to>
                    <xdr:col>5</xdr:col>
                    <xdr:colOff>0</xdr:colOff>
                    <xdr:row>112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6" r:id="rId24" name="Drop Down 22">
              <controlPr defaultSize="0" autoLine="0" autoPict="0">
                <anchor moveWithCells="1">
                  <from>
                    <xdr:col>2</xdr:col>
                    <xdr:colOff>0</xdr:colOff>
                    <xdr:row>115</xdr:row>
                    <xdr:rowOff>22860</xdr:rowOff>
                  </from>
                  <to>
                    <xdr:col>5</xdr:col>
                    <xdr:colOff>0</xdr:colOff>
                    <xdr:row>116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7" r:id="rId25" name="Drop Down 23">
              <controlPr defaultSize="0" autoLine="0" autoPict="0">
                <anchor moveWithCells="1">
                  <from>
                    <xdr:col>2</xdr:col>
                    <xdr:colOff>0</xdr:colOff>
                    <xdr:row>116</xdr:row>
                    <xdr:rowOff>22860</xdr:rowOff>
                  </from>
                  <to>
                    <xdr:col>5</xdr:col>
                    <xdr:colOff>0</xdr:colOff>
                    <xdr:row>117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8" r:id="rId26" name="Drop Down 24">
              <controlPr defaultSize="0" autoLine="0" autoPict="0">
                <anchor moveWithCells="1">
                  <from>
                    <xdr:col>2</xdr:col>
                    <xdr:colOff>0</xdr:colOff>
                    <xdr:row>117</xdr:row>
                    <xdr:rowOff>7620</xdr:rowOff>
                  </from>
                  <to>
                    <xdr:col>5</xdr:col>
                    <xdr:colOff>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69" r:id="rId27" name="Drop Down 25">
              <controlPr defaultSize="0" autoLine="0" autoPict="0">
                <anchor moveWithCells="1">
                  <from>
                    <xdr:col>2</xdr:col>
                    <xdr:colOff>0</xdr:colOff>
                    <xdr:row>114</xdr:row>
                    <xdr:rowOff>22860</xdr:rowOff>
                  </from>
                  <to>
                    <xdr:col>5</xdr:col>
                    <xdr:colOff>0</xdr:colOff>
                    <xdr:row>115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0" r:id="rId28" name="Drop Down 26">
              <controlPr defaultSize="0" autoLine="0" autoPict="0">
                <anchor moveWithCells="1">
                  <from>
                    <xdr:col>2</xdr:col>
                    <xdr:colOff>7620</xdr:colOff>
                    <xdr:row>129</xdr:row>
                    <xdr:rowOff>22860</xdr:rowOff>
                  </from>
                  <to>
                    <xdr:col>5</xdr:col>
                    <xdr:colOff>0</xdr:colOff>
                    <xdr:row>130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1" r:id="rId29" name="Drop Down 27">
              <controlPr defaultSize="0" autoLine="0" autoPict="0">
                <anchor moveWithCells="1">
                  <from>
                    <xdr:col>2</xdr:col>
                    <xdr:colOff>7620</xdr:colOff>
                    <xdr:row>130</xdr:row>
                    <xdr:rowOff>7620</xdr:rowOff>
                  </from>
                  <to>
                    <xdr:col>5</xdr:col>
                    <xdr:colOff>0</xdr:colOff>
                    <xdr:row>130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2" r:id="rId30" name="Drop Down 28">
              <controlPr defaultSize="0" autoLine="0" autoPict="0">
                <anchor moveWithCells="1">
                  <from>
                    <xdr:col>2</xdr:col>
                    <xdr:colOff>7620</xdr:colOff>
                    <xdr:row>131</xdr:row>
                    <xdr:rowOff>7620</xdr:rowOff>
                  </from>
                  <to>
                    <xdr:col>5</xdr:col>
                    <xdr:colOff>0</xdr:colOff>
                    <xdr:row>131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3" r:id="rId31" name="Drop Down 29">
              <controlPr defaultSize="0" autoLine="0" autoPict="0">
                <anchor moveWithCells="1">
                  <from>
                    <xdr:col>8</xdr:col>
                    <xdr:colOff>7620</xdr:colOff>
                    <xdr:row>105</xdr:row>
                    <xdr:rowOff>7620</xdr:rowOff>
                  </from>
                  <to>
                    <xdr:col>8</xdr:col>
                    <xdr:colOff>571500</xdr:colOff>
                    <xdr:row>105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4" r:id="rId32" name="Drop Down 30">
              <controlPr defaultSize="0" autoLine="0" autoPict="0">
                <anchor moveWithCells="1">
                  <from>
                    <xdr:col>6</xdr:col>
                    <xdr:colOff>76200</xdr:colOff>
                    <xdr:row>117</xdr:row>
                    <xdr:rowOff>7620</xdr:rowOff>
                  </from>
                  <to>
                    <xdr:col>7</xdr:col>
                    <xdr:colOff>647700</xdr:colOff>
                    <xdr:row>117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5" r:id="rId33" name="Drop Down 31">
              <controlPr defaultSize="0" autoLine="0" autoPict="0">
                <anchor moveWithCells="1">
                  <from>
                    <xdr:col>6</xdr:col>
                    <xdr:colOff>76200</xdr:colOff>
                    <xdr:row>118</xdr:row>
                    <xdr:rowOff>22860</xdr:rowOff>
                  </from>
                  <to>
                    <xdr:col>7</xdr:col>
                    <xdr:colOff>647700</xdr:colOff>
                    <xdr:row>119</xdr:row>
                    <xdr:rowOff>99059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376" r:id="rId34" name="Drop Down 32">
              <controlPr defaultSize="0" autoLine="0" autoPict="0">
                <anchor moveWithCells="1">
                  <from>
                    <xdr:col>2</xdr:col>
                    <xdr:colOff>7620</xdr:colOff>
                    <xdr:row>132</xdr:row>
                    <xdr:rowOff>7620</xdr:rowOff>
                  </from>
                  <to>
                    <xdr:col>5</xdr:col>
                    <xdr:colOff>0</xdr:colOff>
                    <xdr:row>132</xdr:row>
                    <xdr:rowOff>144780</xdr:rowOff>
                  </to>
                </anchor>
              </controlPr>
            </control>
          </mc:Choice>
        </mc:AlternateContent>
      </controls>
    </mc:Choice>
  </mc:AlternateContent>
  <tableParts count="13"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  <tablePart r:id="rId46"/>
    <tablePart r:id="rId47"/>
  </tableParts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6"/>
  <dimension ref="A1:S30"/>
  <sheetViews>
    <sheetView zoomScale="85" zoomScaleNormal="85" workbookViewId="0">
      <selection activeCell="AF16" sqref="AF16"/>
    </sheetView>
  </sheetViews>
  <sheetFormatPr defaultColWidth="9.109375" defaultRowHeight="14.4"/>
  <cols>
    <col min="1" max="1" width="18.5546875" customWidth="1" style="11"/>
    <col min="2" max="3" width="9.109375" customWidth="1" style="1"/>
    <col min="4" max="4" width="10" customWidth="1" style="1"/>
    <col min="5" max="7" width="9.109375" customWidth="1" style="1"/>
    <col min="8" max="8" width="15.109375" customWidth="1" style="1"/>
    <col min="9" max="16384" width="9.109375" customWidth="1" style="1"/>
  </cols>
  <sheetData>
    <row r="1" ht="18" customHeight="1">
      <c r="J1" s="916" t="s">
        <v>334</v>
      </c>
      <c r="K1" s="916"/>
      <c r="L1" s="916"/>
      <c r="M1" s="916"/>
      <c r="N1" s="916"/>
      <c r="O1" s="916"/>
      <c r="P1" s="916"/>
      <c r="Q1" s="916"/>
      <c r="R1" s="916"/>
      <c r="S1" s="916"/>
    </row>
    <row r="2" ht="18" customHeight="1">
      <c r="A2" s="11" t="s">
        <v>335</v>
      </c>
      <c r="B2" s="909">
        <f>Royal!C3</f>
        <v>0</v>
      </c>
      <c r="C2" s="910"/>
      <c r="D2" s="910"/>
      <c r="E2" s="910"/>
      <c r="F2" s="911"/>
      <c r="G2" s="1">
        <v>2</v>
      </c>
      <c r="J2" s="916"/>
      <c r="K2" s="916"/>
      <c r="L2" s="916"/>
      <c r="M2" s="916"/>
      <c r="N2" s="916"/>
      <c r="O2" s="916"/>
      <c r="P2" s="916"/>
      <c r="Q2" s="916"/>
      <c r="R2" s="916"/>
      <c r="S2" s="916"/>
    </row>
    <row r="3" ht="18" customHeight="1">
      <c r="A3" s="11" t="s">
        <v>336</v>
      </c>
      <c r="F3" s="908" t="s">
        <v>337</v>
      </c>
      <c r="G3" s="908"/>
    </row>
    <row r="4" ht="18" customHeight="1">
      <c r="A4" s="11" t="s">
        <v>338</v>
      </c>
      <c r="F4" s="912" t="s">
        <v>339</v>
      </c>
      <c r="G4" s="913"/>
      <c r="H4" s="913"/>
      <c r="I4" s="914"/>
      <c r="J4" s="10"/>
    </row>
    <row r="5" ht="18" customHeight="1">
      <c r="A5" s="11" t="s">
        <v>340</v>
      </c>
      <c r="F5" s="915" t="s">
        <v>341</v>
      </c>
      <c r="G5" s="906"/>
      <c r="H5" s="906"/>
      <c r="I5" s="907"/>
      <c r="J5" s="10"/>
    </row>
    <row r="6" ht="18" customHeight="1">
      <c r="A6" s="11" t="s">
        <v>342</v>
      </c>
      <c r="Q6" s="900"/>
      <c r="R6" s="900"/>
      <c r="S6" s="900"/>
    </row>
    <row r="7" ht="18" customHeight="1">
      <c r="B7" s="180" t="s">
        <v>125</v>
      </c>
      <c r="C7" s="181">
        <f>تسعير!AA33</f>
        <v>400</v>
      </c>
      <c r="D7" s="182" t="s">
        <v>164</v>
      </c>
      <c r="E7" s="183">
        <f>تسعير!X31</f>
        <v>400</v>
      </c>
    </row>
    <row r="8" ht="18" customHeight="1">
      <c r="F8" s="1">
        <v>5</v>
      </c>
    </row>
    <row r="9" ht="18" customHeight="1">
      <c r="A9" s="11" t="s">
        <v>343</v>
      </c>
    </row>
    <row r="10" ht="18" customHeight="1">
      <c r="A10" s="11" t="s">
        <v>344</v>
      </c>
    </row>
    <row r="11" ht="18" customHeight="1">
      <c r="A11" s="11" t="s">
        <v>345</v>
      </c>
      <c r="B11" s="895" t="s">
        <v>346</v>
      </c>
      <c r="C11" s="896"/>
      <c r="D11" s="906" t="s">
        <v>347</v>
      </c>
      <c r="E11" s="907"/>
    </row>
    <row r="12" ht="18" customHeight="1">
      <c r="A12" s="11" t="s">
        <v>348</v>
      </c>
    </row>
    <row r="13" ht="18" customHeight="1">
      <c r="A13" s="11" t="s">
        <v>349</v>
      </c>
    </row>
    <row r="14" ht="18" customHeight="1"/>
    <row r="15" ht="24.6" customHeight="1">
      <c r="A15" s="11" t="s">
        <v>350</v>
      </c>
      <c r="Q15" s="900"/>
      <c r="R15" s="900"/>
      <c r="S15" s="900"/>
    </row>
    <row r="16" ht="18" customHeight="1">
      <c r="C16" s="908" t="s">
        <v>351</v>
      </c>
      <c r="D16" s="908"/>
      <c r="E16" s="908"/>
      <c r="F16" s="1" t="s">
        <v>352</v>
      </c>
    </row>
    <row r="17" ht="18" customHeight="1">
      <c r="A17" s="908" t="s">
        <v>353</v>
      </c>
      <c r="B17" s="908"/>
      <c r="C17" s="908"/>
    </row>
    <row r="18" ht="18" customHeight="1">
      <c r="A18" s="897" t="s">
        <v>354</v>
      </c>
      <c r="B18" s="898"/>
      <c r="C18" s="14">
        <f>'Format Φωτισμου (2)'!B9</f>
        <v>3</v>
      </c>
    </row>
    <row r="19" ht="18" customHeight="1">
      <c r="A19" s="897" t="s">
        <v>355</v>
      </c>
      <c r="B19" s="898"/>
      <c r="C19" s="14">
        <f>'Format Φωτισμου (2)'!B12</f>
        <v>9</v>
      </c>
    </row>
    <row r="20" ht="18" customHeight="1">
      <c r="A20" s="897" t="s">
        <v>356</v>
      </c>
      <c r="B20" s="898"/>
      <c r="C20" s="14">
        <f>C19/C18</f>
        <v>3</v>
      </c>
    </row>
    <row r="21" ht="18" customHeight="1">
      <c r="A21" s="902" t="s">
        <v>357</v>
      </c>
      <c r="B21" s="903"/>
      <c r="C21" s="904">
        <v>20</v>
      </c>
      <c r="D21" s="905"/>
      <c r="E21" s="895" t="s">
        <v>358</v>
      </c>
      <c r="F21" s="896"/>
      <c r="G21" s="896"/>
      <c r="H21" s="14">
        <f>C21/C18</f>
        <v>6.666666666666667</v>
      </c>
      <c r="J21" s="901"/>
      <c r="K21" s="901"/>
      <c r="L21" s="901"/>
      <c r="M21" s="901"/>
      <c r="N21" s="901"/>
      <c r="O21" s="901"/>
      <c r="P21" s="901"/>
      <c r="Q21" s="901"/>
      <c r="R21" s="901"/>
      <c r="S21" s="901"/>
    </row>
    <row r="22" ht="18" customHeight="1">
      <c r="A22" s="897" t="s">
        <v>359</v>
      </c>
      <c r="B22" s="898"/>
      <c r="C22" s="179">
        <v>50</v>
      </c>
      <c r="D22" s="184" t="s">
        <v>360</v>
      </c>
      <c r="J22" s="901"/>
      <c r="K22" s="901"/>
      <c r="L22" s="901"/>
      <c r="M22" s="901"/>
      <c r="N22" s="901"/>
      <c r="O22" s="901"/>
      <c r="P22" s="901"/>
      <c r="Q22" s="901"/>
      <c r="R22" s="901"/>
      <c r="S22" s="901"/>
    </row>
    <row r="23" ht="18" customHeight="1">
      <c r="J23" s="901"/>
      <c r="K23" s="901"/>
      <c r="L23" s="901"/>
      <c r="M23" s="901"/>
      <c r="N23" s="901"/>
      <c r="O23" s="901"/>
      <c r="P23" s="901"/>
      <c r="Q23" s="901"/>
      <c r="R23" s="901"/>
      <c r="S23" s="901"/>
    </row>
    <row r="24" ht="18" customHeight="1"/>
    <row r="25" ht="18" customHeight="1">
      <c r="A25" s="11" t="s">
        <v>361</v>
      </c>
      <c r="J25" s="899"/>
      <c r="K25" s="899"/>
      <c r="L25" s="899"/>
      <c r="M25" s="899"/>
      <c r="N25" s="899"/>
      <c r="O25" s="899"/>
      <c r="P25" s="899"/>
      <c r="Q25" s="899"/>
      <c r="R25" s="15"/>
      <c r="S25" s="10"/>
    </row>
    <row r="26" ht="18" customHeight="1">
      <c r="G26" s="1" t="s">
        <v>362</v>
      </c>
      <c r="H26" s="1" t="s">
        <v>363</v>
      </c>
    </row>
    <row r="27" ht="18" customHeight="1">
      <c r="A27" s="11" t="s">
        <v>364</v>
      </c>
      <c r="G27" s="185">
        <f>IF('Format (2)'!A7=1,'Format (2)'!C19,IF('Format (2)'!A7=2,'Format (2)'!C19,IF('Format (2)'!A7=3,'Format (2)'!C19,IF('Format (2)'!A7=4,'Format (2)'!C19,IF('Format (2)'!A7=5,'Format (2)'!C19,IF('Format (2)'!A7=6,'Format (2)'!E19,IF('Format (2)'!A7=7,'Format (2)'!E19,IF('Format (2)'!A7=8,'Format (2)'!E19,IF('Format (2)'!A7=9,'Format (2)'!E19,IF('Format (2)'!A7=10,'Format (2)'!E19,IF('Format (2)'!A7=11,'Format (2)'!D19,IF('Format (2)'!A7=12,'Format (2)'!F19,IF('Format (2)'!A7=13,'Format (2)'!F19)))))))))))))</f>
        <v>2</v>
      </c>
      <c r="H27" s="185">
        <f>IF('Format (2)'!J8=3,تسجيل2!G27,IF('Format (2)'!J8=1,تسجيل2!G27-2,IF('Format (2)'!J8=2,تسجيل2!G27-1,IF('Format (2)'!J8=4,تسجيل2!G27+1,IF('Format (2)'!J8=5,تسجيل2!G27+2)))))</f>
        <v>2</v>
      </c>
      <c r="J27" s="900"/>
      <c r="K27" s="900"/>
      <c r="L27" s="900"/>
      <c r="M27" s="900"/>
      <c r="N27" s="900"/>
      <c r="O27" s="900"/>
      <c r="P27" s="900"/>
      <c r="Q27" s="900"/>
      <c r="R27" s="900"/>
      <c r="S27" s="900"/>
    </row>
    <row r="28" ht="18" customHeight="1">
      <c r="A28" s="11" t="s">
        <v>365</v>
      </c>
      <c r="G28" s="185">
        <f>IF('Format (2)'!A7=1,'Format (2)'!E31,IF('Format (2)'!A7=2,'Format (2)'!E31,IF('Format (2)'!A7=3,'Format (2)'!E31,IF('Format (2)'!A7=4,'Format (2)'!E31,IF('Format (2)'!A7=5,'Format (2)'!E31,'Format (2)'!U31)))))</f>
        <v>5</v>
      </c>
      <c r="H28" s="185">
        <f>IF('Format (2)'!K14=6,0,IF('Format (2)'!K14=1,-5,IF('Format (2)'!K14=2,-4,IF('Format (2)'!K14=3,-3,IF('Format (2)'!K14=4,-2,IF('Format (2)'!K14=5,-1,IF('Format (2)'!K14=7,1,IF('Format (2)'!K14=8,2,IF('Format (2)'!K14=9,3,IF('Format (2)'!K14=10,4,IF('Format (2)'!K14=11,5,)))))))))))+G28</f>
        <v>5</v>
      </c>
    </row>
    <row r="29" ht="18" customHeight="1">
      <c r="G29" s="185">
        <f>IF(H27=2,2,H27+1)</f>
        <v>2</v>
      </c>
      <c r="H29" s="185">
        <f>IF('Format (2)'!L14=6,0,IF('Format (2)'!L14=1,-5,IF('Format (2)'!L14=2,-4,IF('Format (2)'!L14=3,-3,IF('Format (2)'!L14=4,-2,IF('Format (2)'!L14=5,-1,IF('Format (2)'!L14=7,1,IF('Format (2)'!L14=8,2,IF('Format (2)'!L14=9,3,IF('Format (2)'!L14=10,4,IF('Format (2)'!L14=11,5,)))))))))))+G29</f>
        <v>2</v>
      </c>
      <c r="M29" s="15"/>
      <c r="O29" s="15"/>
    </row>
    <row r="30" ht="18" customHeight="1">
      <c r="A30" s="11" t="s">
        <v>345</v>
      </c>
      <c r="G30" s="185">
        <f>G27</f>
        <v>2</v>
      </c>
      <c r="H30" s="185">
        <f>IF('Format (2)'!M8=3,G30,IF('Format (2)'!M8=1,G30-2,IF('Format (2)'!M8=2,G30-1,IF('Format (2)'!M8=4,G30+1,IF('Format (2)'!M8=5,G30+2)))))</f>
        <v>2</v>
      </c>
    </row>
    <row r="31" ht="18" customHeight="1"/>
    <row r="32" ht="18" customHeight="1"/>
    <row r="33" ht="18" customHeight="1"/>
    <row r="34" ht="18" customHeight="1"/>
  </sheetData>
  <sheetProtection password="C6E5" sheet="1" objects="1" scenarios="1" selectLockedCells="1" selectUnlockedCells="1"/>
  <mergeCells>
    <mergeCell ref="B2:F2"/>
    <mergeCell ref="F3:G3"/>
    <mergeCell ref="F4:I4"/>
    <mergeCell ref="F5:I5"/>
    <mergeCell ref="Q6:S6"/>
    <mergeCell ref="J1:S2"/>
    <mergeCell ref="B11:C11"/>
    <mergeCell ref="D11:E11"/>
    <mergeCell ref="Q15:S15"/>
    <mergeCell ref="C16:E16"/>
    <mergeCell ref="A17:C17"/>
    <mergeCell ref="A18:B18"/>
    <mergeCell ref="A19:B19"/>
    <mergeCell ref="A20:B20"/>
    <mergeCell ref="A21:B21"/>
    <mergeCell ref="C21:D21"/>
    <mergeCell ref="E21:G21"/>
    <mergeCell ref="A22:B22"/>
    <mergeCell ref="J25:Q25"/>
    <mergeCell ref="J27:S27"/>
    <mergeCell ref="J21:S23"/>
  </mergeCells>
  <pageMargins left="0.25" right="0.25" top="0.75" bottom="0.75" header="0.3" footer="0.3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41" r:id="rId3" name="Drop Down 1">
              <controlPr defaultSize="0" autoPict="0">
                <anchor moveWithCells="1">
                  <from>
                    <xdr:col>1</xdr:col>
                    <xdr:colOff>7620</xdr:colOff>
                    <xdr:row>2</xdr:row>
                    <xdr:rowOff>7620</xdr:rowOff>
                  </from>
                  <to>
                    <xdr:col>5</xdr:col>
                    <xdr:colOff>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2" r:id="rId4" name="Drop Down 2">
              <controlPr defaultSize="0" autoPict="0">
                <anchor moveWithCells="1">
                  <from>
                    <xdr:col>1</xdr:col>
                    <xdr:colOff>7620</xdr:colOff>
                    <xdr:row>3</xdr:row>
                    <xdr:rowOff>22860</xdr:rowOff>
                  </from>
                  <to>
                    <xdr:col>5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3" r:id="rId5" name="Drop Down 3">
              <controlPr defaultSize="0" autoPict="0">
                <anchor moveWithCells="1">
                  <from>
                    <xdr:col>1</xdr:col>
                    <xdr:colOff>7620</xdr:colOff>
                    <xdr:row>4</xdr:row>
                    <xdr:rowOff>22860</xdr:rowOff>
                  </from>
                  <to>
                    <xdr:col>5</xdr:col>
                    <xdr:colOff>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4" r:id="rId6" name="Drop Down 4">
              <controlPr defaultSize="0" autoPict="0">
                <anchor moveWithCells="1">
                  <from>
                    <xdr:col>1</xdr:col>
                    <xdr:colOff>0</xdr:colOff>
                    <xdr:row>8</xdr:row>
                    <xdr:rowOff>7620</xdr:rowOff>
                  </from>
                  <to>
                    <xdr:col>5</xdr:col>
                    <xdr:colOff>0</xdr:colOff>
                    <xdr:row>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5" r:id="rId7" name="Drop Down 5">
              <controlPr defaultSize="0" autoPict="0">
                <anchor moveWithCells="1">
                  <from>
                    <xdr:col>1</xdr:col>
                    <xdr:colOff>0</xdr:colOff>
                    <xdr:row>9</xdr:row>
                    <xdr:rowOff>7620</xdr:rowOff>
                  </from>
                  <to>
                    <xdr:col>5</xdr:col>
                    <xdr:colOff>0</xdr:colOff>
                    <xdr:row>9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6" r:id="rId8" name="Drop Down 6">
              <controlPr defaultSize="0" autoPict="0">
                <anchor moveWithCells="1">
                  <from>
                    <xdr:col>1</xdr:col>
                    <xdr:colOff>0</xdr:colOff>
                    <xdr:row>12</xdr:row>
                    <xdr:rowOff>22860</xdr:rowOff>
                  </from>
                  <to>
                    <xdr:col>5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7" r:id="rId9" name="Drop Down 7">
              <controlPr defaultSize="0" autoPict="0">
                <anchor moveWithCells="1">
                  <from>
                    <xdr:col>1</xdr:col>
                    <xdr:colOff>0</xdr:colOff>
                    <xdr:row>13</xdr:row>
                    <xdr:rowOff>22860</xdr:rowOff>
                  </from>
                  <to>
                    <xdr:col>5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8" r:id="rId10" name="Drop Down 8">
              <controlPr defaultSize="0" autoPict="0">
                <anchor moveWithCells="1">
                  <from>
                    <xdr:col>1</xdr:col>
                    <xdr:colOff>0</xdr:colOff>
                    <xdr:row>14</xdr:row>
                    <xdr:rowOff>7620</xdr:rowOff>
                  </from>
                  <to>
                    <xdr:col>5</xdr:col>
                    <xdr:colOff>0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49" r:id="rId11" name="Drop Down 9">
              <controlPr defaultSize="0" autoPict="0">
                <anchor moveWithCells="1">
                  <from>
                    <xdr:col>1</xdr:col>
                    <xdr:colOff>0</xdr:colOff>
                    <xdr:row>11</xdr:row>
                    <xdr:rowOff>22860</xdr:rowOff>
                  </from>
                  <to>
                    <xdr:col>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0" r:id="rId12" name="Drop Down 10">
              <controlPr defaultSize="0" autoPict="0">
                <anchor moveWithCells="1">
                  <from>
                    <xdr:col>1</xdr:col>
                    <xdr:colOff>7620</xdr:colOff>
                    <xdr:row>26</xdr:row>
                    <xdr:rowOff>22860</xdr:rowOff>
                  </from>
                  <to>
                    <xdr:col>5</xdr:col>
                    <xdr:colOff>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1" r:id="rId13" name="Drop Down 11">
              <controlPr defaultSize="0" autoPict="0">
                <anchor moveWithCells="1">
                  <from>
                    <xdr:col>1</xdr:col>
                    <xdr:colOff>7620</xdr:colOff>
                    <xdr:row>27</xdr:row>
                    <xdr:rowOff>7620</xdr:rowOff>
                  </from>
                  <to>
                    <xdr:col>5</xdr:col>
                    <xdr:colOff>0</xdr:colOff>
                    <xdr:row>27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2" r:id="rId14" name="Drop Down 12">
              <controlPr defaultSize="0" autoPict="0">
                <anchor moveWithCells="1">
                  <from>
                    <xdr:col>1</xdr:col>
                    <xdr:colOff>7620</xdr:colOff>
                    <xdr:row>28</xdr:row>
                    <xdr:rowOff>7620</xdr:rowOff>
                  </from>
                  <to>
                    <xdr:col>5</xdr:col>
                    <xdr:colOff>0</xdr:colOff>
                    <xdr:row>28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3" r:id="rId15" name="Drop Down 13">
              <controlPr defaultSize="0" autoPict="0">
                <anchor moveWithCells="1">
                  <from>
                    <xdr:col>7</xdr:col>
                    <xdr:colOff>7620</xdr:colOff>
                    <xdr:row>2</xdr:row>
                    <xdr:rowOff>7620</xdr:rowOff>
                  </from>
                  <to>
                    <xdr:col>8</xdr:col>
                    <xdr:colOff>381000</xdr:colOff>
                    <xdr:row>2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4" r:id="rId16" name="Drop Down 14">
              <controlPr defaultSize="0" autoPict="0">
                <anchor moveWithCells="1">
                  <from>
                    <xdr:col>5</xdr:col>
                    <xdr:colOff>76200</xdr:colOff>
                    <xdr:row>14</xdr:row>
                    <xdr:rowOff>7620</xdr:rowOff>
                  </from>
                  <to>
                    <xdr:col>8</xdr:col>
                    <xdr:colOff>257175</xdr:colOff>
                    <xdr:row>14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5" r:id="rId17" name="Drop Down 15">
              <controlPr defaultSize="0" autoPict="0">
                <anchor moveWithCells="1">
                  <from>
                    <xdr:col>5</xdr:col>
                    <xdr:colOff>76200</xdr:colOff>
                    <xdr:row>15</xdr:row>
                    <xdr:rowOff>22860</xdr:rowOff>
                  </from>
                  <to>
                    <xdr:col>8</xdr:col>
                    <xdr:colOff>257175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56" r:id="rId18" name="Drop Down 16">
              <controlPr defaultSize="0" autoPict="0">
                <anchor moveWithCells="1">
                  <from>
                    <xdr:col>1</xdr:col>
                    <xdr:colOff>7620</xdr:colOff>
                    <xdr:row>29</xdr:row>
                    <xdr:rowOff>7620</xdr:rowOff>
                  </from>
                  <to>
                    <xdr:col>5</xdr:col>
                    <xdr:colOff>0</xdr:colOff>
                    <xdr:row>29</xdr:row>
                    <xdr:rowOff>144780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7"/>
  <dimension ref="A1:AB98"/>
  <sheetViews>
    <sheetView rightToLeft="1" topLeftCell="H4" zoomScale="70" zoomScaleNormal="70" workbookViewId="0">
      <selection activeCell="AA39" sqref="AA39:AB40"/>
    </sheetView>
  </sheetViews>
  <sheetFormatPr defaultColWidth="9.109375" defaultRowHeight="18"/>
  <cols>
    <col min="1" max="1" width="2.6640625" customWidth="1" style="10"/>
    <col min="2" max="5" width="8.6640625" customWidth="1" style="10"/>
    <col min="6" max="6" width="4.88671875" customWidth="1" style="10"/>
    <col min="7" max="7" width="8.33203125" customWidth="1" style="10"/>
    <col min="8" max="8" width="2.6640625" customWidth="1" style="10"/>
    <col min="9" max="12" width="8.6640625" customWidth="1" style="10"/>
    <col min="13" max="13" width="4.88671875" customWidth="1" style="10"/>
    <col min="14" max="14" width="9.109375" customWidth="1" style="59"/>
    <col min="15" max="15" width="14.109375" customWidth="1" style="59"/>
    <col min="16" max="16" width="11.5546875" customWidth="1" style="60"/>
    <col min="17" max="17" width="8.33203125" customWidth="1" style="60"/>
    <col min="18" max="18" width="7.5546875" customWidth="1" style="60"/>
    <col min="19" max="19" width="11.33203125" customWidth="1" style="60"/>
    <col min="20" max="20" width="37.5546875" customWidth="1" style="61"/>
    <col min="21" max="21" width="10.6640625" customWidth="1" style="60"/>
    <col min="22" max="22" width="19" customWidth="1" style="60"/>
    <col min="23" max="23" width="18.109375" customWidth="1" style="60"/>
    <col min="24" max="24" width="25.5546875" customWidth="1" style="60"/>
    <col min="25" max="25" width="8.6640625" customWidth="1" style="60"/>
    <col min="26" max="26" width="10.6640625" customWidth="1" style="60"/>
    <col min="27" max="28" width="9.44140625" customWidth="1" style="62"/>
    <col min="29" max="30" width="9.109375" customWidth="1" style="58"/>
    <col min="31" max="52" width="9.109375" customWidth="1" style="10"/>
    <col min="53" max="16384" width="9.109375" customWidth="1" style="10"/>
  </cols>
  <sheetData>
    <row r="1" ht="40.5" customHeight="1">
      <c r="A1" s="995" t="s">
        <v>605</v>
      </c>
      <c r="B1" s="996"/>
      <c r="C1" s="996"/>
      <c r="D1" s="996"/>
      <c r="E1" s="996"/>
      <c r="F1" s="996"/>
      <c r="G1" s="996"/>
      <c r="H1" s="996"/>
      <c r="I1" s="996"/>
      <c r="J1" s="996"/>
      <c r="K1" s="996"/>
      <c r="L1" s="996"/>
      <c r="M1" s="996"/>
      <c r="N1" s="997"/>
      <c r="O1" s="87"/>
      <c r="P1" s="88"/>
      <c r="Q1" s="88"/>
      <c r="R1" s="88"/>
      <c r="W1" s="136">
        <f>IF(تسعير!T26="سادة",Royal2!J2+20000,IF(تسعير!T26="خشبي",Royal2!J2+40000,0))</f>
        <v>272000</v>
      </c>
      <c r="X1" s="60" t="s">
        <v>367</v>
      </c>
      <c r="Y1" s="136" t="e">
        <f>Royal!#REF!</f>
        <v>#REF!</v>
      </c>
      <c r="Z1" s="151" t="s">
        <v>368</v>
      </c>
      <c r="AA1" s="60"/>
      <c r="AB1" s="60"/>
    </row>
    <row r="2" ht="19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Z2" s="151"/>
      <c r="AA2" s="60"/>
      <c r="AB2" s="60"/>
    </row>
    <row r="3" ht="12.75" customHeight="1">
      <c r="A3" s="1010" t="s">
        <v>335</v>
      </c>
      <c r="B3" s="1010"/>
      <c r="C3" s="1010"/>
      <c r="D3" s="1012">
        <f>تسجيل1!B2</f>
        <v>0</v>
      </c>
      <c r="E3" s="1012"/>
      <c r="F3" s="1012"/>
      <c r="G3" s="1012"/>
      <c r="H3" s="1012"/>
      <c r="I3" s="1012"/>
      <c r="J3" s="1012"/>
      <c r="K3" s="1012"/>
      <c r="L3" s="1012"/>
      <c r="M3" s="998" t="s">
        <v>369</v>
      </c>
      <c r="N3" s="998"/>
      <c r="O3" s="89"/>
      <c r="P3" s="90"/>
      <c r="Q3" s="90"/>
      <c r="R3" s="90"/>
      <c r="Z3" s="151"/>
      <c r="AA3" s="60"/>
      <c r="AB3" s="60"/>
    </row>
    <row r="4" ht="13.5" customHeight="1">
      <c r="A4" s="1011"/>
      <c r="B4" s="1011"/>
      <c r="C4" s="1011"/>
      <c r="D4" s="1013"/>
      <c r="E4" s="1013"/>
      <c r="F4" s="1013"/>
      <c r="G4" s="1012"/>
      <c r="H4" s="1012"/>
      <c r="I4" s="1013"/>
      <c r="J4" s="1013"/>
      <c r="K4" s="1013"/>
      <c r="L4" s="1013"/>
      <c r="M4" s="999"/>
      <c r="N4" s="999"/>
      <c r="O4" s="91"/>
      <c r="P4" s="92"/>
      <c r="Q4" s="92"/>
      <c r="R4" s="92"/>
      <c r="Z4" s="151"/>
      <c r="AA4" s="60"/>
      <c r="AB4" s="60"/>
    </row>
    <row r="5" ht="13.5" customHeight="1">
      <c r="A5" s="1000" t="e">
        <f>Y1</f>
        <v>#REF!</v>
      </c>
      <c r="B5" s="1001"/>
      <c r="C5" s="1002"/>
      <c r="D5" s="1003" t="s">
        <v>368</v>
      </c>
      <c r="E5" s="1004"/>
      <c r="F5" s="1005"/>
      <c r="G5" s="63"/>
      <c r="H5" s="63"/>
      <c r="I5" s="1000">
        <f>W1</f>
        <v>272000</v>
      </c>
      <c r="J5" s="1001"/>
      <c r="K5" s="1002"/>
      <c r="L5" s="1003" t="s">
        <v>370</v>
      </c>
      <c r="M5" s="1004"/>
      <c r="N5" s="1005"/>
      <c r="O5" s="93"/>
      <c r="P5" s="92"/>
      <c r="Q5" s="92"/>
      <c r="R5" s="92"/>
      <c r="Z5" s="151"/>
      <c r="AA5" s="60"/>
      <c r="AB5" s="60"/>
    </row>
    <row r="6" ht="16.5" customHeight="1">
      <c r="A6" s="942" t="s">
        <v>371</v>
      </c>
      <c r="B6" s="943"/>
      <c r="C6" s="944"/>
      <c r="D6" s="936" t="s">
        <v>372</v>
      </c>
      <c r="E6" s="1006" t="s">
        <v>342</v>
      </c>
      <c r="F6" s="1007"/>
      <c r="G6" s="979"/>
      <c r="H6" s="979"/>
      <c r="I6" s="1007"/>
      <c r="J6" s="1008"/>
      <c r="K6" s="1009">
        <f>تسجيل2!C7</f>
        <v>400</v>
      </c>
      <c r="L6" s="1009"/>
      <c r="M6" s="94" t="s">
        <v>373</v>
      </c>
      <c r="N6" s="95">
        <f>تسجيل2!E7</f>
        <v>400</v>
      </c>
      <c r="O6" s="96" t="s">
        <v>127</v>
      </c>
      <c r="P6" s="97"/>
      <c r="Q6" s="97"/>
      <c r="R6" s="97"/>
      <c r="Z6" s="151"/>
      <c r="AA6" s="60"/>
      <c r="AB6" s="60"/>
    </row>
    <row r="7" ht="19.8">
      <c r="A7" s="942"/>
      <c r="B7" s="943"/>
      <c r="C7" s="944"/>
      <c r="D7" s="936"/>
      <c r="E7" s="978" t="s">
        <v>374</v>
      </c>
      <c r="F7" s="979"/>
      <c r="G7" s="979"/>
      <c r="H7" s="979"/>
      <c r="I7" s="979"/>
      <c r="J7" s="980"/>
      <c r="K7" s="981">
        <f>K6*N6/10000</f>
        <v>16</v>
      </c>
      <c r="L7" s="981"/>
      <c r="M7" s="981"/>
      <c r="N7" s="98" t="s">
        <v>375</v>
      </c>
      <c r="O7" s="99">
        <f>AA41/K7</f>
        <v>3707.7311466796359</v>
      </c>
      <c r="S7" s="60" t="s">
        <v>127</v>
      </c>
      <c r="T7" s="61" t="s">
        <v>376</v>
      </c>
      <c r="Z7" s="151"/>
      <c r="AA7" s="60"/>
      <c r="AB7" s="60"/>
    </row>
    <row r="8">
      <c r="A8" s="945"/>
      <c r="B8" s="946"/>
      <c r="C8" s="947"/>
      <c r="D8" s="937"/>
      <c r="E8" s="982" t="s">
        <v>377</v>
      </c>
      <c r="F8" s="983"/>
      <c r="G8" s="983"/>
      <c r="H8" s="983"/>
      <c r="I8" s="983"/>
      <c r="J8" s="984"/>
      <c r="K8" s="985">
        <f>K6-1</f>
        <v>399</v>
      </c>
      <c r="L8" s="985"/>
      <c r="M8" s="100" t="s">
        <v>378</v>
      </c>
      <c r="N8" s="101">
        <f>IF(Format!A7=1,'Format Οδηγων (2)'!R16,IF(Format!A7=2,'Format Οδηγων (2)'!R16,IF(Format!A7=3,'Format Οδηγων (2)'!R16,IF(Format!A7=4,'Format Οδηγων (2)'!R16,IF(Format!A7=5,'Format Οδηγων (2)'!R16,"-------")))))</f>
        <v>372</v>
      </c>
      <c r="O8" s="102">
        <f>O7*K7</f>
        <v>59323.698346874175</v>
      </c>
      <c r="P8" s="103"/>
      <c r="Q8" s="103"/>
      <c r="R8" s="103"/>
      <c r="S8" s="103">
        <f>IF((تسعير!T31=Sheet2!A6),Sheet2!B16,Sheet2!B58)</f>
        <v>950</v>
      </c>
      <c r="T8" s="137">
        <f>((K8*N8)/10000)*1.2</f>
        <v>17.81136</v>
      </c>
      <c r="U8" s="138">
        <f>T8*S8</f>
        <v>16920.792</v>
      </c>
      <c r="Z8" s="151"/>
      <c r="AA8" s="60"/>
      <c r="AB8" s="60"/>
    </row>
    <row r="9">
      <c r="V9" s="90"/>
      <c r="Z9" s="151"/>
      <c r="AA9" s="60"/>
      <c r="AB9" s="60"/>
    </row>
    <row r="10" ht="30" customHeight="1">
      <c r="A10" s="986" t="s">
        <v>379</v>
      </c>
      <c r="B10" s="986"/>
      <c r="C10" s="986"/>
      <c r="D10" s="986"/>
      <c r="E10" s="986"/>
      <c r="F10" s="986"/>
      <c r="G10" s="987" t="s">
        <v>322</v>
      </c>
      <c r="H10" s="987"/>
      <c r="I10" s="987" t="s">
        <v>380</v>
      </c>
      <c r="J10" s="987"/>
      <c r="K10" s="104"/>
      <c r="L10" s="988" t="s">
        <v>364</v>
      </c>
      <c r="M10" s="988"/>
      <c r="N10" s="988"/>
      <c r="O10" s="105"/>
      <c r="P10" s="97"/>
      <c r="Q10" s="97"/>
      <c r="R10" s="97"/>
      <c r="S10" s="90" t="s">
        <v>381</v>
      </c>
      <c r="T10" s="90" t="s">
        <v>382</v>
      </c>
      <c r="U10" s="90" t="s">
        <v>383</v>
      </c>
      <c r="V10" s="90" t="s">
        <v>384</v>
      </c>
      <c r="W10" s="60" t="s">
        <v>385</v>
      </c>
      <c r="X10" s="60" t="s">
        <v>386</v>
      </c>
      <c r="Z10" s="151"/>
      <c r="AA10" s="60"/>
      <c r="AB10" s="60"/>
    </row>
    <row r="11" ht="20.1" customHeight="1">
      <c r="A11" s="989" t="s">
        <v>387</v>
      </c>
      <c r="B11" s="990"/>
      <c r="C11" s="990"/>
      <c r="D11" s="990"/>
      <c r="E11" s="990"/>
      <c r="F11" s="991"/>
      <c r="G11" s="992">
        <f>L11</f>
        <v>2</v>
      </c>
      <c r="H11" s="992"/>
      <c r="I11" s="993">
        <f>'Format διαστασης οδηγου (2)'!F8</f>
        <v>365</v>
      </c>
      <c r="J11" s="993"/>
      <c r="K11" s="106"/>
      <c r="L11" s="988">
        <f>IF((تسعير!T31=Sheet2!A6),2,IF(Format!A7=1,تسجيل2!H27,IF(Format!A7=2,تسجيل2!H27,IF(Format!A7=3,تسجيل2!H27,IF(Format!A7=4,تسجيل2!H27,IF(Format!A7=5,تسجيل2!H27,"-------"))))))</f>
        <v>2</v>
      </c>
      <c r="M11" s="988"/>
      <c r="N11" s="988"/>
      <c r="O11" s="105"/>
      <c r="P11" s="107">
        <f>IF(I11&lt;=500,5,0)</f>
        <v>5</v>
      </c>
      <c r="Q11" s="107">
        <f>IF(I11&gt;500,7,0)</f>
        <v>0</v>
      </c>
      <c r="R11" s="107">
        <f>IF(I11&gt;700,8,0)</f>
        <v>0</v>
      </c>
      <c r="S11" s="103">
        <f>MAX(P11:R11)</f>
        <v>5</v>
      </c>
      <c r="T11" s="139">
        <f>(G11*I11)/S11/100</f>
        <v>1.46</v>
      </c>
      <c r="U11" s="103">
        <f>CEILING(T11,0.5)</f>
        <v>1.5</v>
      </c>
      <c r="V11" s="103">
        <f>U11*S11</f>
        <v>7.5</v>
      </c>
      <c r="W11" s="140">
        <v>4.45627705627706</v>
      </c>
      <c r="X11" s="141">
        <f>($W$1/1000)*W11*V11</f>
        <v>9090.8051948052034</v>
      </c>
      <c r="Z11" s="151"/>
      <c r="AA11" s="60"/>
      <c r="AB11" s="60"/>
    </row>
    <row r="12" ht="20.1" customHeight="1">
      <c r="A12" s="966" t="s">
        <v>388</v>
      </c>
      <c r="B12" s="966"/>
      <c r="C12" s="966"/>
      <c r="D12" s="966"/>
      <c r="E12" s="966"/>
      <c r="F12" s="966"/>
      <c r="G12" s="967">
        <f>IF(L11&gt;2,4,IF(L11=2,2))</f>
        <v>2</v>
      </c>
      <c r="H12" s="967"/>
      <c r="I12" s="968">
        <f>IF(Format!A7=1,IF(L11=2,L17+7,IF(L11=3,L17+1,L17+1)),IF(Format!A7=2,IF(L11=2,L17+8,IF(L11=3,L17+1.5,L17+1.5)),IF(Format!A7=3,IF(L11=2,L17+7,IF(L11=3,L17+1,L17+1)),IF(Format!A7=5,IF(L11=2,L17+11,IF(L11=3,L17+3,L17+3)),IF(Format!A7=4,IF(L11=2,L17+9.5,IF(L11=3,L17+2.25,L17+2.25)),"----")))))</f>
        <v>399</v>
      </c>
      <c r="J12" s="968"/>
      <c r="K12" s="106"/>
      <c r="P12" s="103">
        <f>IF(I12&lt;=300,3,0)</f>
        <v>0</v>
      </c>
      <c r="Q12" s="103">
        <f>IF(I12&gt;300,3.5,0)</f>
        <v>3.5</v>
      </c>
      <c r="R12" s="103">
        <f>IF(I12&gt;350,4,0)</f>
        <v>4</v>
      </c>
      <c r="S12" s="103">
        <f>IF((تسعير!$T$31=Sheet2!$A$6),ROUND(I12/100,0),MAX(P12:R12))</f>
        <v>4</v>
      </c>
      <c r="T12" s="139">
        <f>(G12*I12)/S12/100</f>
        <v>1.995</v>
      </c>
      <c r="U12" s="103">
        <f ref="U12:U21" t="shared" si="0">CEILING(T12,0.25)</f>
        <v>2</v>
      </c>
      <c r="V12" s="103">
        <f ref="V12:V20" t="shared" si="1">G12*S12</f>
        <v>8</v>
      </c>
      <c r="W12" s="140">
        <v>1.86378737541528</v>
      </c>
      <c r="X12" s="141">
        <f>($W$1/1000)*W12*V12</f>
        <v>4055.6013289036496</v>
      </c>
      <c r="Z12" s="151"/>
      <c r="AA12" s="60"/>
      <c r="AB12" s="60"/>
    </row>
    <row r="13" ht="20.1" customHeight="1">
      <c r="A13" s="966" t="s">
        <v>389</v>
      </c>
      <c r="B13" s="966"/>
      <c r="C13" s="966"/>
      <c r="D13" s="966"/>
      <c r="E13" s="966"/>
      <c r="F13" s="966"/>
      <c r="G13" s="967" t="str">
        <f>IF(L11&lt;=3,"0",(L11-3)*2)</f>
        <v>0</v>
      </c>
      <c r="H13" s="967"/>
      <c r="I13" s="968">
        <f>IF(G13="-------","-------",L17-5)</f>
        <v>386</v>
      </c>
      <c r="J13" s="968"/>
      <c r="K13" s="106"/>
      <c r="L13" s="977" t="s">
        <v>390</v>
      </c>
      <c r="M13" s="977"/>
      <c r="N13" s="977"/>
      <c r="O13" s="108"/>
      <c r="P13" s="103">
        <f ref="P13:P20" t="shared" si="2">IF(I13&lt;=300,3,0)</f>
        <v>0</v>
      </c>
      <c r="Q13" s="103">
        <f ref="Q13:Q20" t="shared" si="3">IF(I13&gt;300,3.5,0)</f>
        <v>3.5</v>
      </c>
      <c r="R13" s="103">
        <f ref="R13:R20" t="shared" si="4">IF(I13&gt;350,4,0)</f>
        <v>4</v>
      </c>
      <c r="S13" s="103">
        <f>IF((تسعير!$T$31=Sheet2!$A$6),ROUND(I13/100,0),MAX(P13:R13))</f>
        <v>4</v>
      </c>
      <c r="T13" s="139">
        <f ref="T13:T20" t="shared" si="5">(G13*I13)/S13/100</f>
        <v>0</v>
      </c>
      <c r="U13" s="103">
        <f t="shared" si="0"/>
        <v>0</v>
      </c>
      <c r="V13" s="103">
        <f t="shared" si="1"/>
        <v>0</v>
      </c>
      <c r="W13" s="140">
        <v>1.86378737541528</v>
      </c>
      <c r="X13" s="141">
        <f ref="X13:X20" t="shared" si="6">($W$1/1000)*W13*V13</f>
        <v>0</v>
      </c>
      <c r="Z13" s="151"/>
      <c r="AA13" s="60"/>
      <c r="AB13" s="60"/>
    </row>
    <row r="14" ht="20.1" customHeight="1">
      <c r="A14" s="966" t="s">
        <v>391</v>
      </c>
      <c r="B14" s="966"/>
      <c r="C14" s="966"/>
      <c r="D14" s="966"/>
      <c r="E14" s="966"/>
      <c r="F14" s="966"/>
      <c r="G14" s="967">
        <f>IF(L11&gt;2,2*L14,IF(L11=2,L14))</f>
        <v>5</v>
      </c>
      <c r="H14" s="967"/>
      <c r="I14" s="968">
        <f>I12</f>
        <v>399</v>
      </c>
      <c r="J14" s="968"/>
      <c r="K14" s="106"/>
      <c r="L14" s="109">
        <f>تسجيل2!H28</f>
        <v>5</v>
      </c>
      <c r="M14" s="110" t="s">
        <v>392</v>
      </c>
      <c r="N14" s="109">
        <v>2</v>
      </c>
      <c r="O14" s="111"/>
      <c r="P14" s="103">
        <f t="shared" si="2"/>
        <v>0</v>
      </c>
      <c r="Q14" s="103">
        <f t="shared" si="3"/>
        <v>3.5</v>
      </c>
      <c r="R14" s="103">
        <f t="shared" si="4"/>
        <v>4</v>
      </c>
      <c r="S14" s="103">
        <f>IF((تسعير!$T$31=Sheet2!$A$6),ROUND(I14/100,0),MAX(P14:R14))</f>
        <v>4</v>
      </c>
      <c r="T14" s="139">
        <f t="shared" si="5"/>
        <v>4.9875</v>
      </c>
      <c r="U14" s="103">
        <f>CEILING(T14,0.5)</f>
        <v>5</v>
      </c>
      <c r="V14" s="103">
        <f t="shared" si="1"/>
        <v>20</v>
      </c>
      <c r="W14" s="140">
        <v>1.05172413793103</v>
      </c>
      <c r="X14" s="141">
        <f t="shared" si="6"/>
        <v>5721.3793103448024</v>
      </c>
      <c r="Z14" s="151"/>
      <c r="AA14" s="60"/>
      <c r="AB14" s="60"/>
    </row>
    <row r="15" ht="20.1" customHeight="1">
      <c r="A15" s="966" t="s">
        <v>393</v>
      </c>
      <c r="B15" s="966"/>
      <c r="C15" s="966"/>
      <c r="D15" s="966"/>
      <c r="E15" s="966"/>
      <c r="F15" s="966"/>
      <c r="G15" s="967" t="str">
        <f>IF(L11&lt;=3,"0",(L11-3)*L14)</f>
        <v>0</v>
      </c>
      <c r="H15" s="967"/>
      <c r="I15" s="968">
        <f>IF(G15="-------","---------",I13)</f>
        <v>386</v>
      </c>
      <c r="J15" s="968"/>
      <c r="K15" s="106"/>
      <c r="L15" s="106"/>
      <c r="M15" s="106"/>
      <c r="N15" s="106"/>
      <c r="O15" s="106"/>
      <c r="P15" s="103">
        <f t="shared" si="2"/>
        <v>0</v>
      </c>
      <c r="Q15" s="103">
        <f t="shared" si="3"/>
        <v>3.5</v>
      </c>
      <c r="R15" s="103">
        <f t="shared" si="4"/>
        <v>4</v>
      </c>
      <c r="S15" s="103">
        <f>IF((تسعير!$T$31=Sheet2!$A$6),ROUND(I15/100,0),MAX(P15:R15))</f>
        <v>4</v>
      </c>
      <c r="T15" s="139">
        <f t="shared" si="5"/>
        <v>0</v>
      </c>
      <c r="U15" s="103">
        <f>CEILING(T15,0.5)</f>
        <v>0</v>
      </c>
      <c r="V15" s="103">
        <f t="shared" si="1"/>
        <v>0</v>
      </c>
      <c r="W15" s="140">
        <v>1.05172413793103</v>
      </c>
      <c r="X15" s="141">
        <f t="shared" si="6"/>
        <v>0</v>
      </c>
      <c r="Z15" s="151"/>
      <c r="AA15" s="60"/>
      <c r="AB15" s="60"/>
    </row>
    <row r="16" ht="20.1" customHeight="1">
      <c r="A16" s="966" t="s">
        <v>394</v>
      </c>
      <c r="B16" s="966"/>
      <c r="C16" s="966"/>
      <c r="D16" s="966"/>
      <c r="E16" s="966"/>
      <c r="F16" s="966"/>
      <c r="G16" s="967">
        <v>1</v>
      </c>
      <c r="H16" s="967"/>
      <c r="I16" s="968">
        <f>IF(Format!A7=1,IF(L11=2,L17+5.5,IF(L11=3,L17+2.5,L17+2.5)),IF(Format!A7=2,IF(L11=2,L17+6.5,IF(L11=3,L17+3,L17+3.5)),IF(Format!A7=3,IF(L11=2,L17+5.5,IF(L11=3,L17+3.5,L17+3.5)),IF(Format!A7=4,IF(L11=2,L17+9,IF(L11=3,L17+4.75,L17+4.75)),IF(Format!A7=5,IF(L11=2,L17+10.5,IF(L11=3,L17+5.5,L17+5.5)),"------")))))</f>
        <v>397.5</v>
      </c>
      <c r="J16" s="968"/>
      <c r="K16" s="106"/>
      <c r="L16" s="961" t="s">
        <v>395</v>
      </c>
      <c r="M16" s="961"/>
      <c r="N16" s="961"/>
      <c r="O16" s="111"/>
      <c r="P16" s="103">
        <f t="shared" si="2"/>
        <v>0</v>
      </c>
      <c r="Q16" s="103">
        <f t="shared" si="3"/>
        <v>3.5</v>
      </c>
      <c r="R16" s="103">
        <f t="shared" si="4"/>
        <v>4</v>
      </c>
      <c r="S16" s="103">
        <f>IF((تسعير!$T$31=Sheet2!$A$6),ROUND(I16/100,0),MAX(P16:R16))</f>
        <v>4</v>
      </c>
      <c r="T16" s="139">
        <f t="shared" si="5"/>
        <v>0.99375</v>
      </c>
      <c r="U16" s="103">
        <f>CEILING(T16,0.5)</f>
        <v>1</v>
      </c>
      <c r="V16" s="103">
        <f t="shared" si="1"/>
        <v>4</v>
      </c>
      <c r="W16" s="140">
        <v>1.3948717948718</v>
      </c>
      <c r="X16" s="141">
        <f t="shared" si="6"/>
        <v>1517.6205128205183</v>
      </c>
      <c r="Z16" s="151"/>
      <c r="AA16" s="60"/>
      <c r="AB16" s="60"/>
    </row>
    <row r="17" ht="20.1" customHeight="1">
      <c r="A17" s="966" t="s">
        <v>396</v>
      </c>
      <c r="B17" s="966"/>
      <c r="C17" s="966"/>
      <c r="D17" s="966"/>
      <c r="E17" s="966"/>
      <c r="F17" s="966"/>
      <c r="G17" s="967" t="str">
        <f>IF(L11=2,"0",1)</f>
        <v>0</v>
      </c>
      <c r="H17" s="967"/>
      <c r="I17" s="968">
        <f>IF(G17="-------","-------",IF(Format!A7=1,(L17+3),IF(Format!A7=2,(L17+3.5),IF(Format!A7=3,(L17+3),IF(Format!A7=4,(L17+4.25),IF(Format!A7=5,(L17+5),"--------"))))))</f>
        <v>394.5</v>
      </c>
      <c r="J17" s="968"/>
      <c r="K17" s="106"/>
      <c r="L17" s="976">
        <f>IF(Format!A7=1,(K6-2-6)/(L11-1),IF(Format!A7=2,(K6-2-7)/(L11-1),IF(Format!A7=3,(K6-2-6)/(L11-1),IF(Format!A7=4,(K6-2-8.5)/(L11-1),IF(Format!A7=5,(K6-2-10)/(L11-1),"--------")))))</f>
        <v>391</v>
      </c>
      <c r="M17" s="976"/>
      <c r="N17" s="976"/>
      <c r="O17" s="113"/>
      <c r="P17" s="103">
        <f t="shared" si="2"/>
        <v>0</v>
      </c>
      <c r="Q17" s="103">
        <f t="shared" si="3"/>
        <v>3.5</v>
      </c>
      <c r="R17" s="103">
        <f t="shared" si="4"/>
        <v>4</v>
      </c>
      <c r="S17" s="103">
        <f>IF((تسعير!$T$31=Sheet2!$A$6),ROUND(I17/100,0),MAX(P17:R17))</f>
        <v>4</v>
      </c>
      <c r="T17" s="139">
        <f t="shared" si="5"/>
        <v>0</v>
      </c>
      <c r="U17" s="103">
        <f>CEILING(T17,0.5)</f>
        <v>0</v>
      </c>
      <c r="V17" s="103">
        <f t="shared" si="1"/>
        <v>0</v>
      </c>
      <c r="W17" s="140">
        <v>1.3948717948718</v>
      </c>
      <c r="X17" s="141">
        <f t="shared" si="6"/>
        <v>0</v>
      </c>
      <c r="Z17" s="151"/>
      <c r="AA17" s="60"/>
      <c r="AB17" s="60"/>
    </row>
    <row r="18" ht="20.1" customHeight="1">
      <c r="A18" s="966" t="s">
        <v>397</v>
      </c>
      <c r="B18" s="966"/>
      <c r="C18" s="966"/>
      <c r="D18" s="966"/>
      <c r="E18" s="966"/>
      <c r="F18" s="966"/>
      <c r="G18" s="967" t="str">
        <f>IF(L11&lt;=3,"0",(L11-3))</f>
        <v>0</v>
      </c>
      <c r="H18" s="967"/>
      <c r="I18" s="968">
        <f>IF(G18="-------","-------",L17)</f>
        <v>391</v>
      </c>
      <c r="J18" s="968"/>
      <c r="K18" s="106"/>
      <c r="L18" s="106"/>
      <c r="M18" s="106"/>
      <c r="N18" s="106"/>
      <c r="O18" s="106"/>
      <c r="P18" s="103">
        <f t="shared" si="2"/>
        <v>0</v>
      </c>
      <c r="Q18" s="103">
        <f t="shared" si="3"/>
        <v>3.5</v>
      </c>
      <c r="R18" s="103">
        <f t="shared" si="4"/>
        <v>4</v>
      </c>
      <c r="S18" s="103">
        <f>IF((تسعير!$T$31=Sheet2!$A$6),ROUND(I18/100,0),MAX(P18:R18))</f>
        <v>4</v>
      </c>
      <c r="T18" s="139">
        <f t="shared" si="5"/>
        <v>0</v>
      </c>
      <c r="U18" s="103">
        <f t="shared" si="0"/>
        <v>0</v>
      </c>
      <c r="V18" s="103">
        <f t="shared" si="1"/>
        <v>0</v>
      </c>
      <c r="W18" s="140">
        <v>1.3948717948718</v>
      </c>
      <c r="X18" s="141">
        <f t="shared" si="6"/>
        <v>0</v>
      </c>
      <c r="Z18" s="151"/>
      <c r="AA18" s="60"/>
      <c r="AB18" s="60"/>
    </row>
    <row r="19" ht="20.1" customHeight="1">
      <c r="A19" s="966" t="str">
        <f>IF(Format!H4=1,"Balloon","-------")</f>
        <v>-------</v>
      </c>
      <c r="B19" s="966"/>
      <c r="C19" s="966"/>
      <c r="D19" s="966"/>
      <c r="E19" s="966"/>
      <c r="F19" s="966"/>
      <c r="G19" s="967" t="str">
        <f>IF([1]Format!H4=1,'[1]تقطيع البرجولة'!L14,"0")</f>
        <v>0</v>
      </c>
      <c r="H19" s="967"/>
      <c r="I19" s="968">
        <f>IF(G19="-------","-------",K6-2.5)</f>
        <v>397.5</v>
      </c>
      <c r="J19" s="968"/>
      <c r="K19" s="106"/>
      <c r="L19" s="969" t="s">
        <v>345</v>
      </c>
      <c r="M19" s="970"/>
      <c r="N19" s="971"/>
      <c r="O19" s="111"/>
      <c r="P19" s="103">
        <f t="shared" si="2"/>
        <v>0</v>
      </c>
      <c r="Q19" s="103">
        <f t="shared" si="3"/>
        <v>3.5</v>
      </c>
      <c r="R19" s="103">
        <f t="shared" si="4"/>
        <v>4</v>
      </c>
      <c r="S19" s="103">
        <f>IF((تسعير!$T$31=Sheet2!$A$6),ROUND(I19/100,0),MAX(P19:R19))</f>
        <v>4</v>
      </c>
      <c r="T19" s="139">
        <f t="shared" si="5"/>
        <v>0</v>
      </c>
      <c r="U19" s="103">
        <f t="shared" si="0"/>
        <v>0</v>
      </c>
      <c r="V19" s="103">
        <f t="shared" si="1"/>
        <v>0</v>
      </c>
      <c r="W19" s="103"/>
      <c r="X19" s="141">
        <f t="shared" si="6"/>
        <v>0</v>
      </c>
      <c r="Z19" s="151"/>
      <c r="AA19" s="60"/>
      <c r="AB19" s="60"/>
    </row>
    <row r="20" ht="20.1" customHeight="1">
      <c r="A20" s="972" t="s">
        <v>398</v>
      </c>
      <c r="B20" s="973"/>
      <c r="C20" s="973"/>
      <c r="D20" s="973"/>
      <c r="E20" s="973"/>
      <c r="F20" s="974"/>
      <c r="G20" s="972">
        <f>(G12+G13)/2</f>
        <v>1</v>
      </c>
      <c r="H20" s="973"/>
      <c r="I20" s="968">
        <f>L17-7</f>
        <v>384</v>
      </c>
      <c r="J20" s="968"/>
      <c r="K20" s="106"/>
      <c r="L20" s="114" t="s">
        <v>322</v>
      </c>
      <c r="M20" s="975" t="s">
        <v>399</v>
      </c>
      <c r="N20" s="975"/>
      <c r="O20" s="115"/>
      <c r="P20" s="103">
        <f t="shared" si="2"/>
        <v>0</v>
      </c>
      <c r="Q20" s="103">
        <f t="shared" si="3"/>
        <v>3.5</v>
      </c>
      <c r="R20" s="103">
        <f t="shared" si="4"/>
        <v>4</v>
      </c>
      <c r="S20" s="103">
        <f>IF((تسعير!$T$31=Sheet2!$A$6),ROUND(I20/100,0),MAX(P20:R20))</f>
        <v>4</v>
      </c>
      <c r="T20" s="139">
        <f t="shared" si="5"/>
        <v>0.96</v>
      </c>
      <c r="U20" s="103">
        <f t="shared" si="0"/>
        <v>1</v>
      </c>
      <c r="V20" s="103">
        <f t="shared" si="1"/>
        <v>4</v>
      </c>
      <c r="W20" s="103">
        <v>1.65</v>
      </c>
      <c r="X20" s="141">
        <f t="shared" si="6"/>
        <v>1795.1999999999998</v>
      </c>
      <c r="Z20" s="151"/>
      <c r="AA20" s="60"/>
      <c r="AB20" s="60"/>
    </row>
    <row r="21" ht="20.1" customHeight="1">
      <c r="A21" s="958" t="s">
        <v>400</v>
      </c>
      <c r="B21" s="958"/>
      <c r="C21" s="958"/>
      <c r="D21" s="958"/>
      <c r="E21" s="958"/>
      <c r="F21" s="958"/>
      <c r="G21" s="959">
        <f>L11</f>
        <v>2</v>
      </c>
      <c r="H21" s="959"/>
      <c r="I21" s="960">
        <f>(I11*2)+45</f>
        <v>775</v>
      </c>
      <c r="J21" s="960"/>
      <c r="K21" s="106"/>
      <c r="L21" s="112">
        <f>IF(Format!E7=1,"-------",IF(Format!E7=5,"-------",تسجيل2!H30))</f>
        <v>2</v>
      </c>
      <c r="M21" s="961" t="str">
        <f>IF(L21="-------","-------",تسجيل2!D11)</f>
        <v>4Χ220- 1Χ250</v>
      </c>
      <c r="N21" s="961"/>
      <c r="O21" s="111"/>
      <c r="P21" s="64"/>
      <c r="Q21" s="64"/>
      <c r="R21" s="64"/>
      <c r="S21" s="142">
        <v>1</v>
      </c>
      <c r="T21" s="143">
        <f>(G21*I21)/100</f>
        <v>15.5</v>
      </c>
      <c r="U21" s="142">
        <f t="shared" si="0"/>
        <v>15.5</v>
      </c>
      <c r="V21" s="142">
        <f>U21*S21</f>
        <v>15.5</v>
      </c>
      <c r="W21" s="142">
        <f>Sheet2!B17</f>
        <v>175</v>
      </c>
      <c r="X21" s="144">
        <f>W21*V21</f>
        <v>2712.5</v>
      </c>
      <c r="Z21" s="151"/>
      <c r="AA21" s="60"/>
      <c r="AB21" s="60"/>
    </row>
    <row r="22" ht="20.1" customHeight="1">
      <c r="A22" s="65"/>
      <c r="B22" s="65"/>
      <c r="C22" s="65"/>
      <c r="D22" s="65"/>
      <c r="E22" s="65"/>
      <c r="F22" s="65"/>
      <c r="G22" s="66"/>
      <c r="H22" s="66"/>
      <c r="I22" s="116"/>
      <c r="J22" s="116"/>
      <c r="K22" s="106"/>
      <c r="L22" s="111"/>
      <c r="M22" s="111"/>
      <c r="N22" s="117"/>
      <c r="O22" s="117"/>
      <c r="P22" s="118"/>
      <c r="Q22" s="118"/>
      <c r="R22" s="118"/>
      <c r="X22" s="145">
        <f>SUM(X11:X18,X21)</f>
        <v>23097.906346874173</v>
      </c>
      <c r="Z22" s="151"/>
      <c r="AA22" s="60"/>
      <c r="AB22" s="60"/>
    </row>
    <row r="23" ht="20.1" customHeight="1">
      <c r="A23" s="962" t="s">
        <v>401</v>
      </c>
      <c r="B23" s="963"/>
      <c r="C23" s="963"/>
      <c r="D23" s="963"/>
      <c r="E23" s="964"/>
      <c r="F23" s="67" t="s">
        <v>402</v>
      </c>
      <c r="G23" s="68"/>
      <c r="H23" s="962" t="s">
        <v>403</v>
      </c>
      <c r="I23" s="963"/>
      <c r="J23" s="963"/>
      <c r="K23" s="963"/>
      <c r="L23" s="964"/>
      <c r="M23" s="67" t="s">
        <v>322</v>
      </c>
      <c r="N23" s="119"/>
      <c r="O23" s="119"/>
      <c r="P23" s="120"/>
      <c r="Q23" s="120"/>
      <c r="R23" s="120"/>
      <c r="S23" s="146"/>
      <c r="T23" s="147" t="s">
        <v>404</v>
      </c>
      <c r="U23" s="146" t="s">
        <v>405</v>
      </c>
      <c r="V23" s="146" t="s">
        <v>406</v>
      </c>
      <c r="W23" s="146" t="s">
        <v>407</v>
      </c>
      <c r="X23" s="146" t="s">
        <v>405</v>
      </c>
      <c r="Y23" s="146" t="s">
        <v>406</v>
      </c>
      <c r="Z23" s="160"/>
      <c r="AA23" s="146">
        <v>1</v>
      </c>
      <c r="AB23" s="146">
        <v>2</v>
      </c>
    </row>
    <row r="24" ht="20.1" customHeight="1">
      <c r="A24" s="69">
        <v>1</v>
      </c>
      <c r="B24" s="965" t="s">
        <v>408</v>
      </c>
      <c r="C24" s="965"/>
      <c r="D24" s="965"/>
      <c r="E24" s="965"/>
      <c r="F24" s="70">
        <f>L11</f>
        <v>2</v>
      </c>
      <c r="G24" s="71"/>
      <c r="H24" s="69">
        <v>16</v>
      </c>
      <c r="I24" s="965" t="s">
        <v>350</v>
      </c>
      <c r="J24" s="965"/>
      <c r="K24" s="965"/>
      <c r="L24" s="965"/>
      <c r="M24" s="70">
        <f>IF((تسعير!T31=Sheet2!A6),1,IF(K7&lt;=65,1,2))</f>
        <v>1</v>
      </c>
      <c r="N24" s="119"/>
      <c r="O24" s="119"/>
      <c r="P24" s="121"/>
      <c r="Q24" s="121"/>
      <c r="R24" s="121"/>
      <c r="T24" s="61" t="str">
        <f ref="T24:T38" t="shared" si="7">B24</f>
        <v>بالتة تثبيت البروفيل في الحائط</v>
      </c>
      <c r="U24" s="148"/>
      <c r="V24" s="148">
        <v>130</v>
      </c>
      <c r="W24" s="60" t="str">
        <f ref="W24:W38" t="shared" si="8">I24</f>
        <v>ماتور </v>
      </c>
      <c r="X24" s="148"/>
      <c r="Y24" s="148">
        <f>IF((تسعير!T31=Sheet2!A6),Sheet2!B57,IF((N6&lt;600),Sheet2!B33,IF(N6&gt;=600,Sheet2!B55,0)))</f>
        <v>9000</v>
      </c>
      <c r="Z24" s="151"/>
      <c r="AA24" s="60">
        <f>V24*F24</f>
        <v>260</v>
      </c>
      <c r="AB24" s="60">
        <f ref="AB24:AB38" t="shared" si="9">Y24*M24</f>
        <v>9000</v>
      </c>
    </row>
    <row r="25" ht="20.1" customHeight="1">
      <c r="A25" s="72">
        <v>2</v>
      </c>
      <c r="B25" s="951" t="s">
        <v>409</v>
      </c>
      <c r="C25" s="951"/>
      <c r="D25" s="951"/>
      <c r="E25" s="951"/>
      <c r="F25" s="73">
        <f>L11</f>
        <v>2</v>
      </c>
      <c r="G25" s="71"/>
      <c r="H25" s="72">
        <v>17</v>
      </c>
      <c r="I25" s="951" t="s">
        <v>410</v>
      </c>
      <c r="J25" s="951"/>
      <c r="K25" s="951"/>
      <c r="L25" s="951"/>
      <c r="M25" s="73">
        <f>IF(M34=1,0,1)</f>
        <v>1</v>
      </c>
      <c r="N25" s="119"/>
      <c r="O25" s="119"/>
      <c r="P25" s="121"/>
      <c r="Q25" s="121"/>
      <c r="R25" s="121"/>
      <c r="T25" s="61" t="str">
        <f t="shared" si="7"/>
        <v>لسان مشرشر مع المسمار والصمولة</v>
      </c>
      <c r="U25" s="148"/>
      <c r="V25" s="148">
        <v>22</v>
      </c>
      <c r="W25" s="60" t="str">
        <f t="shared" si="8"/>
        <v>ريموت كنترول </v>
      </c>
      <c r="X25" s="148"/>
      <c r="Y25" s="148">
        <f>Sheet2!B34</f>
        <v>2000</v>
      </c>
      <c r="Z25" s="151"/>
      <c r="AA25" s="60">
        <f ref="AA25:AA38" t="shared" si="10">V25*F25</f>
        <v>44</v>
      </c>
      <c r="AB25" s="60">
        <f t="shared" si="9"/>
        <v>2000</v>
      </c>
    </row>
    <row r="26" ht="20.1" customHeight="1">
      <c r="A26" s="72">
        <v>3</v>
      </c>
      <c r="B26" s="951" t="s">
        <v>411</v>
      </c>
      <c r="C26" s="951"/>
      <c r="D26" s="951"/>
      <c r="E26" s="951"/>
      <c r="F26" s="73">
        <f>M24</f>
        <v>1</v>
      </c>
      <c r="G26" s="71"/>
      <c r="H26" s="72">
        <v>18</v>
      </c>
      <c r="I26" s="951" t="s">
        <v>412</v>
      </c>
      <c r="J26" s="951"/>
      <c r="K26" s="951"/>
      <c r="L26" s="951"/>
      <c r="M26" s="73">
        <f>(F24*2)-M27</f>
        <v>3</v>
      </c>
      <c r="N26" s="119"/>
      <c r="O26" s="119"/>
      <c r="P26" s="121"/>
      <c r="Q26" s="121"/>
      <c r="R26" s="121"/>
      <c r="T26" s="61" t="str">
        <f t="shared" si="7"/>
        <v>غطاء ماتور بلاستيك مع 2 صامولة 8 م</v>
      </c>
      <c r="U26" s="148"/>
      <c r="V26" s="148">
        <v>11</v>
      </c>
      <c r="W26" s="60" t="str">
        <f t="shared" si="8"/>
        <v>بالتة جانبية خلفية مفتوحة (واحدة)</v>
      </c>
      <c r="X26" s="148"/>
      <c r="Y26" s="148">
        <v>53</v>
      </c>
      <c r="Z26" s="151"/>
      <c r="AA26" s="60">
        <f t="shared" si="10"/>
        <v>11</v>
      </c>
      <c r="AB26" s="60">
        <f t="shared" si="9"/>
        <v>159</v>
      </c>
    </row>
    <row r="27" ht="20.1" customHeight="1">
      <c r="A27" s="72">
        <v>4</v>
      </c>
      <c r="B27" s="948" t="s">
        <v>413</v>
      </c>
      <c r="C27" s="949"/>
      <c r="D27" s="949"/>
      <c r="E27" s="950"/>
      <c r="F27" s="73">
        <v>4</v>
      </c>
      <c r="G27" s="71"/>
      <c r="H27" s="72">
        <v>19</v>
      </c>
      <c r="I27" s="951" t="s">
        <v>414</v>
      </c>
      <c r="J27" s="951"/>
      <c r="K27" s="951"/>
      <c r="L27" s="951"/>
      <c r="M27" s="73">
        <f>IF(M24=1,1,0)</f>
        <v>1</v>
      </c>
      <c r="N27" s="119"/>
      <c r="O27" s="119"/>
      <c r="P27" s="121"/>
      <c r="Q27" s="121"/>
      <c r="R27" s="121"/>
      <c r="T27" s="61" t="str">
        <f t="shared" si="7"/>
        <v>غطاء جانبي مداد كبير  بلاستيك (واحدة)</v>
      </c>
      <c r="U27" s="148"/>
      <c r="V27" s="148">
        <v>3.5</v>
      </c>
      <c r="W27" s="60" t="str">
        <f t="shared" si="8"/>
        <v>بالتة جانبية خلفية مغلقة (واحدة)</v>
      </c>
      <c r="X27" s="148"/>
      <c r="Y27" s="148">
        <v>82</v>
      </c>
      <c r="Z27" s="151"/>
      <c r="AA27" s="60">
        <f t="shared" si="10"/>
        <v>14</v>
      </c>
      <c r="AB27" s="60">
        <f t="shared" si="9"/>
        <v>82</v>
      </c>
    </row>
    <row r="28" ht="20.1" customHeight="1">
      <c r="A28" s="72">
        <v>5</v>
      </c>
      <c r="B28" s="948" t="s">
        <v>415</v>
      </c>
      <c r="C28" s="949"/>
      <c r="D28" s="949"/>
      <c r="E28" s="950"/>
      <c r="F28" s="73">
        <f>L14</f>
        <v>5</v>
      </c>
      <c r="G28" s="71"/>
      <c r="H28" s="72">
        <v>20</v>
      </c>
      <c r="I28" s="951" t="s">
        <v>416</v>
      </c>
      <c r="J28" s="951"/>
      <c r="K28" s="951"/>
      <c r="L28" s="951"/>
      <c r="M28" s="73">
        <f>IF(I11&gt;700,G11,0)</f>
        <v>0</v>
      </c>
      <c r="N28" s="119"/>
      <c r="O28" s="119"/>
      <c r="P28" s="121"/>
      <c r="Q28" s="121"/>
      <c r="R28" s="121"/>
      <c r="T28" s="61" t="str">
        <f t="shared" si="7"/>
        <v>غطاء جانبي مداد صغير   بلاستيك (زوج)</v>
      </c>
      <c r="U28" s="148"/>
      <c r="V28" s="148">
        <v>3</v>
      </c>
      <c r="W28" s="60" t="str">
        <f t="shared" si="8"/>
        <v>بالتة تجميع البروفيل (زوج )</v>
      </c>
      <c r="X28" s="148"/>
      <c r="Y28" s="148">
        <v>440</v>
      </c>
      <c r="Z28" s="151"/>
      <c r="AA28" s="60">
        <f t="shared" si="10"/>
        <v>15</v>
      </c>
      <c r="AB28" s="60">
        <f t="shared" si="9"/>
        <v>0</v>
      </c>
    </row>
    <row r="29" ht="20.1" customHeight="1">
      <c r="A29" s="72">
        <v>6</v>
      </c>
      <c r="B29" s="948" t="s">
        <v>417</v>
      </c>
      <c r="C29" s="949"/>
      <c r="D29" s="949"/>
      <c r="E29" s="950"/>
      <c r="F29" s="73">
        <f>L11*2</f>
        <v>4</v>
      </c>
      <c r="G29" s="71"/>
      <c r="H29" s="72">
        <v>21</v>
      </c>
      <c r="I29" s="951" t="s">
        <v>418</v>
      </c>
      <c r="J29" s="951"/>
      <c r="K29" s="951"/>
      <c r="L29" s="951"/>
      <c r="M29" s="122">
        <f>F24</f>
        <v>2</v>
      </c>
      <c r="N29" s="119"/>
      <c r="O29" s="119"/>
      <c r="P29" s="121"/>
      <c r="Q29" s="121"/>
      <c r="R29" s="121"/>
      <c r="T29" s="61" t="str">
        <f t="shared" si="7"/>
        <v>طبة بلاستيك مدور للمداد الكبير</v>
      </c>
      <c r="U29" s="148"/>
      <c r="V29" s="148">
        <v>2</v>
      </c>
      <c r="W29" s="60" t="str">
        <f t="shared" si="8"/>
        <v>طقم اكسسوار امامي بالغطاء الالومنيوم</v>
      </c>
      <c r="X29" s="148"/>
      <c r="Y29" s="148">
        <f>Sheet2!B35</f>
        <v>750</v>
      </c>
      <c r="Z29" s="151"/>
      <c r="AA29" s="60">
        <f t="shared" si="10"/>
        <v>8</v>
      </c>
      <c r="AB29" s="60">
        <f t="shared" si="9"/>
        <v>1500</v>
      </c>
    </row>
    <row r="30" ht="20.1" customHeight="1">
      <c r="A30" s="72">
        <v>7</v>
      </c>
      <c r="B30" s="948" t="s">
        <v>419</v>
      </c>
      <c r="C30" s="949"/>
      <c r="D30" s="949"/>
      <c r="E30" s="950"/>
      <c r="F30" s="73">
        <f>L14*L11</f>
        <v>10</v>
      </c>
      <c r="G30" s="71"/>
      <c r="H30" s="72">
        <v>22</v>
      </c>
      <c r="I30" s="951" t="s">
        <v>420</v>
      </c>
      <c r="J30" s="951"/>
      <c r="K30" s="951"/>
      <c r="L30" s="951"/>
      <c r="M30" s="122">
        <f>F24</f>
        <v>2</v>
      </c>
      <c r="N30" s="119"/>
      <c r="O30" s="119"/>
      <c r="P30" s="121"/>
      <c r="Q30" s="121"/>
      <c r="R30" s="121"/>
      <c r="T30" s="61" t="str">
        <f t="shared" si="7"/>
        <v>طبة بلاستيك مدور للمداد الصغير</v>
      </c>
      <c r="U30" s="148"/>
      <c r="V30" s="148">
        <v>2</v>
      </c>
      <c r="W30" s="60" t="str">
        <f t="shared" si="8"/>
        <v>طقم اكسسوار خلفي</v>
      </c>
      <c r="X30" s="148">
        <v>0</v>
      </c>
      <c r="Y30" s="148">
        <f>Sheet2!B36</f>
        <v>750</v>
      </c>
      <c r="Z30" s="151"/>
      <c r="AA30" s="60">
        <f t="shared" si="10"/>
        <v>20</v>
      </c>
      <c r="AB30" s="60">
        <f t="shared" si="9"/>
        <v>1500</v>
      </c>
    </row>
    <row r="31" ht="20.1" customHeight="1">
      <c r="A31" s="72">
        <v>8</v>
      </c>
      <c r="B31" s="948" t="s">
        <v>421</v>
      </c>
      <c r="C31" s="949"/>
      <c r="D31" s="949"/>
      <c r="E31" s="950"/>
      <c r="F31" s="73">
        <f>(L14+N14)*2</f>
        <v>14</v>
      </c>
      <c r="G31" s="71"/>
      <c r="H31" s="72">
        <v>23</v>
      </c>
      <c r="I31" s="951" t="s">
        <v>422</v>
      </c>
      <c r="J31" s="951"/>
      <c r="K31" s="951"/>
      <c r="L31" s="951"/>
      <c r="M31" s="73">
        <f>F30</f>
        <v>10</v>
      </c>
      <c r="N31" s="119"/>
      <c r="O31" s="119"/>
      <c r="P31" s="121"/>
      <c r="Q31" s="121"/>
      <c r="R31" s="121"/>
      <c r="T31" s="61" t="str">
        <f t="shared" si="7"/>
        <v> وردة بلاستيك شد البى فى سي </v>
      </c>
      <c r="U31" s="148"/>
      <c r="V31" s="148">
        <v>2</v>
      </c>
      <c r="W31" s="60" t="str">
        <f t="shared" si="8"/>
        <v>عربية صغيرة بالصامولة + جلبة بلاستيك</v>
      </c>
      <c r="X31" s="148"/>
      <c r="Y31" s="148">
        <v>80</v>
      </c>
      <c r="Z31" s="151"/>
      <c r="AA31" s="60">
        <f t="shared" si="10"/>
        <v>28</v>
      </c>
      <c r="AB31" s="60">
        <f t="shared" si="9"/>
        <v>800</v>
      </c>
    </row>
    <row r="32" ht="20.1" customHeight="1">
      <c r="A32" s="72">
        <v>9</v>
      </c>
      <c r="B32" s="948" t="s">
        <v>423</v>
      </c>
      <c r="C32" s="949"/>
      <c r="D32" s="949"/>
      <c r="E32" s="950"/>
      <c r="F32" s="73">
        <f>(L14+N14)*2</f>
        <v>14</v>
      </c>
      <c r="G32" s="71"/>
      <c r="H32" s="72">
        <v>24</v>
      </c>
      <c r="I32" s="951" t="s">
        <v>424</v>
      </c>
      <c r="J32" s="951"/>
      <c r="K32" s="951"/>
      <c r="L32" s="951"/>
      <c r="M32" s="122">
        <f>F24</f>
        <v>2</v>
      </c>
      <c r="N32" s="119"/>
      <c r="O32" s="119"/>
      <c r="P32" s="121"/>
      <c r="Q32" s="121"/>
      <c r="R32" s="121"/>
      <c r="T32" s="61" t="str">
        <f t="shared" si="7"/>
        <v>مسمار سن صاج لشد البلاستيك </v>
      </c>
      <c r="U32" s="148"/>
      <c r="V32" s="148">
        <v>5</v>
      </c>
      <c r="W32" s="60" t="str">
        <f t="shared" si="8"/>
        <v>عربية كبيرة بالسان و 5مسامير +جلبة بلاستيك</v>
      </c>
      <c r="X32" s="148">
        <v>0</v>
      </c>
      <c r="Y32" s="148">
        <v>90</v>
      </c>
      <c r="Z32" s="151"/>
      <c r="AA32" s="60">
        <f t="shared" si="10"/>
        <v>70</v>
      </c>
      <c r="AB32" s="60">
        <f t="shared" si="9"/>
        <v>180</v>
      </c>
    </row>
    <row r="33" ht="20.1" customHeight="1" s="58" customFormat="1">
      <c r="A33" s="72">
        <v>10</v>
      </c>
      <c r="B33" s="948" t="s">
        <v>425</v>
      </c>
      <c r="C33" s="949"/>
      <c r="D33" s="949"/>
      <c r="E33" s="950"/>
      <c r="F33" s="73">
        <f>L11*3</f>
        <v>6</v>
      </c>
      <c r="G33" s="71"/>
      <c r="H33" s="72">
        <v>25</v>
      </c>
      <c r="I33" s="951" t="s">
        <v>426</v>
      </c>
      <c r="J33" s="951"/>
      <c r="K33" s="951"/>
      <c r="L33" s="951"/>
      <c r="M33" s="73">
        <f>F24</f>
        <v>2</v>
      </c>
      <c r="N33" s="119"/>
      <c r="O33" s="119"/>
      <c r="P33" s="121"/>
      <c r="Q33" s="121"/>
      <c r="R33" s="121"/>
      <c r="S33" s="60"/>
      <c r="T33" s="61" t="str">
        <f t="shared" si="7"/>
        <v>مسمار   مجلفن 12M × 80 </v>
      </c>
      <c r="U33" s="148"/>
      <c r="V33" s="148">
        <v>3.5</v>
      </c>
      <c r="W33" s="60" t="str">
        <f t="shared" si="8"/>
        <v>بالتات امامية باللوجو (زوج)</v>
      </c>
      <c r="X33" s="148"/>
      <c r="Y33" s="148">
        <v>165</v>
      </c>
      <c r="Z33" s="151"/>
      <c r="AA33" s="60">
        <f t="shared" si="10"/>
        <v>21</v>
      </c>
      <c r="AB33" s="60">
        <f t="shared" si="9"/>
        <v>330</v>
      </c>
    </row>
    <row r="34" ht="20.1" customHeight="1" s="58" customFormat="1">
      <c r="A34" s="72">
        <v>11</v>
      </c>
      <c r="B34" s="948" t="s">
        <v>427</v>
      </c>
      <c r="C34" s="949"/>
      <c r="D34" s="949"/>
      <c r="E34" s="950"/>
      <c r="F34" s="73">
        <f>L11*3</f>
        <v>6</v>
      </c>
      <c r="G34" s="71"/>
      <c r="H34" s="72">
        <v>26</v>
      </c>
      <c r="I34" s="951" t="s">
        <v>428</v>
      </c>
      <c r="J34" s="951"/>
      <c r="K34" s="951"/>
      <c r="L34" s="951"/>
      <c r="M34" s="73">
        <f>IF(M24=2,1,0)</f>
        <v>0</v>
      </c>
      <c r="N34" s="119"/>
      <c r="O34" s="119"/>
      <c r="P34" s="121"/>
      <c r="Q34" s="121"/>
      <c r="R34" s="121"/>
      <c r="S34" s="60"/>
      <c r="T34" s="61" t="str">
        <f t="shared" si="7"/>
        <v>صامولة مجلفنة 12M</v>
      </c>
      <c r="U34" s="148"/>
      <c r="V34" s="148">
        <v>3.5</v>
      </c>
      <c r="W34" s="60" t="str">
        <f t="shared" si="8"/>
        <v>جهاز كونترول للمواتير</v>
      </c>
      <c r="X34" s="148"/>
      <c r="Y34" s="148">
        <f>Sheet2!B37</f>
        <v>5000</v>
      </c>
      <c r="Z34" s="151"/>
      <c r="AA34" s="60">
        <f t="shared" si="10"/>
        <v>21</v>
      </c>
      <c r="AB34" s="60">
        <f t="shared" si="9"/>
        <v>0</v>
      </c>
    </row>
    <row r="35" ht="20.1" customHeight="1" s="58" customFormat="1">
      <c r="A35" s="72">
        <v>12</v>
      </c>
      <c r="B35" s="948" t="s">
        <v>429</v>
      </c>
      <c r="C35" s="949"/>
      <c r="D35" s="949"/>
      <c r="E35" s="950"/>
      <c r="F35" s="73" t="str">
        <f>IF(L11&gt;2,(L11-2)*2,"0")</f>
        <v>0</v>
      </c>
      <c r="G35" s="74"/>
      <c r="H35" s="72">
        <v>27</v>
      </c>
      <c r="I35" s="951" t="s">
        <v>430</v>
      </c>
      <c r="J35" s="951"/>
      <c r="K35" s="951"/>
      <c r="L35" s="951"/>
      <c r="M35" s="73">
        <f>M34</f>
        <v>0</v>
      </c>
      <c r="N35" s="119"/>
      <c r="O35" s="119"/>
      <c r="P35" s="121"/>
      <c r="Q35" s="121"/>
      <c r="R35" s="121"/>
      <c r="S35" s="121">
        <v>0.385</v>
      </c>
      <c r="T35" s="61" t="str">
        <f t="shared" si="7"/>
        <v>وصلة مداد كبير </v>
      </c>
      <c r="U35" s="148"/>
      <c r="V35" s="148">
        <v>45</v>
      </c>
      <c r="W35" s="60" t="str">
        <f t="shared" si="8"/>
        <v>مفتاح تشغيل</v>
      </c>
      <c r="X35" s="148"/>
      <c r="Y35" s="148">
        <f>Sheet2!B38</f>
        <v>800</v>
      </c>
      <c r="Z35" s="151"/>
      <c r="AA35" s="60">
        <f t="shared" si="10"/>
        <v>0</v>
      </c>
      <c r="AB35" s="60">
        <f t="shared" si="9"/>
        <v>0</v>
      </c>
    </row>
    <row r="36" ht="20.1" customHeight="1" s="58" customFormat="1">
      <c r="A36" s="72">
        <v>13</v>
      </c>
      <c r="B36" s="948" t="s">
        <v>431</v>
      </c>
      <c r="C36" s="949"/>
      <c r="D36" s="949"/>
      <c r="E36" s="950"/>
      <c r="F36" s="73" t="str">
        <f>IF(L11&gt;2,(L11-2)*L14,"0")</f>
        <v>0</v>
      </c>
      <c r="G36" s="74"/>
      <c r="H36" s="72">
        <v>28</v>
      </c>
      <c r="I36" s="951" t="s">
        <v>432</v>
      </c>
      <c r="J36" s="951"/>
      <c r="K36" s="951"/>
      <c r="L36" s="951"/>
      <c r="M36" s="73">
        <f>G20</f>
        <v>1</v>
      </c>
      <c r="N36" s="119"/>
      <c r="O36" s="119"/>
      <c r="P36" s="121"/>
      <c r="Q36" s="121"/>
      <c r="R36" s="121"/>
      <c r="S36" s="121">
        <v>0.2</v>
      </c>
      <c r="T36" s="61" t="str">
        <f t="shared" si="7"/>
        <v>وصلة مداد صغير </v>
      </c>
      <c r="U36" s="148"/>
      <c r="V36" s="148">
        <v>30</v>
      </c>
      <c r="W36" s="60" t="str">
        <f t="shared" si="8"/>
        <v>زاوية تثبيت المرايه الخلفية زوج </v>
      </c>
      <c r="X36" s="148"/>
      <c r="Y36" s="148">
        <v>100</v>
      </c>
      <c r="Z36" s="151"/>
      <c r="AA36" s="60">
        <f t="shared" si="10"/>
        <v>0</v>
      </c>
      <c r="AB36" s="60">
        <f t="shared" si="9"/>
        <v>100</v>
      </c>
    </row>
    <row r="37" ht="20.1" customHeight="1" s="58" customFormat="1">
      <c r="A37" s="72">
        <v>14</v>
      </c>
      <c r="B37" s="948" t="s">
        <v>433</v>
      </c>
      <c r="C37" s="949"/>
      <c r="D37" s="949"/>
      <c r="E37" s="950"/>
      <c r="F37" s="73">
        <f>M24</f>
        <v>1</v>
      </c>
      <c r="G37" s="74"/>
      <c r="H37" s="72">
        <v>29</v>
      </c>
      <c r="I37" s="951" t="s">
        <v>434</v>
      </c>
      <c r="J37" s="951"/>
      <c r="K37" s="951"/>
      <c r="L37" s="951"/>
      <c r="M37" s="73">
        <f>F24</f>
        <v>2</v>
      </c>
      <c r="N37" s="119"/>
      <c r="O37" s="119"/>
      <c r="P37" s="121"/>
      <c r="Q37" s="121"/>
      <c r="R37" s="121"/>
      <c r="S37" s="60"/>
      <c r="T37" s="61" t="str">
        <f t="shared" si="7"/>
        <v>ويل و كراون و بسكوتة ستانلس</v>
      </c>
      <c r="U37" s="148"/>
      <c r="V37" s="148">
        <v>52</v>
      </c>
      <c r="W37" s="60" t="str">
        <f t="shared" si="8"/>
        <v>حرف U اتثبيت المجري من الامام</v>
      </c>
      <c r="X37" s="148"/>
      <c r="Y37" s="148">
        <v>45</v>
      </c>
      <c r="Z37" s="151"/>
      <c r="AA37" s="60">
        <f t="shared" si="10"/>
        <v>52</v>
      </c>
      <c r="AB37" s="60">
        <f t="shared" si="9"/>
        <v>90</v>
      </c>
    </row>
    <row r="38" ht="18.6" customHeight="1" s="58" customFormat="1">
      <c r="A38" s="72">
        <v>15</v>
      </c>
      <c r="B38" s="951" t="s">
        <v>435</v>
      </c>
      <c r="C38" s="951"/>
      <c r="D38" s="951"/>
      <c r="E38" s="951"/>
      <c r="F38" s="73">
        <f>تسجيل1!C21</f>
        <v>20</v>
      </c>
      <c r="G38" s="74"/>
      <c r="H38" s="72">
        <v>30</v>
      </c>
      <c r="I38" s="951" t="s">
        <v>436</v>
      </c>
      <c r="J38" s="951"/>
      <c r="K38" s="951"/>
      <c r="L38" s="951"/>
      <c r="M38" s="73">
        <f>IF((تسعير!T31=Sheet2!A6),0,(I11*4)/100)</f>
        <v>0</v>
      </c>
      <c r="N38" s="119"/>
      <c r="O38" s="119"/>
      <c r="P38" s="121"/>
      <c r="Q38" s="121"/>
      <c r="R38" s="121"/>
      <c r="S38" s="60"/>
      <c r="T38" s="61" t="str">
        <f t="shared" si="7"/>
        <v>لمبات ليد بالغطاء و الدويل و وش ستانلس</v>
      </c>
      <c r="U38" s="148"/>
      <c r="V38" s="148">
        <f>Sheet2!B39</f>
        <v>150</v>
      </c>
      <c r="W38" s="60" t="str">
        <f t="shared" si="8"/>
        <v>مانع المياه للبروفيل</v>
      </c>
      <c r="X38" s="148"/>
      <c r="Y38" s="148">
        <v>3.5</v>
      </c>
      <c r="Z38" s="151"/>
      <c r="AA38" s="60">
        <f t="shared" si="10"/>
        <v>3000</v>
      </c>
      <c r="AB38" s="60">
        <f t="shared" si="9"/>
        <v>0</v>
      </c>
    </row>
    <row r="39" ht="15.6" customHeight="1" s="58" customFormat="1">
      <c r="A39" s="75"/>
      <c r="B39" s="10"/>
      <c r="C39" s="10"/>
      <c r="D39" s="10"/>
      <c r="E39" s="10"/>
      <c r="F39" s="76"/>
      <c r="G39" s="68"/>
      <c r="H39" s="75"/>
      <c r="I39" s="81"/>
      <c r="J39" s="81"/>
      <c r="K39" s="81"/>
      <c r="L39" s="81"/>
      <c r="M39" s="76"/>
      <c r="N39" s="119"/>
      <c r="O39" s="119"/>
      <c r="P39" s="121"/>
      <c r="Q39" s="121"/>
      <c r="R39" s="121"/>
      <c r="S39" s="60"/>
      <c r="T39" s="149"/>
      <c r="U39" s="150"/>
      <c r="V39" s="150"/>
      <c r="W39" s="150"/>
      <c r="X39" s="150"/>
      <c r="Y39" s="150"/>
      <c r="Z39" s="161"/>
      <c r="AA39" s="938">
        <f>SUM(AA24:AB38)</f>
        <v>19305</v>
      </c>
      <c r="AB39" s="938"/>
    </row>
    <row r="40" ht="20.4" customHeight="1" s="58" customFormat="1">
      <c r="A40" s="952" t="s">
        <v>437</v>
      </c>
      <c r="B40" s="953"/>
      <c r="C40" s="953"/>
      <c r="D40" s="78"/>
      <c r="E40" s="78"/>
      <c r="F40" s="77"/>
      <c r="G40" s="79"/>
      <c r="H40" s="80"/>
      <c r="I40" s="123"/>
      <c r="J40" s="123"/>
      <c r="K40" s="123"/>
      <c r="L40" s="78"/>
      <c r="M40" s="124"/>
      <c r="N40" s="125"/>
      <c r="O40" s="126"/>
      <c r="P40" s="127"/>
      <c r="Q40" s="127"/>
      <c r="R40" s="127"/>
      <c r="S40" s="151"/>
      <c r="T40" s="152"/>
      <c r="U40" s="153"/>
      <c r="V40" s="153"/>
      <c r="W40" s="153"/>
      <c r="X40" s="153"/>
      <c r="Y40" s="153"/>
      <c r="Z40" s="162"/>
      <c r="AA40" s="938"/>
      <c r="AB40" s="938"/>
    </row>
    <row r="41" ht="18.75" customHeight="1" s="58" customFormat="1">
      <c r="A41" s="939" t="str">
        <f>IF(Format!I5=1,"-------",IF(Format!I5=2,Format!I3,Format!I4))</f>
        <v>صونفي </v>
      </c>
      <c r="B41" s="940"/>
      <c r="C41" s="941"/>
      <c r="D41" s="81"/>
      <c r="E41" s="81"/>
      <c r="F41" s="76"/>
      <c r="G41" s="68"/>
      <c r="H41" s="75"/>
      <c r="I41" s="81"/>
      <c r="J41" s="81"/>
      <c r="K41" s="81"/>
      <c r="L41" s="954" t="s">
        <v>338</v>
      </c>
      <c r="M41" s="955"/>
      <c r="N41" s="956"/>
      <c r="O41" s="128"/>
      <c r="P41" s="127"/>
      <c r="Q41" s="127"/>
      <c r="R41" s="127"/>
      <c r="S41" s="151"/>
      <c r="T41" s="154"/>
      <c r="U41" s="60"/>
      <c r="V41" s="60"/>
      <c r="W41" s="60"/>
      <c r="X41" s="60"/>
      <c r="Y41" s="60"/>
      <c r="Z41" s="151"/>
      <c r="AA41" s="957">
        <f>AA39+X22+U8</f>
        <v>59323.698346874175</v>
      </c>
      <c r="AB41" s="957"/>
    </row>
    <row r="42" ht="13.95" customHeight="1" s="58" customFormat="1">
      <c r="A42" s="939"/>
      <c r="B42" s="940"/>
      <c r="C42" s="941"/>
      <c r="D42" s="10"/>
      <c r="E42" s="10"/>
      <c r="F42" s="10"/>
      <c r="G42" s="10"/>
      <c r="H42" s="10"/>
      <c r="I42" s="10"/>
      <c r="J42" s="10"/>
      <c r="K42" s="10"/>
      <c r="L42" s="917" t="str">
        <f>IF(Format!B5=1,Format!B2,IF(Format!B5=2,Format!B3,تسجيل1!F4))</f>
        <v>بيج  Ral 1013</v>
      </c>
      <c r="M42" s="918"/>
      <c r="N42" s="919"/>
      <c r="O42" s="66"/>
      <c r="P42" s="118"/>
      <c r="Q42" s="118"/>
      <c r="R42" s="118"/>
      <c r="S42" s="151"/>
      <c r="T42" s="154"/>
      <c r="U42" s="60"/>
      <c r="V42" s="60"/>
      <c r="W42" s="60"/>
      <c r="X42" s="60"/>
      <c r="Y42" s="60"/>
      <c r="Z42" s="151"/>
      <c r="AA42" s="60"/>
      <c r="AB42" s="60"/>
    </row>
    <row r="43" ht="15" customHeight="1" s="58" customFormat="1">
      <c r="A43" s="920" t="str">
        <f>IF(Format!P5=1,"Τηλεχειρισμος",IF(Format!P5=2,"-------","Διακοπτης"))</f>
        <v>Τηλεχειρισμος</v>
      </c>
      <c r="B43" s="921"/>
      <c r="C43" s="922"/>
      <c r="D43" s="10"/>
      <c r="E43" s="10"/>
      <c r="F43" s="10"/>
      <c r="G43" s="10"/>
      <c r="H43" s="10"/>
      <c r="I43" s="10"/>
      <c r="J43" s="10"/>
      <c r="K43" s="10"/>
      <c r="L43" s="923" t="s">
        <v>340</v>
      </c>
      <c r="M43" s="924"/>
      <c r="N43" s="925"/>
      <c r="O43" s="129"/>
      <c r="P43" s="130"/>
      <c r="Q43" s="130"/>
      <c r="R43" s="130"/>
      <c r="S43" s="151"/>
      <c r="T43" s="154"/>
      <c r="U43" s="155"/>
      <c r="V43" s="61"/>
      <c r="W43" s="60"/>
      <c r="X43" s="60"/>
      <c r="Y43" s="60"/>
      <c r="Z43" s="151"/>
      <c r="AA43" s="60"/>
      <c r="AB43" s="60"/>
    </row>
    <row r="44" ht="18.6" customHeight="1" s="58" customFormat="1">
      <c r="A44" s="82"/>
      <c r="B44" s="83"/>
      <c r="C44" s="84"/>
      <c r="D44" s="19"/>
      <c r="E44" s="19"/>
      <c r="F44" s="19"/>
      <c r="G44" s="19"/>
      <c r="H44" s="19"/>
      <c r="I44" s="19"/>
      <c r="J44" s="19"/>
      <c r="K44" s="19"/>
      <c r="L44" s="926" t="str">
        <f>IF(Format!C8=1,Format!C2,IF(Format!C8=2,Format!C3,IF(Format!C8=3,Format!C4,IF(Format!C8=4,Format!C5,IF(Format!C8=5,Format!C6,تسجيل1!F5)))))</f>
        <v>بيج  Ral 1013</v>
      </c>
      <c r="M44" s="927"/>
      <c r="N44" s="928"/>
      <c r="O44" s="131"/>
      <c r="P44" s="130"/>
      <c r="Q44" s="130"/>
      <c r="R44" s="130"/>
      <c r="S44" s="151"/>
      <c r="T44" s="154"/>
      <c r="U44" s="60"/>
      <c r="V44" s="60"/>
      <c r="W44" s="60"/>
      <c r="X44" s="60"/>
      <c r="Y44" s="60"/>
      <c r="Z44" s="151"/>
      <c r="AA44" s="60"/>
      <c r="AB44" s="60"/>
    </row>
    <row r="45">
      <c r="S45" s="151"/>
      <c r="T45" s="154"/>
      <c r="Z45" s="151"/>
      <c r="AA45" s="60"/>
      <c r="AB45" s="60"/>
    </row>
    <row r="46">
      <c r="S46" s="151"/>
      <c r="T46" s="156"/>
      <c r="U46" s="157"/>
      <c r="V46" s="157"/>
      <c r="W46" s="157"/>
      <c r="X46" s="157"/>
      <c r="Y46" s="157"/>
      <c r="Z46" s="163"/>
      <c r="AA46" s="60"/>
      <c r="AB46" s="60"/>
    </row>
    <row r="47">
      <c r="T47" s="158"/>
      <c r="U47" s="159"/>
      <c r="V47" s="159"/>
      <c r="W47" s="159"/>
      <c r="X47" s="159"/>
      <c r="Y47" s="159"/>
      <c r="Z47" s="159"/>
    </row>
    <row r="48" s="58" customFormat="1">
      <c r="A48" s="85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132"/>
      <c r="O48" s="59"/>
      <c r="P48" s="60"/>
      <c r="Q48" s="60"/>
      <c r="R48" s="60"/>
      <c r="S48" s="60"/>
      <c r="T48" s="61"/>
      <c r="U48" s="60"/>
      <c r="V48" s="60"/>
      <c r="W48" s="60"/>
      <c r="X48" s="60"/>
      <c r="Y48" s="60"/>
      <c r="Z48" s="60"/>
      <c r="AA48" s="62"/>
      <c r="AB48" s="62"/>
    </row>
    <row r="49" s="58" customFormat="1">
      <c r="A49" s="86"/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33"/>
      <c r="O49" s="59"/>
      <c r="P49" s="60"/>
      <c r="Q49" s="60"/>
      <c r="R49" s="60"/>
      <c r="S49" s="60"/>
      <c r="T49" s="61"/>
      <c r="U49" s="60"/>
      <c r="V49" s="60"/>
      <c r="W49" s="60"/>
      <c r="X49" s="60"/>
      <c r="Y49" s="60"/>
      <c r="Z49" s="60"/>
      <c r="AA49" s="62"/>
      <c r="AB49" s="62"/>
    </row>
    <row r="50" s="58" customFormat="1">
      <c r="A50" s="49"/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34"/>
      <c r="O50" s="59"/>
      <c r="P50" s="60"/>
      <c r="Q50" s="60"/>
      <c r="R50" s="60"/>
      <c r="S50" s="60"/>
      <c r="T50" s="61"/>
      <c r="U50" s="60"/>
      <c r="V50" s="60"/>
      <c r="W50" s="60"/>
      <c r="X50" s="60"/>
      <c r="Y50" s="60"/>
      <c r="Z50" s="60"/>
      <c r="AA50" s="62"/>
      <c r="AB50" s="62"/>
    </row>
    <row r="51" s="58" customFormat="1">
      <c r="A51" s="49"/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34"/>
      <c r="O51" s="59"/>
      <c r="P51" s="60"/>
      <c r="Q51" s="60"/>
      <c r="R51" s="60"/>
      <c r="S51" s="60"/>
      <c r="T51" s="61"/>
      <c r="U51" s="60"/>
      <c r="V51" s="60"/>
      <c r="W51" s="60"/>
      <c r="X51" s="60"/>
      <c r="Y51" s="60"/>
      <c r="Z51" s="60"/>
      <c r="AA51" s="62"/>
      <c r="AB51" s="62"/>
    </row>
    <row r="52" s="58" customFormat="1">
      <c r="A52" s="49"/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34"/>
      <c r="O52" s="59"/>
      <c r="P52" s="60"/>
      <c r="Q52" s="60"/>
      <c r="R52" s="60"/>
      <c r="S52" s="60"/>
      <c r="T52" s="61"/>
      <c r="U52" s="60"/>
      <c r="V52" s="60"/>
      <c r="W52" s="60"/>
      <c r="X52" s="60"/>
      <c r="Y52" s="60"/>
      <c r="Z52" s="60"/>
      <c r="AA52" s="62"/>
      <c r="AB52" s="62"/>
    </row>
    <row r="53" s="58" customFormat="1">
      <c r="A53" s="49"/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34"/>
      <c r="O53" s="59"/>
      <c r="P53" s="60"/>
      <c r="Q53" s="60"/>
      <c r="R53" s="60"/>
      <c r="S53" s="60"/>
      <c r="T53" s="61"/>
      <c r="U53" s="60"/>
      <c r="V53" s="60"/>
      <c r="W53" s="60"/>
      <c r="X53" s="60"/>
      <c r="Y53" s="60"/>
      <c r="Z53" s="60"/>
      <c r="AA53" s="62"/>
      <c r="AB53" s="62"/>
    </row>
    <row r="54" s="58" customFormat="1">
      <c r="A54" s="49"/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34"/>
      <c r="O54" s="59"/>
      <c r="P54" s="60"/>
      <c r="Q54" s="60"/>
      <c r="R54" s="60"/>
      <c r="S54" s="60"/>
      <c r="T54" s="61"/>
      <c r="U54" s="60"/>
      <c r="V54" s="60"/>
      <c r="W54" s="60"/>
      <c r="X54" s="60"/>
      <c r="Y54" s="60"/>
      <c r="Z54" s="60"/>
      <c r="AA54" s="62"/>
      <c r="AB54" s="62"/>
    </row>
    <row r="55" s="58" customFormat="1">
      <c r="A55" s="49"/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34"/>
      <c r="O55" s="59"/>
      <c r="P55" s="60"/>
      <c r="Q55" s="60"/>
      <c r="R55" s="60"/>
      <c r="S55" s="60"/>
      <c r="T55" s="61"/>
      <c r="U55" s="60"/>
      <c r="V55" s="60"/>
      <c r="W55" s="60"/>
      <c r="X55" s="60"/>
      <c r="Y55" s="60"/>
      <c r="Z55" s="60"/>
      <c r="AA55" s="62"/>
      <c r="AB55" s="62"/>
    </row>
    <row r="56" s="58" customFormat="1">
      <c r="A56" s="49"/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34"/>
      <c r="O56" s="59"/>
      <c r="P56" s="60"/>
      <c r="Q56" s="60"/>
      <c r="R56" s="60"/>
      <c r="S56" s="60"/>
      <c r="T56" s="61"/>
      <c r="U56" s="60"/>
      <c r="V56" s="60"/>
      <c r="W56" s="60"/>
      <c r="X56" s="60"/>
      <c r="Y56" s="60"/>
      <c r="Z56" s="60"/>
      <c r="AA56" s="62"/>
      <c r="AB56" s="62"/>
    </row>
    <row r="57" s="58" customFormat="1">
      <c r="A57" s="49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34"/>
      <c r="O57" s="59"/>
      <c r="P57" s="60"/>
      <c r="Q57" s="60"/>
      <c r="R57" s="60"/>
      <c r="S57" s="60"/>
      <c r="T57" s="61"/>
      <c r="U57" s="60"/>
      <c r="V57" s="60"/>
      <c r="W57" s="60"/>
      <c r="X57" s="60"/>
      <c r="Y57" s="60"/>
      <c r="Z57" s="60"/>
      <c r="AA57" s="62"/>
      <c r="AB57" s="62"/>
    </row>
    <row r="58" s="58" customFormat="1">
      <c r="A58" s="49"/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34"/>
      <c r="O58" s="59"/>
      <c r="P58" s="60"/>
      <c r="Q58" s="60"/>
      <c r="R58" s="60"/>
      <c r="S58" s="60"/>
      <c r="T58" s="61"/>
      <c r="U58" s="60"/>
      <c r="V58" s="60"/>
      <c r="W58" s="60"/>
      <c r="X58" s="60"/>
      <c r="Y58" s="60"/>
      <c r="Z58" s="60"/>
      <c r="AA58" s="62"/>
      <c r="AB58" s="62"/>
    </row>
    <row r="59" s="58" customFormat="1">
      <c r="A59" s="49"/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34"/>
      <c r="O59" s="59"/>
      <c r="P59" s="60"/>
      <c r="Q59" s="60"/>
      <c r="R59" s="60"/>
      <c r="S59" s="60"/>
      <c r="T59" s="61"/>
      <c r="U59" s="60"/>
      <c r="V59" s="60"/>
      <c r="W59" s="60"/>
      <c r="X59" s="60"/>
      <c r="Y59" s="60"/>
      <c r="Z59" s="60"/>
      <c r="AA59" s="62"/>
      <c r="AB59" s="62"/>
    </row>
    <row r="60" s="58" customFormat="1">
      <c r="A60" s="49"/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34"/>
      <c r="O60" s="59"/>
      <c r="P60" s="60"/>
      <c r="Q60" s="60"/>
      <c r="R60" s="60"/>
      <c r="S60" s="60"/>
      <c r="T60" s="61"/>
      <c r="U60" s="60"/>
      <c r="V60" s="60"/>
      <c r="W60" s="60"/>
      <c r="X60" s="60"/>
      <c r="Y60" s="60"/>
      <c r="Z60" s="60"/>
      <c r="AA60" s="62"/>
      <c r="AB60" s="62"/>
    </row>
    <row r="61" s="58" customFormat="1">
      <c r="A61" s="49"/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34"/>
      <c r="O61" s="59"/>
      <c r="P61" s="60"/>
      <c r="Q61" s="60"/>
      <c r="R61" s="60"/>
      <c r="S61" s="60"/>
      <c r="T61" s="61"/>
      <c r="U61" s="60"/>
      <c r="V61" s="60"/>
      <c r="W61" s="60"/>
      <c r="X61" s="60"/>
      <c r="Y61" s="60"/>
      <c r="Z61" s="60"/>
      <c r="AA61" s="62"/>
      <c r="AB61" s="62"/>
    </row>
    <row r="62" s="58" customFormat="1">
      <c r="A62" s="51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35"/>
      <c r="O62" s="59"/>
      <c r="P62" s="60"/>
      <c r="Q62" s="60"/>
      <c r="R62" s="60"/>
      <c r="S62" s="60"/>
      <c r="T62" s="61"/>
      <c r="U62" s="60"/>
      <c r="V62" s="60"/>
      <c r="W62" s="60"/>
      <c r="X62" s="60"/>
      <c r="Y62" s="60"/>
      <c r="Z62" s="60"/>
      <c r="AA62" s="62"/>
      <c r="AB62" s="62"/>
    </row>
    <row r="64" s="58" customFormat="1">
      <c r="A64" s="85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132"/>
      <c r="O64" s="59"/>
      <c r="P64" s="60"/>
      <c r="Q64" s="60"/>
      <c r="R64" s="60"/>
      <c r="S64" s="60"/>
      <c r="T64" s="61"/>
      <c r="U64" s="60"/>
      <c r="V64" s="60"/>
      <c r="W64" s="60"/>
      <c r="X64" s="60"/>
      <c r="Y64" s="60"/>
      <c r="Z64" s="60"/>
      <c r="AA64" s="62"/>
      <c r="AB64" s="62"/>
    </row>
    <row r="65" s="58" customFormat="1">
      <c r="A65" s="86"/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33"/>
      <c r="O65" s="59"/>
      <c r="P65" s="60"/>
      <c r="Q65" s="60"/>
      <c r="R65" s="60"/>
      <c r="S65" s="60"/>
      <c r="T65" s="61"/>
      <c r="U65" s="60"/>
      <c r="V65" s="60"/>
      <c r="W65" s="60"/>
      <c r="X65" s="60"/>
      <c r="Y65" s="60"/>
      <c r="Z65" s="60"/>
      <c r="AA65" s="62"/>
      <c r="AB65" s="62"/>
    </row>
    <row r="66" s="58" customFormat="1">
      <c r="A66" s="49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34"/>
      <c r="O66" s="59"/>
      <c r="P66" s="60"/>
      <c r="Q66" s="60"/>
      <c r="R66" s="60"/>
      <c r="S66" s="60"/>
      <c r="T66" s="61"/>
      <c r="U66" s="60"/>
      <c r="V66" s="60"/>
      <c r="W66" s="60"/>
      <c r="X66" s="60"/>
      <c r="Y66" s="60"/>
      <c r="Z66" s="60"/>
      <c r="AA66" s="62"/>
      <c r="AB66" s="62"/>
    </row>
    <row r="67" s="58" customFormat="1">
      <c r="A67" s="49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34"/>
      <c r="O67" s="59"/>
      <c r="P67" s="60"/>
      <c r="Q67" s="60"/>
      <c r="R67" s="60"/>
      <c r="S67" s="60"/>
      <c r="T67" s="61"/>
      <c r="U67" s="60"/>
      <c r="V67" s="60"/>
      <c r="W67" s="60"/>
      <c r="X67" s="60"/>
      <c r="Y67" s="60"/>
      <c r="Z67" s="60"/>
      <c r="AA67" s="62"/>
      <c r="AB67" s="62"/>
    </row>
    <row r="68" s="58" customFormat="1">
      <c r="A68" s="49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34"/>
      <c r="O68" s="59"/>
      <c r="P68" s="60"/>
      <c r="Q68" s="60"/>
      <c r="R68" s="60"/>
      <c r="S68" s="60"/>
      <c r="T68" s="61"/>
      <c r="U68" s="60"/>
      <c r="V68" s="60"/>
      <c r="W68" s="60"/>
      <c r="X68" s="60"/>
      <c r="Y68" s="60"/>
      <c r="Z68" s="60"/>
      <c r="AA68" s="62"/>
      <c r="AB68" s="62"/>
    </row>
    <row r="69" s="58" customFormat="1">
      <c r="A69" s="49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34"/>
      <c r="O69" s="59"/>
      <c r="P69" s="60"/>
      <c r="Q69" s="60"/>
      <c r="R69" s="60"/>
      <c r="S69" s="60"/>
      <c r="T69" s="61"/>
      <c r="U69" s="60"/>
      <c r="V69" s="60"/>
      <c r="W69" s="60"/>
      <c r="X69" s="60"/>
      <c r="Y69" s="60"/>
      <c r="Z69" s="60"/>
      <c r="AA69" s="62"/>
      <c r="AB69" s="62"/>
    </row>
    <row r="70" s="58" customFormat="1">
      <c r="A70" s="49"/>
      <c r="B70" s="10"/>
      <c r="C70" s="10"/>
      <c r="D70" s="10"/>
      <c r="E70" s="10"/>
      <c r="F70" s="10"/>
      <c r="G70" s="10"/>
      <c r="H70" s="10"/>
      <c r="I70" s="10"/>
      <c r="J70" s="10"/>
      <c r="K70" s="10"/>
      <c r="L70" s="10"/>
      <c r="M70" s="10"/>
      <c r="N70" s="134"/>
      <c r="O70" s="59"/>
      <c r="P70" s="60"/>
      <c r="Q70" s="60"/>
      <c r="R70" s="60"/>
      <c r="S70" s="60"/>
      <c r="T70" s="61"/>
      <c r="U70" s="60"/>
      <c r="V70" s="60"/>
      <c r="W70" s="60"/>
      <c r="X70" s="60"/>
      <c r="Y70" s="60"/>
      <c r="Z70" s="60"/>
      <c r="AA70" s="62"/>
      <c r="AB70" s="62"/>
    </row>
    <row r="71" s="58" customFormat="1">
      <c r="A71" s="49"/>
      <c r="B71" s="10"/>
      <c r="C71" s="10"/>
      <c r="D71" s="10"/>
      <c r="E71" s="10"/>
      <c r="F71" s="10"/>
      <c r="G71" s="10"/>
      <c r="H71" s="10"/>
      <c r="I71" s="10"/>
      <c r="J71" s="10"/>
      <c r="K71" s="10"/>
      <c r="L71" s="10"/>
      <c r="M71" s="10"/>
      <c r="N71" s="134"/>
      <c r="O71" s="59"/>
      <c r="P71" s="60"/>
      <c r="Q71" s="60"/>
      <c r="R71" s="60"/>
      <c r="S71" s="60"/>
      <c r="T71" s="61"/>
      <c r="U71" s="60"/>
      <c r="V71" s="60"/>
      <c r="W71" s="60"/>
      <c r="X71" s="60"/>
      <c r="Y71" s="60"/>
      <c r="Z71" s="60"/>
      <c r="AA71" s="62"/>
      <c r="AB71" s="62"/>
    </row>
    <row r="72" s="58" customFormat="1">
      <c r="A72" s="49"/>
      <c r="B72" s="10"/>
      <c r="C72" s="10"/>
      <c r="D72" s="10"/>
      <c r="E72" s="10"/>
      <c r="F72" s="10"/>
      <c r="G72" s="10"/>
      <c r="H72" s="10"/>
      <c r="I72" s="10"/>
      <c r="J72" s="10"/>
      <c r="K72" s="10"/>
      <c r="L72" s="10"/>
      <c r="M72" s="10"/>
      <c r="N72" s="134"/>
      <c r="O72" s="59"/>
      <c r="P72" s="60"/>
      <c r="Q72" s="60"/>
      <c r="R72" s="60"/>
      <c r="S72" s="60"/>
      <c r="T72" s="61"/>
      <c r="U72" s="60"/>
      <c r="V72" s="60"/>
      <c r="W72" s="60"/>
      <c r="X72" s="60"/>
      <c r="Y72" s="60"/>
      <c r="Z72" s="60"/>
      <c r="AA72" s="62"/>
      <c r="AB72" s="62"/>
    </row>
    <row r="73" s="58" customFormat="1">
      <c r="A73" s="49"/>
      <c r="B73" s="10"/>
      <c r="C73" s="10"/>
      <c r="D73" s="10"/>
      <c r="E73" s="10"/>
      <c r="F73" s="10"/>
      <c r="G73" s="10"/>
      <c r="H73" s="10"/>
      <c r="I73" s="10"/>
      <c r="J73" s="10"/>
      <c r="K73" s="10"/>
      <c r="L73" s="10"/>
      <c r="M73" s="10"/>
      <c r="N73" s="134"/>
      <c r="O73" s="59"/>
      <c r="P73" s="60"/>
      <c r="Q73" s="60"/>
      <c r="R73" s="60"/>
      <c r="S73" s="60"/>
      <c r="T73" s="61"/>
      <c r="U73" s="60"/>
      <c r="V73" s="60"/>
      <c r="W73" s="60"/>
      <c r="X73" s="60"/>
      <c r="Y73" s="60"/>
      <c r="Z73" s="60"/>
      <c r="AA73" s="62"/>
      <c r="AB73" s="62"/>
    </row>
    <row r="74" s="58" customFormat="1">
      <c r="A74" s="49"/>
      <c r="B74" s="10"/>
      <c r="C74" s="10"/>
      <c r="D74" s="10"/>
      <c r="E74" s="10"/>
      <c r="F74" s="10"/>
      <c r="G74" s="10"/>
      <c r="H74" s="10"/>
      <c r="I74" s="10"/>
      <c r="J74" s="10"/>
      <c r="K74" s="10"/>
      <c r="L74" s="10"/>
      <c r="M74" s="10"/>
      <c r="N74" s="134"/>
      <c r="O74" s="59"/>
      <c r="P74" s="60"/>
      <c r="Q74" s="60"/>
      <c r="R74" s="60"/>
      <c r="S74" s="60"/>
      <c r="T74" s="61"/>
      <c r="U74" s="60"/>
      <c r="V74" s="60"/>
      <c r="W74" s="60"/>
      <c r="X74" s="60"/>
      <c r="Y74" s="60"/>
      <c r="Z74" s="60"/>
      <c r="AA74" s="62"/>
      <c r="AB74" s="62"/>
    </row>
    <row r="75" s="58" customFormat="1">
      <c r="A75" s="49"/>
      <c r="B75" s="10"/>
      <c r="C75" s="10"/>
      <c r="D75" s="10"/>
      <c r="E75" s="10"/>
      <c r="F75" s="10"/>
      <c r="G75" s="10"/>
      <c r="H75" s="10"/>
      <c r="I75" s="10"/>
      <c r="J75" s="10"/>
      <c r="K75" s="10"/>
      <c r="L75" s="10"/>
      <c r="M75" s="10"/>
      <c r="N75" s="134"/>
      <c r="O75" s="59"/>
      <c r="P75" s="60"/>
      <c r="Q75" s="60"/>
      <c r="R75" s="60"/>
      <c r="S75" s="60"/>
      <c r="T75" s="61"/>
      <c r="U75" s="60"/>
      <c r="V75" s="60"/>
      <c r="W75" s="60"/>
      <c r="X75" s="60"/>
      <c r="Y75" s="60"/>
      <c r="Z75" s="60"/>
      <c r="AA75" s="62"/>
      <c r="AB75" s="62"/>
    </row>
    <row r="76" s="58" customFormat="1">
      <c r="A76" s="49"/>
      <c r="B76" s="10"/>
      <c r="C76" s="10"/>
      <c r="D76" s="10"/>
      <c r="E76" s="10"/>
      <c r="F76" s="10"/>
      <c r="G76" s="10"/>
      <c r="H76" s="10"/>
      <c r="I76" s="10"/>
      <c r="J76" s="10"/>
      <c r="K76" s="10"/>
      <c r="L76" s="10"/>
      <c r="M76" s="10"/>
      <c r="N76" s="134"/>
      <c r="O76" s="59"/>
      <c r="P76" s="60"/>
      <c r="Q76" s="60"/>
      <c r="R76" s="60"/>
      <c r="S76" s="60"/>
      <c r="T76" s="61"/>
      <c r="U76" s="60"/>
      <c r="V76" s="60"/>
      <c r="W76" s="60"/>
      <c r="X76" s="60"/>
      <c r="Y76" s="60"/>
      <c r="Z76" s="60"/>
      <c r="AA76" s="62"/>
      <c r="AB76" s="62"/>
    </row>
    <row r="77" s="58" customFormat="1">
      <c r="A77" s="49"/>
      <c r="B77" s="10"/>
      <c r="C77" s="10"/>
      <c r="D77" s="10"/>
      <c r="E77" s="10"/>
      <c r="F77" s="10"/>
      <c r="G77" s="10"/>
      <c r="H77" s="10"/>
      <c r="I77" s="10"/>
      <c r="J77" s="10"/>
      <c r="K77" s="10"/>
      <c r="L77" s="10"/>
      <c r="M77" s="10"/>
      <c r="N77" s="134"/>
      <c r="O77" s="59"/>
      <c r="P77" s="60"/>
      <c r="Q77" s="60"/>
      <c r="R77" s="60"/>
      <c r="S77" s="60"/>
      <c r="T77" s="61"/>
      <c r="U77" s="60"/>
      <c r="V77" s="60"/>
      <c r="W77" s="60"/>
      <c r="X77" s="60"/>
      <c r="Y77" s="60"/>
      <c r="Z77" s="60"/>
      <c r="AA77" s="62"/>
      <c r="AB77" s="62"/>
    </row>
    <row r="78" s="58" customFormat="1">
      <c r="A78" s="51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35"/>
      <c r="O78" s="59"/>
      <c r="P78" s="60"/>
      <c r="Q78" s="60"/>
      <c r="R78" s="60"/>
      <c r="S78" s="60"/>
      <c r="T78" s="61"/>
      <c r="U78" s="60"/>
      <c r="V78" s="60"/>
      <c r="W78" s="60"/>
      <c r="X78" s="60"/>
      <c r="Y78" s="60"/>
      <c r="Z78" s="60"/>
      <c r="AA78" s="62"/>
      <c r="AB78" s="62"/>
    </row>
    <row r="80" s="58" customFormat="1">
      <c r="A80" s="85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132"/>
      <c r="O80" s="59"/>
      <c r="P80" s="60"/>
      <c r="Q80" s="60"/>
      <c r="R80" s="60"/>
      <c r="S80" s="60"/>
      <c r="T80" s="61"/>
      <c r="U80" s="60"/>
      <c r="V80" s="60"/>
      <c r="W80" s="60"/>
      <c r="X80" s="60"/>
      <c r="Y80" s="60"/>
      <c r="Z80" s="60"/>
      <c r="AA80" s="62"/>
      <c r="AB80" s="62"/>
    </row>
    <row r="81" s="58" customFormat="1">
      <c r="A81" s="86"/>
      <c r="B81" s="17"/>
      <c r="C81" s="17"/>
      <c r="D81" s="17"/>
      <c r="E81" s="17"/>
      <c r="F81" s="17"/>
      <c r="G81" s="17"/>
      <c r="H81" s="17"/>
      <c r="I81" s="17"/>
      <c r="J81" s="17"/>
      <c r="K81" s="17"/>
      <c r="L81" s="17"/>
      <c r="M81" s="17"/>
      <c r="N81" s="133"/>
      <c r="O81" s="59"/>
      <c r="P81" s="60"/>
      <c r="Q81" s="60"/>
      <c r="R81" s="60"/>
      <c r="S81" s="60"/>
      <c r="T81" s="61"/>
      <c r="U81" s="60"/>
      <c r="V81" s="60"/>
      <c r="W81" s="60"/>
      <c r="X81" s="60"/>
      <c r="Y81" s="60"/>
      <c r="Z81" s="60"/>
      <c r="AA81" s="62"/>
      <c r="AB81" s="62"/>
    </row>
    <row r="82" s="58" customFormat="1">
      <c r="A82" s="49"/>
      <c r="B82" s="10"/>
      <c r="C82" s="10"/>
      <c r="D82" s="10"/>
      <c r="E82" s="10"/>
      <c r="F82" s="10"/>
      <c r="G82" s="10"/>
      <c r="H82" s="10"/>
      <c r="I82" s="10"/>
      <c r="J82" s="10"/>
      <c r="K82" s="10"/>
      <c r="L82" s="10"/>
      <c r="M82" s="10"/>
      <c r="N82" s="134"/>
      <c r="O82" s="59"/>
      <c r="P82" s="60"/>
      <c r="Q82" s="60"/>
      <c r="R82" s="60"/>
      <c r="S82" s="60"/>
      <c r="T82" s="61"/>
      <c r="U82" s="60"/>
      <c r="V82" s="60"/>
      <c r="W82" s="60"/>
      <c r="X82" s="60"/>
      <c r="Y82" s="60"/>
      <c r="Z82" s="60"/>
      <c r="AA82" s="62"/>
      <c r="AB82" s="62"/>
    </row>
    <row r="83" s="58" customFormat="1">
      <c r="A83" s="49"/>
      <c r="B83" s="10"/>
      <c r="C83" s="10"/>
      <c r="D83" s="10"/>
      <c r="E83" s="10"/>
      <c r="F83" s="10"/>
      <c r="G83" s="10"/>
      <c r="H83" s="10"/>
      <c r="I83" s="10"/>
      <c r="J83" s="10"/>
      <c r="K83" s="10"/>
      <c r="L83" s="10"/>
      <c r="M83" s="10"/>
      <c r="N83" s="134"/>
      <c r="O83" s="59"/>
      <c r="P83" s="60"/>
      <c r="Q83" s="60"/>
      <c r="R83" s="60"/>
      <c r="S83" s="60"/>
      <c r="T83" s="61"/>
      <c r="U83" s="60"/>
      <c r="V83" s="60"/>
      <c r="W83" s="60"/>
      <c r="X83" s="60"/>
      <c r="Y83" s="60"/>
      <c r="Z83" s="60"/>
      <c r="AA83" s="62"/>
      <c r="AB83" s="62"/>
    </row>
    <row r="84" s="58" customFormat="1">
      <c r="A84" s="49"/>
      <c r="B84" s="10"/>
      <c r="C84" s="10"/>
      <c r="D84" s="10"/>
      <c r="E84" s="10"/>
      <c r="F84" s="10"/>
      <c r="G84" s="10"/>
      <c r="H84" s="10"/>
      <c r="I84" s="10"/>
      <c r="J84" s="10"/>
      <c r="K84" s="10"/>
      <c r="L84" s="10"/>
      <c r="M84" s="10"/>
      <c r="N84" s="134"/>
      <c r="O84" s="59"/>
      <c r="P84" s="60"/>
      <c r="Q84" s="60"/>
      <c r="R84" s="60"/>
      <c r="S84" s="60"/>
      <c r="T84" s="61"/>
      <c r="U84" s="60"/>
      <c r="V84" s="60"/>
      <c r="W84" s="60"/>
      <c r="X84" s="60"/>
      <c r="Y84" s="60"/>
      <c r="Z84" s="60"/>
      <c r="AA84" s="62"/>
      <c r="AB84" s="62"/>
    </row>
    <row r="85" s="58" customFormat="1">
      <c r="A85" s="49"/>
      <c r="B85" s="10"/>
      <c r="C85" s="10"/>
      <c r="D85" s="10"/>
      <c r="E85" s="10"/>
      <c r="F85" s="10"/>
      <c r="G85" s="10"/>
      <c r="H85" s="10"/>
      <c r="I85" s="10"/>
      <c r="J85" s="10"/>
      <c r="K85" s="10"/>
      <c r="L85" s="10"/>
      <c r="M85" s="10"/>
      <c r="N85" s="134"/>
      <c r="O85" s="59"/>
      <c r="P85" s="60"/>
      <c r="Q85" s="60"/>
      <c r="R85" s="60"/>
      <c r="S85" s="60"/>
      <c r="T85" s="61"/>
      <c r="U85" s="60"/>
      <c r="V85" s="60"/>
      <c r="W85" s="60"/>
      <c r="X85" s="60"/>
      <c r="Y85" s="60"/>
      <c r="Z85" s="60"/>
      <c r="AA85" s="62"/>
      <c r="AB85" s="62"/>
    </row>
    <row r="86" s="58" customFormat="1">
      <c r="A86" s="49"/>
      <c r="B86" s="10"/>
      <c r="C86" s="10"/>
      <c r="D86" s="10"/>
      <c r="E86" s="10"/>
      <c r="F86" s="10"/>
      <c r="G86" s="10"/>
      <c r="H86" s="10"/>
      <c r="I86" s="10"/>
      <c r="J86" s="10"/>
      <c r="K86" s="10"/>
      <c r="L86" s="10"/>
      <c r="M86" s="10"/>
      <c r="N86" s="134"/>
      <c r="O86" s="59"/>
      <c r="P86" s="60"/>
      <c r="Q86" s="60"/>
      <c r="R86" s="60"/>
      <c r="S86" s="60"/>
      <c r="T86" s="61"/>
      <c r="U86" s="60"/>
      <c r="V86" s="60"/>
      <c r="W86" s="60"/>
      <c r="X86" s="60"/>
      <c r="Y86" s="60"/>
      <c r="Z86" s="60"/>
      <c r="AA86" s="62"/>
      <c r="AB86" s="62"/>
    </row>
    <row r="87" s="58" customFormat="1">
      <c r="A87" s="49"/>
      <c r="B87" s="10"/>
      <c r="C87" s="10"/>
      <c r="D87" s="10"/>
      <c r="E87" s="10"/>
      <c r="F87" s="10"/>
      <c r="G87" s="10"/>
      <c r="H87" s="10"/>
      <c r="I87" s="10"/>
      <c r="J87" s="10"/>
      <c r="K87" s="10"/>
      <c r="L87" s="10"/>
      <c r="M87" s="10"/>
      <c r="N87" s="134"/>
      <c r="O87" s="59"/>
      <c r="P87" s="60"/>
      <c r="Q87" s="60"/>
      <c r="R87" s="60"/>
      <c r="S87" s="60"/>
      <c r="T87" s="61"/>
      <c r="U87" s="60"/>
      <c r="V87" s="60"/>
      <c r="W87" s="60"/>
      <c r="X87" s="60"/>
      <c r="Y87" s="60"/>
      <c r="Z87" s="60"/>
      <c r="AA87" s="62"/>
      <c r="AB87" s="62"/>
    </row>
    <row r="88" s="58" customFormat="1">
      <c r="A88" s="49"/>
      <c r="B88" s="10"/>
      <c r="C88" s="10"/>
      <c r="D88" s="10"/>
      <c r="E88" s="10"/>
      <c r="F88" s="10"/>
      <c r="G88" s="10"/>
      <c r="H88" s="10"/>
      <c r="I88" s="10"/>
      <c r="J88" s="10"/>
      <c r="K88" s="10"/>
      <c r="L88" s="10"/>
      <c r="M88" s="10"/>
      <c r="N88" s="134"/>
      <c r="O88" s="59"/>
      <c r="P88" s="60"/>
      <c r="Q88" s="60"/>
      <c r="R88" s="60"/>
      <c r="S88" s="60"/>
      <c r="T88" s="61"/>
      <c r="U88" s="60"/>
      <c r="V88" s="60"/>
      <c r="W88" s="60"/>
      <c r="X88" s="60"/>
      <c r="Y88" s="60"/>
      <c r="Z88" s="60"/>
      <c r="AA88" s="62"/>
      <c r="AB88" s="62"/>
    </row>
    <row r="89" s="58" customFormat="1">
      <c r="A89" s="49"/>
      <c r="B89" s="10"/>
      <c r="C89" s="10"/>
      <c r="D89" s="10"/>
      <c r="E89" s="10"/>
      <c r="F89" s="10"/>
      <c r="G89" s="10"/>
      <c r="H89" s="10"/>
      <c r="I89" s="10"/>
      <c r="J89" s="10"/>
      <c r="K89" s="10"/>
      <c r="L89" s="10"/>
      <c r="M89" s="10"/>
      <c r="N89" s="134"/>
      <c r="O89" s="59"/>
      <c r="P89" s="60"/>
      <c r="Q89" s="60"/>
      <c r="R89" s="60"/>
      <c r="S89" s="60"/>
      <c r="T89" s="61"/>
      <c r="U89" s="60"/>
      <c r="V89" s="60"/>
      <c r="W89" s="60"/>
      <c r="X89" s="60"/>
      <c r="Y89" s="60"/>
      <c r="Z89" s="60"/>
      <c r="AA89" s="62"/>
      <c r="AB89" s="62"/>
    </row>
    <row r="90" s="58" customFormat="1">
      <c r="A90" s="49"/>
      <c r="B90" s="10"/>
      <c r="C90" s="10"/>
      <c r="D90" s="10"/>
      <c r="E90" s="10"/>
      <c r="F90" s="10"/>
      <c r="G90" s="10"/>
      <c r="H90" s="10"/>
      <c r="I90" s="10"/>
      <c r="J90" s="10"/>
      <c r="K90" s="10"/>
      <c r="L90" s="10"/>
      <c r="M90" s="10"/>
      <c r="N90" s="134"/>
      <c r="O90" s="59"/>
      <c r="P90" s="60"/>
      <c r="Q90" s="60"/>
      <c r="R90" s="60"/>
      <c r="S90" s="60"/>
      <c r="T90" s="61"/>
      <c r="U90" s="60"/>
      <c r="V90" s="60"/>
      <c r="W90" s="60"/>
      <c r="X90" s="60"/>
      <c r="Y90" s="60"/>
      <c r="Z90" s="60"/>
      <c r="AA90" s="62"/>
      <c r="AB90" s="62"/>
    </row>
    <row r="91" s="58" customFormat="1">
      <c r="A91" s="49"/>
      <c r="B91" s="10"/>
      <c r="C91" s="10"/>
      <c r="D91" s="10"/>
      <c r="E91" s="10"/>
      <c r="F91" s="10"/>
      <c r="G91" s="10"/>
      <c r="H91" s="10"/>
      <c r="I91" s="10"/>
      <c r="J91" s="10"/>
      <c r="K91" s="10"/>
      <c r="L91" s="10"/>
      <c r="M91" s="10"/>
      <c r="N91" s="134"/>
      <c r="O91" s="59"/>
      <c r="P91" s="60"/>
      <c r="Q91" s="60"/>
      <c r="R91" s="60"/>
      <c r="S91" s="60"/>
      <c r="T91" s="61"/>
      <c r="U91" s="60"/>
      <c r="V91" s="60"/>
      <c r="W91" s="60"/>
      <c r="X91" s="60"/>
      <c r="Y91" s="60"/>
      <c r="Z91" s="60"/>
      <c r="AA91" s="62"/>
      <c r="AB91" s="62"/>
    </row>
    <row r="92" s="58" customFormat="1">
      <c r="A92" s="49"/>
      <c r="B92" s="10"/>
      <c r="C92" s="10"/>
      <c r="D92" s="10"/>
      <c r="E92" s="10"/>
      <c r="F92" s="10"/>
      <c r="G92" s="10"/>
      <c r="H92" s="10"/>
      <c r="I92" s="10"/>
      <c r="J92" s="10"/>
      <c r="K92" s="10"/>
      <c r="L92" s="10"/>
      <c r="M92" s="10"/>
      <c r="N92" s="134"/>
      <c r="O92" s="59"/>
      <c r="P92" s="60"/>
      <c r="Q92" s="60"/>
      <c r="R92" s="60"/>
      <c r="S92" s="60"/>
      <c r="T92" s="61"/>
      <c r="U92" s="60"/>
      <c r="V92" s="60"/>
      <c r="W92" s="60"/>
      <c r="X92" s="60"/>
      <c r="Y92" s="60"/>
      <c r="Z92" s="60"/>
      <c r="AA92" s="62"/>
      <c r="AB92" s="62"/>
    </row>
    <row r="93" s="58" customFormat="1">
      <c r="A93" s="49"/>
      <c r="B93" s="10"/>
      <c r="C93" s="10"/>
      <c r="D93" s="10"/>
      <c r="E93" s="10"/>
      <c r="F93" s="10"/>
      <c r="G93" s="10"/>
      <c r="H93" s="10"/>
      <c r="I93" s="10"/>
      <c r="J93" s="10"/>
      <c r="K93" s="10"/>
      <c r="L93" s="10"/>
      <c r="M93" s="10"/>
      <c r="N93" s="134"/>
      <c r="O93" s="59"/>
      <c r="P93" s="60"/>
      <c r="Q93" s="60"/>
      <c r="R93" s="60"/>
      <c r="S93" s="60"/>
      <c r="T93" s="61"/>
      <c r="U93" s="60"/>
      <c r="V93" s="60"/>
      <c r="W93" s="60"/>
      <c r="X93" s="60"/>
      <c r="Y93" s="60"/>
      <c r="Z93" s="60"/>
      <c r="AA93" s="62"/>
      <c r="AB93" s="62"/>
    </row>
    <row r="94" s="58" customFormat="1">
      <c r="A94" s="51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35"/>
      <c r="O94" s="59"/>
      <c r="P94" s="60"/>
      <c r="Q94" s="60"/>
      <c r="R94" s="60"/>
      <c r="S94" s="60"/>
      <c r="T94" s="61"/>
      <c r="U94" s="60"/>
      <c r="V94" s="60"/>
      <c r="W94" s="60"/>
      <c r="X94" s="60"/>
      <c r="Y94" s="60"/>
      <c r="Z94" s="60"/>
      <c r="AA94" s="62"/>
      <c r="AB94" s="62"/>
    </row>
    <row r="96" s="58" customFormat="1">
      <c r="A96" s="929" t="str">
        <f>A3</f>
        <v>اسم العميل </v>
      </c>
      <c r="B96" s="930"/>
      <c r="C96" s="930"/>
      <c r="D96" s="164"/>
      <c r="E96" s="165">
        <f>D3</f>
        <v>0</v>
      </c>
      <c r="F96" s="164"/>
      <c r="G96" s="164"/>
      <c r="H96" s="164"/>
      <c r="I96" s="164"/>
      <c r="J96" s="164"/>
      <c r="K96" s="164"/>
      <c r="L96" s="164"/>
      <c r="M96" s="172"/>
      <c r="N96" s="173"/>
      <c r="O96" s="174"/>
      <c r="P96" s="88"/>
      <c r="Q96" s="88"/>
      <c r="R96" s="88"/>
      <c r="S96" s="60"/>
      <c r="T96" s="61"/>
      <c r="U96" s="60"/>
      <c r="V96" s="60"/>
      <c r="W96" s="60"/>
      <c r="X96" s="60"/>
      <c r="Y96" s="60"/>
      <c r="Z96" s="60"/>
      <c r="AA96" s="62"/>
      <c r="AB96" s="62"/>
    </row>
    <row r="97" s="58" customFormat="1">
      <c r="A97" s="166"/>
      <c r="B97" s="167"/>
      <c r="C97" s="167"/>
      <c r="D97" s="167"/>
      <c r="E97" s="168" t="str">
        <f>E8</f>
        <v>مقاس البي في سي </v>
      </c>
      <c r="F97" s="169"/>
      <c r="G97" s="169"/>
      <c r="H97" s="169"/>
      <c r="I97" s="175"/>
      <c r="J97" s="176"/>
      <c r="K97" s="167">
        <f>K8</f>
        <v>399</v>
      </c>
      <c r="L97" s="177" t="str">
        <f>M8</f>
        <v>Χ</v>
      </c>
      <c r="M97" s="931">
        <f>N8</f>
        <v>372</v>
      </c>
      <c r="N97" s="932"/>
      <c r="O97" s="177"/>
      <c r="P97" s="88"/>
      <c r="Q97" s="88"/>
      <c r="R97" s="88"/>
      <c r="S97" s="60"/>
      <c r="T97" s="61"/>
      <c r="U97" s="60"/>
      <c r="V97" s="60"/>
      <c r="W97" s="60"/>
      <c r="X97" s="60"/>
      <c r="Y97" s="60"/>
      <c r="Z97" s="60"/>
      <c r="AA97" s="62"/>
      <c r="AB97" s="62"/>
    </row>
    <row r="98" s="58" customFormat="1">
      <c r="A98" s="170"/>
      <c r="B98" s="171"/>
      <c r="C98" s="171"/>
      <c r="D98" s="171"/>
      <c r="E98" s="170" t="str">
        <f>L43</f>
        <v>لون البي في سي </v>
      </c>
      <c r="F98" s="171"/>
      <c r="G98" s="171"/>
      <c r="H98" s="171"/>
      <c r="I98" s="178"/>
      <c r="J98" s="933" t="str">
        <f>L44</f>
        <v>بيج  Ral 1013</v>
      </c>
      <c r="K98" s="934"/>
      <c r="L98" s="934"/>
      <c r="M98" s="934"/>
      <c r="N98" s="935"/>
      <c r="O98" s="177"/>
      <c r="P98" s="88"/>
      <c r="Q98" s="88"/>
      <c r="R98" s="88"/>
      <c r="S98" s="60"/>
      <c r="T98" s="61"/>
      <c r="U98" s="60"/>
      <c r="V98" s="60"/>
      <c r="W98" s="60"/>
      <c r="X98" s="60"/>
      <c r="Y98" s="60"/>
      <c r="Z98" s="60"/>
      <c r="AA98" s="62"/>
      <c r="AB98" s="62"/>
    </row>
  </sheetData>
  <sheetProtection selectLockedCells="1" selectUnlockedCells="1"/>
  <mergeCells>
    <mergeCell ref="A1:N1"/>
    <mergeCell ref="M3:N3"/>
    <mergeCell ref="M4:N4"/>
    <mergeCell ref="A5:C5"/>
    <mergeCell ref="D5:F5"/>
    <mergeCell ref="I5:K5"/>
    <mergeCell ref="L5:N5"/>
    <mergeCell ref="E6:J6"/>
    <mergeCell ref="K6:L6"/>
    <mergeCell ref="A3:C4"/>
    <mergeCell ref="D3:L4"/>
    <mergeCell ref="E7:J7"/>
    <mergeCell ref="K7:M7"/>
    <mergeCell ref="E8:J8"/>
    <mergeCell ref="K8:L8"/>
    <mergeCell ref="A10:F10"/>
    <mergeCell ref="G10:H10"/>
    <mergeCell ref="I10:J10"/>
    <mergeCell ref="L10:N10"/>
    <mergeCell ref="A11:F11"/>
    <mergeCell ref="G11:H11"/>
    <mergeCell ref="I11:J11"/>
    <mergeCell ref="L11:N11"/>
    <mergeCell ref="A12:F12"/>
    <mergeCell ref="G12:H12"/>
    <mergeCell ref="I12:J12"/>
    <mergeCell ref="A13:F13"/>
    <mergeCell ref="G13:H13"/>
    <mergeCell ref="I13:J13"/>
    <mergeCell ref="L13:N13"/>
    <mergeCell ref="A14:F14"/>
    <mergeCell ref="G14:H14"/>
    <mergeCell ref="I14:J14"/>
    <mergeCell ref="A15:F15"/>
    <mergeCell ref="G15:H15"/>
    <mergeCell ref="I15:J15"/>
    <mergeCell ref="A16:F16"/>
    <mergeCell ref="G16:H16"/>
    <mergeCell ref="I16:J16"/>
    <mergeCell ref="L16:N16"/>
    <mergeCell ref="A17:F17"/>
    <mergeCell ref="G17:H17"/>
    <mergeCell ref="I17:J17"/>
    <mergeCell ref="L17:N17"/>
    <mergeCell ref="A18:F18"/>
    <mergeCell ref="G18:H18"/>
    <mergeCell ref="I18:J18"/>
    <mergeCell ref="A19:F19"/>
    <mergeCell ref="G19:H19"/>
    <mergeCell ref="I19:J19"/>
    <mergeCell ref="L19:N19"/>
    <mergeCell ref="A20:F20"/>
    <mergeCell ref="G20:H20"/>
    <mergeCell ref="I20:J20"/>
    <mergeCell ref="M20:N20"/>
    <mergeCell ref="A21:F21"/>
    <mergeCell ref="G21:H21"/>
    <mergeCell ref="I21:J21"/>
    <mergeCell ref="M21:N21"/>
    <mergeCell ref="A23:E23"/>
    <mergeCell ref="H23:L23"/>
    <mergeCell ref="B24:E24"/>
    <mergeCell ref="I24:L24"/>
    <mergeCell ref="B25:E25"/>
    <mergeCell ref="I25:L25"/>
    <mergeCell ref="B33:E33"/>
    <mergeCell ref="I33:L33"/>
    <mergeCell ref="B34:E34"/>
    <mergeCell ref="I34:L34"/>
    <mergeCell ref="B35:E35"/>
    <mergeCell ref="I35:L35"/>
    <mergeCell ref="B26:E26"/>
    <mergeCell ref="I26:L26"/>
    <mergeCell ref="B27:E27"/>
    <mergeCell ref="I27:L27"/>
    <mergeCell ref="B28:E28"/>
    <mergeCell ref="I28:L28"/>
    <mergeCell ref="B29:E29"/>
    <mergeCell ref="I29:L29"/>
    <mergeCell ref="B30:E30"/>
    <mergeCell ref="I30:L30"/>
    <mergeCell ref="L42:N42"/>
    <mergeCell ref="A43:C43"/>
    <mergeCell ref="L43:N43"/>
    <mergeCell ref="L44:N44"/>
    <mergeCell ref="A96:C96"/>
    <mergeCell ref="M97:N97"/>
    <mergeCell ref="J98:N98"/>
    <mergeCell ref="D6:D8"/>
    <mergeCell ref="AA39:AB40"/>
    <mergeCell ref="A41:C42"/>
    <mergeCell ref="A6:C8"/>
    <mergeCell ref="B36:E36"/>
    <mergeCell ref="I36:L36"/>
    <mergeCell ref="B37:E37"/>
    <mergeCell ref="I37:L37"/>
    <mergeCell ref="B38:E38"/>
    <mergeCell ref="I38:L38"/>
    <mergeCell ref="A40:C40"/>
    <mergeCell ref="L41:N41"/>
    <mergeCell ref="AA41:AB41"/>
    <mergeCell ref="B31:E31"/>
    <mergeCell ref="I31:L31"/>
    <mergeCell ref="B32:E32"/>
    <mergeCell ref="I32:L32"/>
  </mergeCells>
  <pageMargins left="0.23622047244094499" right="0.23622047244094499" top="0.43307086614173201" bottom="0.39370078740157499" header="0.196850393700787" footer="0.196850393700787"/>
  <pageSetup paperSize="9" scale="93" orientation="portrait"/>
  <headerFooter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4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1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تسجيل2!C7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 (2)'!F16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5"/>
  <dimension ref="A1:R25"/>
  <sheetViews>
    <sheetView topLeftCell="B1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تسجيل2!E7</f>
        <v>400</v>
      </c>
      <c r="E2" s="1">
        <f>تسجيل2!E7</f>
        <v>400</v>
      </c>
      <c r="F2" s="1">
        <f>تسجيل2!E7</f>
        <v>400</v>
      </c>
      <c r="G2" s="1">
        <f>تسجيل2!E7</f>
        <v>400</v>
      </c>
      <c r="H2" s="8">
        <f>تسجيل2!E7</f>
        <v>400</v>
      </c>
    </row>
    <row r="3">
      <c r="A3" s="1121"/>
      <c r="B3" s="1122"/>
      <c r="C3" s="10" t="s">
        <v>579</v>
      </c>
      <c r="D3" s="1">
        <f>IF(تسجيل2!R25=0,0,تسجيل2!R25)</f>
        <v>0</v>
      </c>
      <c r="E3" s="1">
        <f>IF(تسجيل2!R25=0,0,تسجيل2!R25)</f>
        <v>0</v>
      </c>
      <c r="F3" s="1">
        <f>IF(تسجيل2!R25=0,0,تسجيل2!R25)</f>
        <v>0</v>
      </c>
      <c r="G3" s="1">
        <f>IF(تسجيل2!R25=0,0,تسجيل2!R25)</f>
        <v>0</v>
      </c>
      <c r="H3" s="8">
        <f>IF(تسجيل2!R25=0,0,تسجيل2!R25)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تسجيل2!M29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IF('Format (2)'!E8=1,تسجيل2!E7,IF('Format (2)'!E8=2,'Format Οδηγων (2)'!D6,IF('Format (2)'!E8=3,'Format Οδηγων (2)'!E6,IF('Format (2)'!E8=4,'Format Οδηγων (2)'!F6,IF('Format (2)'!E8=5,'Format Οδηγων (2)'!G6,IF('Format (2)'!E8=6,'Format Οδηγων (2)'!H6,"-----"))))))</f>
        <v>400</v>
      </c>
      <c r="L6" s="10">
        <f>IF('Format (2)'!E8=1,تسجيل2!E7-30,IF('Format (2)'!E8=2,D7,IF('Format (2)'!E8=3,E7,IF('Format (2)'!E8=4,F7,IF('Format (2)'!E8=5,G7,IF('Format (2)'!E8=6,H7,"-----"))))))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تسجيل2!E7</f>
        <v>400</v>
      </c>
      <c r="E11" s="1">
        <f>تسجيل2!E7</f>
        <v>400</v>
      </c>
      <c r="F11" s="1">
        <f>تسجيل2!E7</f>
        <v>400</v>
      </c>
      <c r="G11" s="1">
        <f>تسجيل2!E7</f>
        <v>400</v>
      </c>
      <c r="H11" s="8">
        <f>تسجيل2!E7</f>
        <v>400</v>
      </c>
    </row>
    <row r="12">
      <c r="A12" s="1127"/>
      <c r="B12" s="1128"/>
      <c r="C12" s="10" t="s">
        <v>579</v>
      </c>
      <c r="D12" s="1">
        <f>IF(تسجيل2!R25=0,0,تسجيل2!R25)</f>
        <v>0</v>
      </c>
      <c r="E12" s="1">
        <f>IF(تسجيل2!R25=0,0,تسجيل2!R25)</f>
        <v>0</v>
      </c>
      <c r="F12" s="1">
        <f>IF(تسجيل2!R25=0,0,تسجيل2!R25)</f>
        <v>0</v>
      </c>
      <c r="G12" s="1">
        <f>IF(تسجيل2!R25=0,0,تسجيل2!R25)</f>
        <v>0</v>
      </c>
      <c r="H12" s="8">
        <f>IF(تسجيل2!R25=0,0,تسجيل2!R25)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تسجيل2!M29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IF('Format (2)'!E8=1,تسجيل2!E7,IF('Format (2)'!E8=2,'Format Οδηγων (2)'!D15,IF('Format (2)'!E8=3,'Format Οδηγων (2)'!E15,IF('Format (2)'!E8=4,'Format Οδηγων (2)'!F15,IF('Format (2)'!E8=5,'Format Οδηγων (2)'!G15,IF('Format (2)'!E8=6,'Format Οδηγων (2)'!H15))))))</f>
        <v>400</v>
      </c>
      <c r="L14" s="10">
        <f>IF('Format (2)'!E8=1,تسجيل2!E7-30,IF('Format (2)'!E8=2,D16,IF('Format (2)'!E8=3,E16,IF('Format (2)'!E8=4,F16,IF('Format (2)'!E8=5,G16,IF('Format (2)'!E8=6,H16))))))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IF('Format (2)'!A7=1,K6,IF('Format (2)'!A7=3,K6,IF('Format (2)'!A7=4,K23,IF('Format (2)'!A7=2,K23,IF('Format (2)'!A7=5,K14,"------")))))</f>
        <v>400</v>
      </c>
      <c r="R16" s="10">
        <f>IF('Format (2)'!A7=1,L6,IF('Format (2)'!A7=3,L6,IF('Format (2)'!A7=4,L23,IF('Format (2)'!A7=2,L23+2,IF('Format (2)'!A7=5,L14,"------")))))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تسجيل2!E7</f>
        <v>400</v>
      </c>
      <c r="E20" s="1">
        <f>تسجيل2!E7</f>
        <v>400</v>
      </c>
      <c r="F20" s="1">
        <f>تسجيل2!E7</f>
        <v>400</v>
      </c>
      <c r="G20" s="1">
        <f>تسجيل2!E7</f>
        <v>400</v>
      </c>
      <c r="H20" s="8">
        <f>تسجيل2!E7</f>
        <v>400</v>
      </c>
    </row>
    <row r="21">
      <c r="A21" s="1133"/>
      <c r="B21" s="1134"/>
      <c r="C21" s="10" t="s">
        <v>579</v>
      </c>
      <c r="D21" s="1">
        <f>IF(تسجيل2!R25=0,0,تسجيل2!R25)</f>
        <v>0</v>
      </c>
      <c r="E21" s="1">
        <f>IF(تسجيل2!R25=0,0,تسجيل2!R25)</f>
        <v>0</v>
      </c>
      <c r="F21" s="1">
        <f>IF(تسجيل2!R25=0,0,تسجيل2!R25)</f>
        <v>0</v>
      </c>
      <c r="G21" s="1">
        <f>IF(تسجيل2!R25=0,0,تسجيل2!R25)</f>
        <v>0</v>
      </c>
      <c r="H21" s="8">
        <f>IF(تسجيل2!R25=0,0,تسجيل2!R25)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تسجيل2!M38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IF('Format (2)'!E8=1,تسجيل2!E7,IF('Format (2)'!E8=2,'Format Οδηγων (2)'!D24,IF('Format (2)'!E8=3,'Format Οδηγων (2)'!E24,IF('Format (2)'!E8=4,'Format Οδηγων (2)'!F24,IF('Format (2)'!E8=5,'Format Οδηγων (2)'!G24,IF('Format (2)'!E8=6,'Format Οδηγων (2)'!H24))))))</f>
        <v>400</v>
      </c>
      <c r="L23" s="10">
        <f>IF('Format (2)'!E8=1,تسجيل2!E7-30,IF('Format (2)'!E8=2,D25,IF('Format (2)'!E8=3,E25,IF('Format (2)'!E8=4,F25,IF('Format (2)'!E8=5,G25,IF('Format (2)'!E8=6,H25))))))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6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'Format (2)'!B17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تسجيل2!C7</f>
        <v>400</v>
      </c>
      <c r="J4" s="15">
        <v>4</v>
      </c>
      <c r="K4" s="15">
        <v>2</v>
      </c>
    </row>
    <row r="5">
      <c r="A5" s="1" t="s">
        <v>581</v>
      </c>
      <c r="B5" s="1">
        <f>تسجيل2!E7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Ro-2'!L14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(((B4-(تسجيل2!C22*2))/200)+1)*B9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7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IF('Format (2)'!A7=1,'Format (2)'!A2,IF('Format (2)'!A7=2,'Format (2)'!A3,IF('Format (2)'!A7=3,'Format (2)'!A4,IF('Format (2)'!A7=4,'Format (2)'!A5,IF('Format (2)'!A7=5,'Format (2)'!A6)))))</f>
        <v>EVO 150X70</v>
      </c>
      <c r="B2" s="1">
        <f>تسجيل2!E7</f>
        <v>400</v>
      </c>
      <c r="C2" s="1" t="str">
        <f>IF('Format (2)'!N8=1,'Format (2)'!N2,IF('Format (2)'!N8=2,'Format (2)'!N3,IF('Format (2)'!N8=3,'Format (2)'!N4,IF('Format (2)'!N8=4,'Format (2)'!N5,IF('Format (2)'!N8=5,'Format (2)'!N6,IF('Format (2)'!N8=6,'Format (2)'!N7,"--------"))))))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IF('Format (2)'!N8=1,'Format διαστασης οδηγου (2)'!B2-32,IF('Format (2)'!N8=2,'Format διαστασης οδηγου (2)'!B2-43,"-------"))</f>
        <v>368</v>
      </c>
      <c r="K6" s="8"/>
    </row>
    <row r="7">
      <c r="A7" s="4" t="s">
        <v>599</v>
      </c>
      <c r="C7" s="1">
        <f>IF('Format (2)'!N8=1,'Format διαστασης οδηγου (2)'!B2-35,IF('Format (2)'!N8=3,'Format διαστασης οδηγου (2)'!B2-36,IF('Format (2)'!N8=4,'Format διαστασης οδηγου (2)'!B2-32,"-------")))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IF('Format (2)'!N8=1,'Format διαστασης οδηγου (2)'!B2-32,"-------")</f>
        <v>368</v>
      </c>
      <c r="F8" s="1">
        <f>IF('Format (2)'!A7=1,C6,IF('Format (2)'!A7=2,C7,IF('Format (2)'!A7=3,C8,IF('Format (2)'!A7=4,C9,IF('Format (2)'!A7=5,C10)))))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IF('Format (2)'!N8=5,'Format διαστασης οδηγου (2)'!B2-35,IF('Format (2)'!N8=6,'Format διαστασης οδηγου (2)'!B2-31,"-------"))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IF('Format (2)'!N8=1,B2,IF('Format (2)'!N8=2,'Format διαστασης οδηγου (2)'!B2-11,"-------"))</f>
        <v>400</v>
      </c>
      <c r="K14" s="8"/>
    </row>
    <row r="15">
      <c r="A15" s="4" t="s">
        <v>599</v>
      </c>
      <c r="C15" s="1">
        <f>IF('Format (2)'!N8=3,'Format διαστασης οδηγου (2)'!B2-5,IF('Format (2)'!N8=1,'Format διαστασης οδηγου (2)'!B2,IF('Format (2)'!N8=4,'Format διαστασης οδηγου (2)'!B2,"-------")))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IF('Format (2)'!N8=1,'Format διαστασης οδηγου (2)'!B2,"-------")</f>
        <v>400</v>
      </c>
      <c r="F16" s="1">
        <f>IF('Format (2)'!A7=1,C14,IF('Format (2)'!A7=2,C15,IF('Format (2)'!A7=3,C16,IF('Format (2)'!A7=4,C17,IF('Format (2)'!A7=5,C118)))))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IF('Format (2)'!N8=5,'Format διαστασης οδηγου (2)'!B2-6,IF('Format (2)'!N8=6,'Format διαστασης οδηγου (2)'!B2-2,"-------"))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8"/>
  <dimension ref="A1:X82"/>
  <sheetViews>
    <sheetView topLeftCell="F1" workbookViewId="0">
      <selection activeCell="AF16" sqref="AF16"/>
    </sheetView>
  </sheetViews>
  <sheetFormatPr defaultColWidth="9.109375" defaultRowHeight="14.4"/>
  <cols>
    <col min="1" max="1" width="15.88671875" customWidth="1" style="10"/>
    <col min="2" max="2" width="18" customWidth="1" style="10"/>
    <col min="3" max="3" width="17.33203125" customWidth="1" style="10"/>
    <col min="4" max="4" width="14.6640625" customWidth="1" style="10"/>
    <col min="5" max="5" width="15.88671875" customWidth="1" style="10"/>
    <col min="6" max="6" width="10" customWidth="1" style="10"/>
    <col min="7" max="9" width="9.109375" customWidth="1" style="10"/>
    <col min="10" max="10" width="7.44140625" customWidth="1" style="10"/>
    <col min="11" max="11" width="9.5546875" customWidth="1" style="10"/>
    <col min="12" max="12" width="11.6640625" customWidth="1" style="10"/>
    <col min="13" max="13" width="9.109375" customWidth="1" style="10"/>
    <col min="14" max="14" width="23.33203125" customWidth="1" style="1"/>
    <col min="15" max="15" width="22.33203125" customWidth="1" style="10"/>
    <col min="16" max="16" width="13.6640625" customWidth="1" style="10"/>
    <col min="17" max="16384" width="9.109375" customWidth="1" style="10"/>
  </cols>
  <sheetData>
    <row r="1">
      <c r="A1" s="20" t="s">
        <v>371</v>
      </c>
      <c r="B1" s="20" t="s">
        <v>338</v>
      </c>
      <c r="C1" s="20" t="s">
        <v>340</v>
      </c>
      <c r="D1" s="20" t="s">
        <v>343</v>
      </c>
      <c r="E1" s="20" t="s">
        <v>344</v>
      </c>
      <c r="F1" s="20" t="s">
        <v>348</v>
      </c>
      <c r="G1" s="20" t="s">
        <v>353</v>
      </c>
      <c r="H1" s="20" t="s">
        <v>516</v>
      </c>
      <c r="I1" s="20" t="s">
        <v>350</v>
      </c>
      <c r="J1" s="1110" t="s">
        <v>517</v>
      </c>
      <c r="K1" s="1111"/>
      <c r="L1" s="1111"/>
      <c r="M1" s="1112"/>
      <c r="N1" s="20" t="s">
        <v>518</v>
      </c>
      <c r="O1" s="20" t="s">
        <v>350</v>
      </c>
      <c r="P1" s="20" t="s">
        <v>519</v>
      </c>
    </row>
    <row r="2">
      <c r="A2" s="21" t="s">
        <v>520</v>
      </c>
      <c r="B2" s="21" t="s">
        <v>521</v>
      </c>
      <c r="C2" s="21" t="s">
        <v>521</v>
      </c>
      <c r="D2" s="21" t="s">
        <v>522</v>
      </c>
      <c r="E2" s="21" t="s">
        <v>523</v>
      </c>
      <c r="F2" s="21" t="s">
        <v>524</v>
      </c>
      <c r="G2" s="21" t="s">
        <v>524</v>
      </c>
      <c r="H2" s="21" t="s">
        <v>524</v>
      </c>
      <c r="I2" s="21" t="s">
        <v>523</v>
      </c>
      <c r="J2" s="4" t="s">
        <v>364</v>
      </c>
      <c r="K2" s="1" t="s">
        <v>365</v>
      </c>
      <c r="L2" s="1" t="s">
        <v>525</v>
      </c>
      <c r="M2" s="18" t="s">
        <v>345</v>
      </c>
      <c r="N2" s="21" t="s">
        <v>526</v>
      </c>
      <c r="O2" s="21" t="s">
        <v>527</v>
      </c>
      <c r="P2" s="21" t="s">
        <v>524</v>
      </c>
    </row>
    <row r="3">
      <c r="A3" s="21" t="s">
        <v>528</v>
      </c>
      <c r="B3" s="21" t="s">
        <v>529</v>
      </c>
      <c r="C3" s="21" t="s">
        <v>529</v>
      </c>
      <c r="D3" s="21" t="s">
        <v>530</v>
      </c>
      <c r="E3" s="21" t="s">
        <v>531</v>
      </c>
      <c r="F3" s="21" t="s">
        <v>523</v>
      </c>
      <c r="G3" s="21" t="s">
        <v>523</v>
      </c>
      <c r="H3" s="21" t="s">
        <v>523</v>
      </c>
      <c r="I3" s="21" t="s">
        <v>532</v>
      </c>
      <c r="J3" s="49">
        <v>-2</v>
      </c>
      <c r="K3" s="10">
        <v>-5</v>
      </c>
      <c r="L3" s="10">
        <v>-5</v>
      </c>
      <c r="M3" s="18">
        <v>-2</v>
      </c>
      <c r="N3" s="21" t="s">
        <v>533</v>
      </c>
      <c r="O3" s="21" t="s">
        <v>534</v>
      </c>
      <c r="P3" s="21" t="s">
        <v>523</v>
      </c>
    </row>
    <row r="4">
      <c r="A4" s="21" t="s">
        <v>535</v>
      </c>
      <c r="B4" s="21" t="s">
        <v>536</v>
      </c>
      <c r="C4" s="21" t="s">
        <v>537</v>
      </c>
      <c r="D4" s="21">
        <v>1</v>
      </c>
      <c r="E4" s="21" t="s">
        <v>538</v>
      </c>
      <c r="F4" s="21">
        <v>1</v>
      </c>
      <c r="G4" s="21">
        <v>1</v>
      </c>
      <c r="H4" s="21">
        <v>2</v>
      </c>
      <c r="I4" s="21" t="s">
        <v>539</v>
      </c>
      <c r="J4" s="49">
        <v>-1</v>
      </c>
      <c r="K4" s="10">
        <v>-4</v>
      </c>
      <c r="L4" s="10">
        <v>-4</v>
      </c>
      <c r="M4" s="18">
        <v>-1</v>
      </c>
      <c r="N4" s="21" t="s">
        <v>540</v>
      </c>
      <c r="O4" s="21">
        <v>1</v>
      </c>
      <c r="P4" s="21" t="s">
        <v>541</v>
      </c>
    </row>
    <row r="5">
      <c r="A5" s="21" t="s">
        <v>542</v>
      </c>
      <c r="B5" s="21">
        <v>1</v>
      </c>
      <c r="C5" s="21" t="s">
        <v>543</v>
      </c>
      <c r="D5" s="21"/>
      <c r="E5" s="21" t="s">
        <v>544</v>
      </c>
      <c r="F5" s="21"/>
      <c r="G5" s="21"/>
      <c r="H5" s="21"/>
      <c r="I5" s="21">
        <v>2</v>
      </c>
      <c r="J5" s="49">
        <v>0</v>
      </c>
      <c r="K5" s="10">
        <v>-3</v>
      </c>
      <c r="L5" s="10">
        <v>-3</v>
      </c>
      <c r="M5" s="18">
        <v>0</v>
      </c>
      <c r="N5" s="21" t="s">
        <v>545</v>
      </c>
      <c r="O5" s="21"/>
      <c r="P5" s="21">
        <v>1</v>
      </c>
    </row>
    <row r="6">
      <c r="A6" s="21" t="s">
        <v>546</v>
      </c>
      <c r="B6" s="21"/>
      <c r="C6" s="21" t="s">
        <v>547</v>
      </c>
      <c r="D6" s="21"/>
      <c r="E6" s="21" t="s">
        <v>548</v>
      </c>
      <c r="F6" s="21"/>
      <c r="G6" s="21"/>
      <c r="H6" s="21"/>
      <c r="I6" s="21"/>
      <c r="J6" s="49">
        <v>1</v>
      </c>
      <c r="K6" s="10">
        <v>-2</v>
      </c>
      <c r="L6" s="10">
        <v>-2</v>
      </c>
      <c r="M6" s="18">
        <v>1</v>
      </c>
      <c r="N6" s="21" t="s">
        <v>549</v>
      </c>
      <c r="O6" s="21"/>
      <c r="P6" s="21"/>
    </row>
    <row r="7">
      <c r="A7" s="21">
        <v>2</v>
      </c>
      <c r="B7" s="21"/>
      <c r="C7" s="21" t="s">
        <v>536</v>
      </c>
      <c r="D7" s="21"/>
      <c r="E7" s="21" t="s">
        <v>550</v>
      </c>
      <c r="F7" s="21"/>
      <c r="G7" s="21"/>
      <c r="H7" s="21"/>
      <c r="I7" s="21"/>
      <c r="J7" s="49">
        <v>2</v>
      </c>
      <c r="K7" s="10">
        <v>-1</v>
      </c>
      <c r="L7" s="10">
        <v>-1</v>
      </c>
      <c r="M7" s="18">
        <v>2</v>
      </c>
      <c r="N7" s="21" t="s">
        <v>551</v>
      </c>
      <c r="O7" s="50"/>
      <c r="P7" s="21"/>
    </row>
    <row r="8">
      <c r="A8" s="21"/>
      <c r="B8" s="21"/>
      <c r="C8" s="21">
        <v>1</v>
      </c>
      <c r="D8" s="21"/>
      <c r="E8" s="21">
        <v>4</v>
      </c>
      <c r="F8" s="21"/>
      <c r="G8" s="21"/>
      <c r="H8" s="21"/>
      <c r="I8" s="21"/>
      <c r="J8" s="49">
        <v>3</v>
      </c>
      <c r="K8" s="10">
        <v>0</v>
      </c>
      <c r="L8" s="10">
        <v>0</v>
      </c>
      <c r="M8" s="18">
        <v>3</v>
      </c>
      <c r="N8" s="21">
        <v>1</v>
      </c>
      <c r="O8" s="50"/>
      <c r="P8" s="50"/>
    </row>
    <row r="9">
      <c r="A9" s="21"/>
      <c r="B9" s="21"/>
      <c r="C9" s="21"/>
      <c r="D9" s="21"/>
      <c r="E9" s="21"/>
      <c r="F9" s="21"/>
      <c r="G9" s="21"/>
      <c r="H9" s="21"/>
      <c r="I9" s="21"/>
      <c r="J9" s="49"/>
      <c r="K9" s="10">
        <v>1</v>
      </c>
      <c r="L9" s="10">
        <v>1</v>
      </c>
      <c r="M9" s="18"/>
      <c r="N9" s="21"/>
      <c r="O9" s="50"/>
      <c r="P9" s="50"/>
    </row>
    <row r="10">
      <c r="A10" s="21"/>
      <c r="B10" s="21"/>
      <c r="C10" s="21"/>
      <c r="D10" s="21"/>
      <c r="E10" s="21"/>
      <c r="F10" s="21"/>
      <c r="G10" s="21"/>
      <c r="H10" s="21"/>
      <c r="I10" s="21"/>
      <c r="J10" s="49"/>
      <c r="K10" s="10">
        <v>2</v>
      </c>
      <c r="L10" s="10">
        <v>2</v>
      </c>
      <c r="M10" s="18"/>
      <c r="N10" s="21"/>
      <c r="O10" s="50"/>
      <c r="P10" s="50"/>
    </row>
    <row r="11">
      <c r="A11" s="21"/>
      <c r="B11" s="21"/>
      <c r="C11" s="21"/>
      <c r="D11" s="21"/>
      <c r="E11" s="21"/>
      <c r="F11" s="21"/>
      <c r="G11" s="21"/>
      <c r="H11" s="21"/>
      <c r="I11" s="21"/>
      <c r="J11" s="49"/>
      <c r="K11" s="10">
        <v>3</v>
      </c>
      <c r="L11" s="10">
        <v>3</v>
      </c>
      <c r="M11" s="18"/>
      <c r="N11" s="21"/>
      <c r="O11" s="50"/>
      <c r="P11" s="50"/>
    </row>
    <row r="12">
      <c r="A12" s="21"/>
      <c r="B12" s="21"/>
      <c r="C12" s="21"/>
      <c r="D12" s="21"/>
      <c r="E12" s="21"/>
      <c r="F12" s="21"/>
      <c r="G12" s="21"/>
      <c r="H12" s="21"/>
      <c r="I12" s="21"/>
      <c r="J12" s="49"/>
      <c r="K12" s="10">
        <v>4</v>
      </c>
      <c r="L12" s="10">
        <v>4</v>
      </c>
      <c r="M12" s="18"/>
      <c r="N12" s="21"/>
      <c r="O12" s="50"/>
      <c r="P12" s="50"/>
    </row>
    <row r="13">
      <c r="A13" s="21"/>
      <c r="B13" s="21"/>
      <c r="C13" s="21"/>
      <c r="D13" s="21"/>
      <c r="E13" s="21"/>
      <c r="F13" s="21"/>
      <c r="G13" s="21"/>
      <c r="H13" s="21"/>
      <c r="I13" s="21"/>
      <c r="J13" s="49"/>
      <c r="K13" s="10">
        <v>5</v>
      </c>
      <c r="L13" s="10">
        <v>5</v>
      </c>
      <c r="M13" s="18"/>
      <c r="N13" s="21"/>
      <c r="O13" s="50"/>
      <c r="P13" s="50"/>
    </row>
    <row r="14">
      <c r="A14" s="21"/>
      <c r="B14" s="21"/>
      <c r="C14" s="21"/>
      <c r="D14" s="21"/>
      <c r="E14" s="21"/>
      <c r="F14" s="21"/>
      <c r="G14" s="21"/>
      <c r="H14" s="21"/>
      <c r="I14" s="21"/>
      <c r="J14" s="49"/>
      <c r="K14" s="10">
        <v>6</v>
      </c>
      <c r="L14" s="10">
        <v>6</v>
      </c>
      <c r="M14" s="18"/>
      <c r="N14" s="21"/>
      <c r="O14" s="50"/>
      <c r="P14" s="50"/>
    </row>
    <row r="15">
      <c r="A15" s="22"/>
      <c r="B15" s="22"/>
      <c r="C15" s="22"/>
      <c r="D15" s="22"/>
      <c r="E15" s="22"/>
      <c r="F15" s="22"/>
      <c r="G15" s="22"/>
      <c r="H15" s="22"/>
      <c r="I15" s="22"/>
      <c r="J15" s="51"/>
      <c r="K15" s="19"/>
      <c r="L15" s="19"/>
      <c r="M15" s="52"/>
      <c r="N15" s="22"/>
      <c r="O15" s="53"/>
      <c r="P15" s="53"/>
    </row>
    <row r="16">
      <c r="A16" s="1"/>
      <c r="B16" s="1"/>
      <c r="C16" s="1"/>
      <c r="D16" s="1"/>
      <c r="E16" s="1"/>
      <c r="F16" s="1"/>
      <c r="G16" s="1"/>
      <c r="H16" s="1"/>
      <c r="I16" s="1"/>
    </row>
    <row r="17">
      <c r="A17" s="23" t="s">
        <v>552</v>
      </c>
      <c r="B17" s="24" t="str">
        <f>IF(A7=1,A2,IF(A7=2,A3,IF(A7=3,A4,IF(A7=4,A5,IF(A7=5,A6,IF(A7=6,A7,IF(A7=7,A8,IF(A7=8,A9,IF(A7=9,A10,IF(A7=10,A11,IF(A7=11,A12,IF(A7=12,A13,A14))))))))))))</f>
        <v>EVO 150X70</v>
      </c>
      <c r="C17" s="1113" t="s">
        <v>553</v>
      </c>
      <c r="D17" s="1114"/>
      <c r="E17" s="1114"/>
      <c r="F17" s="1115"/>
      <c r="G17" s="1"/>
      <c r="H17" s="1"/>
      <c r="I17" s="1"/>
    </row>
    <row r="18">
      <c r="A18" s="26" t="s">
        <v>555</v>
      </c>
      <c r="B18" s="27">
        <f>تسجيل1!C7</f>
        <v>400</v>
      </c>
      <c r="C18" s="28" t="s">
        <v>556</v>
      </c>
      <c r="D18" s="28"/>
      <c r="E18" s="28"/>
      <c r="F18" s="25"/>
      <c r="G18" s="1"/>
      <c r="H18" s="1"/>
      <c r="I18" s="1"/>
    </row>
    <row r="19">
      <c r="A19" s="29" t="s">
        <v>557</v>
      </c>
      <c r="B19" s="30">
        <f>'Format διαστασης οδηγου'!F16</f>
        <v>400</v>
      </c>
      <c r="C19" s="31">
        <f>IF(B18&gt;2400,8,IF(B18&gt;2000,7,IF(B18&gt;1600,6,IF(B18&gt;1200,5,IF(B18&gt;800,4,IF(B18&gt;400,3,2))))))</f>
        <v>2</v>
      </c>
      <c r="D19" s="31"/>
      <c r="E19" s="31"/>
      <c r="F19" s="32"/>
      <c r="G19" s="1"/>
      <c r="H19" s="1"/>
      <c r="I19" s="1"/>
    </row>
    <row r="20">
      <c r="A20" s="1"/>
      <c r="B20" s="1"/>
      <c r="C20" s="1"/>
      <c r="D20" s="1"/>
      <c r="E20" s="1"/>
      <c r="F20" s="1"/>
      <c r="G20" s="1"/>
      <c r="H20" s="1"/>
      <c r="I20" s="1"/>
    </row>
    <row r="21">
      <c r="A21" s="1"/>
      <c r="B21" s="1"/>
      <c r="C21" s="1"/>
      <c r="D21" s="1"/>
      <c r="E21" s="1"/>
      <c r="F21" s="1"/>
      <c r="G21" s="1"/>
      <c r="H21" s="1"/>
      <c r="I21" s="1"/>
    </row>
    <row r="22">
      <c r="A22" s="1"/>
      <c r="B22" s="1"/>
      <c r="C22" s="1"/>
      <c r="D22" s="1"/>
      <c r="E22" s="1"/>
      <c r="F22" s="1"/>
      <c r="G22" s="1"/>
      <c r="H22" s="1"/>
      <c r="I22" s="1"/>
    </row>
    <row r="23">
      <c r="A23" s="1"/>
      <c r="B23" s="1"/>
      <c r="C23" s="1"/>
      <c r="D23" s="1"/>
      <c r="E23" s="1"/>
      <c r="F23" s="1"/>
      <c r="G23" s="1"/>
      <c r="H23" s="1"/>
      <c r="I23" s="1"/>
    </row>
    <row r="24">
      <c r="A24" s="1"/>
      <c r="B24" s="1"/>
      <c r="C24" s="1"/>
      <c r="D24" s="1"/>
      <c r="E24" s="1"/>
      <c r="F24" s="1"/>
      <c r="G24" s="1"/>
      <c r="H24" s="1"/>
      <c r="I24" s="1"/>
    </row>
    <row r="25">
      <c r="A25" s="1"/>
      <c r="B25" s="1"/>
      <c r="C25" s="1"/>
      <c r="D25" s="1"/>
      <c r="E25" s="1"/>
      <c r="F25" s="1"/>
      <c r="G25" s="1"/>
      <c r="H25" s="1"/>
      <c r="I25" s="1"/>
    </row>
    <row r="29">
      <c r="A29" s="1116" t="s">
        <v>560</v>
      </c>
      <c r="B29" s="1117"/>
      <c r="C29" s="1117"/>
      <c r="D29" s="1117"/>
      <c r="E29" s="1117"/>
      <c r="F29" s="1117"/>
      <c r="G29" s="1117"/>
      <c r="H29" s="1118"/>
      <c r="I29" s="1116" t="s">
        <v>561</v>
      </c>
      <c r="J29" s="1117"/>
      <c r="K29" s="1117"/>
      <c r="L29" s="1117"/>
      <c r="M29" s="1117"/>
      <c r="N29" s="1117"/>
      <c r="O29" s="1117"/>
      <c r="P29" s="1118"/>
      <c r="Q29" s="1116" t="s">
        <v>554</v>
      </c>
      <c r="R29" s="1117"/>
      <c r="S29" s="1117"/>
      <c r="T29" s="1117"/>
      <c r="U29" s="1117"/>
      <c r="V29" s="1117"/>
      <c r="W29" s="1117"/>
      <c r="X29" s="1118"/>
    </row>
    <row r="30">
      <c r="A30" s="33"/>
      <c r="B30" s="34"/>
      <c r="C30" s="34"/>
      <c r="D30" s="34"/>
      <c r="E30" s="34"/>
      <c r="F30" s="34"/>
      <c r="G30" s="34"/>
      <c r="H30" s="35"/>
      <c r="I30" s="33"/>
      <c r="J30" s="34"/>
      <c r="K30" s="34"/>
      <c r="L30" s="34"/>
      <c r="M30" s="34"/>
      <c r="N30" s="15"/>
      <c r="O30" s="34"/>
      <c r="P30" s="35"/>
      <c r="Q30" s="33"/>
      <c r="R30" s="34"/>
      <c r="S30" s="34"/>
      <c r="T30" s="34"/>
      <c r="U30" s="34"/>
      <c r="V30" s="34"/>
      <c r="W30" s="34"/>
      <c r="X30" s="35"/>
    </row>
    <row r="31">
      <c r="A31" s="1104" t="s">
        <v>558</v>
      </c>
      <c r="B31" s="1105"/>
      <c r="C31" s="36">
        <f>B19</f>
        <v>400</v>
      </c>
      <c r="D31" s="34" t="s">
        <v>562</v>
      </c>
      <c r="E31" s="36">
        <f>H34</f>
        <v>5</v>
      </c>
      <c r="F31" s="34"/>
      <c r="G31" s="34"/>
      <c r="H31" s="35"/>
      <c r="I31" s="1104" t="s">
        <v>558</v>
      </c>
      <c r="J31" s="1105"/>
      <c r="K31" s="36">
        <f>B19</f>
        <v>400</v>
      </c>
      <c r="L31" s="34" t="s">
        <v>562</v>
      </c>
      <c r="M31" s="36">
        <f>P34</f>
        <v>5</v>
      </c>
      <c r="N31" s="15"/>
      <c r="O31" s="34"/>
      <c r="P31" s="35"/>
      <c r="Q31" s="1106" t="s">
        <v>558</v>
      </c>
      <c r="R31" s="1107"/>
      <c r="S31" s="57">
        <f>B19</f>
        <v>400</v>
      </c>
      <c r="T31" s="47" t="s">
        <v>559</v>
      </c>
      <c r="U31" s="57">
        <f>INT((S31-4)/25)+1</f>
        <v>16</v>
      </c>
      <c r="V31" s="47"/>
      <c r="W31" s="47"/>
      <c r="X31" s="48"/>
    </row>
    <row r="32">
      <c r="A32" s="1108" t="s">
        <v>562</v>
      </c>
      <c r="B32" s="1109"/>
      <c r="C32" s="1109"/>
      <c r="D32" s="34"/>
      <c r="E32" s="34"/>
      <c r="F32" s="38"/>
      <c r="G32" s="34"/>
      <c r="H32" s="35"/>
      <c r="I32" s="1108" t="s">
        <v>563</v>
      </c>
      <c r="J32" s="1109"/>
      <c r="K32" s="1109"/>
      <c r="L32" s="34"/>
      <c r="M32" s="34"/>
      <c r="N32" s="54"/>
      <c r="O32" s="34"/>
      <c r="P32" s="35"/>
    </row>
    <row r="33">
      <c r="A33" s="39" t="s">
        <v>564</v>
      </c>
      <c r="B33" s="40" t="s">
        <v>565</v>
      </c>
      <c r="C33" s="40" t="s">
        <v>566</v>
      </c>
      <c r="D33" s="34"/>
      <c r="E33" s="40" t="s">
        <v>564</v>
      </c>
      <c r="F33" s="40" t="s">
        <v>565</v>
      </c>
      <c r="G33" s="40" t="s">
        <v>566</v>
      </c>
      <c r="H33" s="35"/>
      <c r="I33" s="39" t="s">
        <v>564</v>
      </c>
      <c r="J33" s="40" t="s">
        <v>565</v>
      </c>
      <c r="K33" s="40" t="s">
        <v>566</v>
      </c>
      <c r="L33" s="34"/>
      <c r="M33" s="40" t="s">
        <v>564</v>
      </c>
      <c r="N33" s="37" t="s">
        <v>565</v>
      </c>
      <c r="O33" s="40" t="s">
        <v>566</v>
      </c>
      <c r="P33" s="35"/>
    </row>
    <row r="34">
      <c r="A34" s="33">
        <v>1</v>
      </c>
      <c r="B34" s="41">
        <v>0</v>
      </c>
      <c r="C34" s="41">
        <v>152</v>
      </c>
      <c r="D34" s="41">
        <f>C34+1</f>
        <v>153</v>
      </c>
      <c r="E34" s="34" t="s">
        <v>567</v>
      </c>
      <c r="F34" s="41">
        <f>B34</f>
        <v>0</v>
      </c>
      <c r="G34" s="41">
        <f>C38</f>
        <v>402</v>
      </c>
      <c r="H34" s="42">
        <f>IF(C31&lt;D34,A34,IF(C31&lt;D35,A35,IF(C31&lt;D36,A36,IF(C31&lt;D37,A37,IF(C31&lt;D38,A38,H39)))))</f>
        <v>5</v>
      </c>
      <c r="I34" s="33">
        <v>1</v>
      </c>
      <c r="J34" s="41">
        <v>0</v>
      </c>
      <c r="K34" s="41">
        <v>168</v>
      </c>
      <c r="L34" s="41">
        <f>K34+1</f>
        <v>169</v>
      </c>
      <c r="M34" s="34" t="s">
        <v>567</v>
      </c>
      <c r="N34" s="55">
        <f>J34</f>
        <v>0</v>
      </c>
      <c r="O34" s="41">
        <f>K38</f>
        <v>460</v>
      </c>
      <c r="P34" s="42">
        <f>IF(K31&lt;L34,I34,IF(K31&lt;L35,I35,IF(K31&lt;L36,I36,IF(K31&lt;L37,I37,IF(K31&lt;L38,I38,P39)))))</f>
        <v>5</v>
      </c>
    </row>
    <row r="35">
      <c r="A35" s="39">
        <v>2</v>
      </c>
      <c r="B35" s="43">
        <f>C34+1</f>
        <v>153</v>
      </c>
      <c r="C35" s="43">
        <v>215</v>
      </c>
      <c r="D35" s="41">
        <f ref="D35:D52" t="shared" si="0">C35+1</f>
        <v>216</v>
      </c>
      <c r="E35" s="34"/>
      <c r="F35" s="34"/>
      <c r="G35" s="34"/>
      <c r="H35" s="42"/>
      <c r="I35" s="39">
        <v>2</v>
      </c>
      <c r="J35" s="43">
        <f>K34+1</f>
        <v>169</v>
      </c>
      <c r="K35" s="43">
        <v>241</v>
      </c>
      <c r="L35" s="41">
        <f ref="L35:L52" t="shared" si="1">K35+1</f>
        <v>242</v>
      </c>
      <c r="M35" s="34"/>
      <c r="N35" s="15"/>
      <c r="O35" s="34"/>
      <c r="P35" s="42"/>
    </row>
    <row r="36">
      <c r="A36" s="33">
        <v>3</v>
      </c>
      <c r="B36" s="43">
        <f ref="B36:B52" t="shared" si="2">C35+1</f>
        <v>216</v>
      </c>
      <c r="C36" s="41">
        <v>277</v>
      </c>
      <c r="D36" s="41">
        <f t="shared" si="0"/>
        <v>278</v>
      </c>
      <c r="E36" s="34"/>
      <c r="F36" s="34"/>
      <c r="G36" s="34"/>
      <c r="H36" s="42"/>
      <c r="I36" s="33">
        <v>3</v>
      </c>
      <c r="J36" s="43">
        <f ref="J36:J52" t="shared" si="3">K35+1</f>
        <v>242</v>
      </c>
      <c r="K36" s="41">
        <v>314</v>
      </c>
      <c r="L36" s="41">
        <f t="shared" si="1"/>
        <v>315</v>
      </c>
      <c r="M36" s="34"/>
      <c r="N36" s="15"/>
      <c r="O36" s="34"/>
      <c r="P36" s="42"/>
    </row>
    <row r="37">
      <c r="A37" s="39">
        <v>4</v>
      </c>
      <c r="B37" s="43">
        <f t="shared" si="2"/>
        <v>278</v>
      </c>
      <c r="C37" s="41">
        <v>339</v>
      </c>
      <c r="D37" s="41">
        <f t="shared" si="0"/>
        <v>340</v>
      </c>
      <c r="E37" s="34"/>
      <c r="F37" s="34"/>
      <c r="G37" s="34"/>
      <c r="H37" s="42"/>
      <c r="I37" s="39">
        <v>4</v>
      </c>
      <c r="J37" s="43">
        <f t="shared" si="3"/>
        <v>315</v>
      </c>
      <c r="K37" s="41">
        <v>387</v>
      </c>
      <c r="L37" s="41">
        <f t="shared" si="1"/>
        <v>388</v>
      </c>
      <c r="M37" s="34"/>
      <c r="N37" s="15"/>
      <c r="O37" s="34"/>
      <c r="P37" s="42"/>
    </row>
    <row r="38">
      <c r="A38" s="33">
        <v>5</v>
      </c>
      <c r="B38" s="43">
        <f t="shared" si="2"/>
        <v>340</v>
      </c>
      <c r="C38" s="43">
        <v>402</v>
      </c>
      <c r="D38" s="41">
        <f t="shared" si="0"/>
        <v>403</v>
      </c>
      <c r="E38" s="34"/>
      <c r="F38" s="34"/>
      <c r="G38" s="34"/>
      <c r="H38" s="42"/>
      <c r="I38" s="33">
        <v>5</v>
      </c>
      <c r="J38" s="43">
        <f t="shared" si="3"/>
        <v>388</v>
      </c>
      <c r="K38" s="43">
        <v>460</v>
      </c>
      <c r="L38" s="41">
        <f t="shared" si="1"/>
        <v>461</v>
      </c>
      <c r="M38" s="34"/>
      <c r="N38" s="15"/>
      <c r="O38" s="34"/>
      <c r="P38" s="42"/>
    </row>
    <row r="39">
      <c r="A39" s="39">
        <v>6</v>
      </c>
      <c r="B39" s="43">
        <f t="shared" si="2"/>
        <v>403</v>
      </c>
      <c r="C39" s="41">
        <v>464</v>
      </c>
      <c r="D39" s="41">
        <f t="shared" si="0"/>
        <v>465</v>
      </c>
      <c r="E39" s="40" t="s">
        <v>568</v>
      </c>
      <c r="F39" s="41">
        <f>B39</f>
        <v>403</v>
      </c>
      <c r="G39" s="41">
        <f>C43</f>
        <v>713</v>
      </c>
      <c r="H39" s="42">
        <f>IF(C31&lt;D39,A39,IF(C31&lt;D40,A40,IF(C31&lt;D41,A41,IF(C31&lt;D42,A42,IF(C31&lt;D43,A43,H44)))))</f>
        <v>6</v>
      </c>
      <c r="I39" s="39">
        <v>6</v>
      </c>
      <c r="J39" s="43">
        <f t="shared" si="3"/>
        <v>461</v>
      </c>
      <c r="K39" s="41">
        <v>533</v>
      </c>
      <c r="L39" s="41">
        <f t="shared" si="1"/>
        <v>534</v>
      </c>
      <c r="M39" s="40" t="s">
        <v>568</v>
      </c>
      <c r="N39" s="55">
        <f>J39</f>
        <v>461</v>
      </c>
      <c r="O39" s="41">
        <f>K43</f>
        <v>825</v>
      </c>
      <c r="P39" s="42">
        <f>IF(K31&lt;L39,I39,IF(K31&lt;L40,I40,IF(K31&lt;L41,I41,IF(K31&lt;L42,I42,IF(K31&lt;L43,I43,P44)))))</f>
        <v>6</v>
      </c>
    </row>
    <row r="40">
      <c r="A40" s="33">
        <v>7</v>
      </c>
      <c r="B40" s="43">
        <f t="shared" si="2"/>
        <v>465</v>
      </c>
      <c r="C40" s="41">
        <v>527</v>
      </c>
      <c r="D40" s="41">
        <f t="shared" si="0"/>
        <v>528</v>
      </c>
      <c r="E40" s="34"/>
      <c r="F40" s="34"/>
      <c r="G40" s="34"/>
      <c r="H40" s="42"/>
      <c r="I40" s="33">
        <v>7</v>
      </c>
      <c r="J40" s="43">
        <f t="shared" si="3"/>
        <v>534</v>
      </c>
      <c r="K40" s="41">
        <v>606</v>
      </c>
      <c r="L40" s="41">
        <f t="shared" si="1"/>
        <v>607</v>
      </c>
      <c r="M40" s="34"/>
      <c r="N40" s="15"/>
      <c r="O40" s="34"/>
      <c r="P40" s="42"/>
    </row>
    <row r="41">
      <c r="A41" s="39">
        <v>8</v>
      </c>
      <c r="B41" s="43">
        <f t="shared" si="2"/>
        <v>528</v>
      </c>
      <c r="C41" s="43">
        <v>589</v>
      </c>
      <c r="D41" s="41">
        <f t="shared" si="0"/>
        <v>590</v>
      </c>
      <c r="E41" s="34"/>
      <c r="F41" s="34"/>
      <c r="G41" s="34"/>
      <c r="H41" s="42"/>
      <c r="I41" s="39">
        <v>8</v>
      </c>
      <c r="J41" s="43">
        <f t="shared" si="3"/>
        <v>607</v>
      </c>
      <c r="K41" s="43">
        <v>679</v>
      </c>
      <c r="L41" s="41">
        <f t="shared" si="1"/>
        <v>680</v>
      </c>
      <c r="M41" s="34"/>
      <c r="N41" s="15"/>
      <c r="O41" s="34"/>
      <c r="P41" s="42"/>
    </row>
    <row r="42">
      <c r="A42" s="33">
        <v>9</v>
      </c>
      <c r="B42" s="43">
        <f t="shared" si="2"/>
        <v>590</v>
      </c>
      <c r="C42" s="41">
        <v>651</v>
      </c>
      <c r="D42" s="41">
        <f t="shared" si="0"/>
        <v>652</v>
      </c>
      <c r="E42" s="34"/>
      <c r="F42" s="34"/>
      <c r="G42" s="34"/>
      <c r="H42" s="42"/>
      <c r="I42" s="33">
        <v>9</v>
      </c>
      <c r="J42" s="43">
        <f t="shared" si="3"/>
        <v>680</v>
      </c>
      <c r="K42" s="41">
        <v>752</v>
      </c>
      <c r="L42" s="41">
        <f t="shared" si="1"/>
        <v>753</v>
      </c>
      <c r="M42" s="34"/>
      <c r="N42" s="15"/>
      <c r="O42" s="34"/>
      <c r="P42" s="42"/>
    </row>
    <row r="43">
      <c r="A43" s="39">
        <v>10</v>
      </c>
      <c r="B43" s="43">
        <f t="shared" si="2"/>
        <v>652</v>
      </c>
      <c r="C43" s="41">
        <v>713</v>
      </c>
      <c r="D43" s="41">
        <f t="shared" si="0"/>
        <v>714</v>
      </c>
      <c r="E43" s="34"/>
      <c r="F43" s="34"/>
      <c r="G43" s="34"/>
      <c r="H43" s="42"/>
      <c r="I43" s="39">
        <v>10</v>
      </c>
      <c r="J43" s="43">
        <f t="shared" si="3"/>
        <v>753</v>
      </c>
      <c r="K43" s="41">
        <v>825</v>
      </c>
      <c r="L43" s="41">
        <f t="shared" si="1"/>
        <v>826</v>
      </c>
      <c r="M43" s="34"/>
      <c r="N43" s="15"/>
      <c r="O43" s="34"/>
      <c r="P43" s="42"/>
    </row>
    <row r="44">
      <c r="A44" s="33">
        <v>11</v>
      </c>
      <c r="B44" s="43">
        <f t="shared" si="2"/>
        <v>714</v>
      </c>
      <c r="C44" s="43">
        <v>776</v>
      </c>
      <c r="D44" s="41">
        <f t="shared" si="0"/>
        <v>777</v>
      </c>
      <c r="E44" s="34" t="s">
        <v>569</v>
      </c>
      <c r="F44" s="41">
        <f>B44</f>
        <v>714</v>
      </c>
      <c r="G44" s="41">
        <f>C47</f>
        <v>963</v>
      </c>
      <c r="H44" s="42">
        <f>IF(C31&lt;D44,A44,IF(C31&lt;D45,A45,IF(C31&lt;D46,A46,IF(C31&lt;D47,A47,H48))))</f>
        <v>11</v>
      </c>
      <c r="I44" s="33">
        <v>11</v>
      </c>
      <c r="J44" s="43">
        <f t="shared" si="3"/>
        <v>826</v>
      </c>
      <c r="K44" s="43">
        <v>898</v>
      </c>
      <c r="L44" s="41">
        <f t="shared" si="1"/>
        <v>899</v>
      </c>
      <c r="M44" s="34" t="s">
        <v>569</v>
      </c>
      <c r="N44" s="55">
        <f>J44</f>
        <v>826</v>
      </c>
      <c r="O44" s="41">
        <f>K47</f>
        <v>1117</v>
      </c>
      <c r="P44" s="42">
        <f>IF(K31&lt;L44,I44,IF(K31&lt;L45,I45,IF(K31&lt;L46,I46,IF(K31&lt;L47,I47,P48))))</f>
        <v>11</v>
      </c>
    </row>
    <row r="45">
      <c r="A45" s="39">
        <v>12</v>
      </c>
      <c r="B45" s="43">
        <f t="shared" si="2"/>
        <v>777</v>
      </c>
      <c r="C45" s="41">
        <v>837</v>
      </c>
      <c r="D45" s="41">
        <f t="shared" si="0"/>
        <v>838</v>
      </c>
      <c r="E45" s="34"/>
      <c r="F45" s="34"/>
      <c r="G45" s="34"/>
      <c r="H45" s="42"/>
      <c r="I45" s="39">
        <v>12</v>
      </c>
      <c r="J45" s="43">
        <f t="shared" si="3"/>
        <v>899</v>
      </c>
      <c r="K45" s="41">
        <v>971</v>
      </c>
      <c r="L45" s="41">
        <f t="shared" si="1"/>
        <v>972</v>
      </c>
      <c r="M45" s="34"/>
      <c r="N45" s="15"/>
      <c r="O45" s="34"/>
      <c r="P45" s="42"/>
    </row>
    <row r="46">
      <c r="A46" s="33">
        <v>13</v>
      </c>
      <c r="B46" s="43">
        <f t="shared" si="2"/>
        <v>838</v>
      </c>
      <c r="C46" s="41">
        <v>900</v>
      </c>
      <c r="D46" s="41">
        <f t="shared" si="0"/>
        <v>901</v>
      </c>
      <c r="E46" s="34"/>
      <c r="F46" s="34"/>
      <c r="G46" s="34"/>
      <c r="H46" s="42"/>
      <c r="I46" s="33">
        <v>13</v>
      </c>
      <c r="J46" s="43">
        <f t="shared" si="3"/>
        <v>972</v>
      </c>
      <c r="K46" s="41">
        <v>1044</v>
      </c>
      <c r="L46" s="41">
        <f t="shared" si="1"/>
        <v>1045</v>
      </c>
      <c r="M46" s="34"/>
      <c r="N46" s="15"/>
      <c r="O46" s="34"/>
      <c r="P46" s="42"/>
    </row>
    <row r="47">
      <c r="A47" s="39">
        <v>14</v>
      </c>
      <c r="B47" s="43">
        <f t="shared" si="2"/>
        <v>901</v>
      </c>
      <c r="C47" s="43">
        <v>963</v>
      </c>
      <c r="D47" s="41">
        <f t="shared" si="0"/>
        <v>964</v>
      </c>
      <c r="E47" s="34"/>
      <c r="F47" s="34"/>
      <c r="G47" s="34"/>
      <c r="H47" s="42"/>
      <c r="I47" s="39">
        <v>14</v>
      </c>
      <c r="J47" s="43">
        <f t="shared" si="3"/>
        <v>1045</v>
      </c>
      <c r="K47" s="43">
        <v>1117</v>
      </c>
      <c r="L47" s="41">
        <f t="shared" si="1"/>
        <v>1118</v>
      </c>
      <c r="M47" s="34"/>
      <c r="N47" s="15"/>
      <c r="O47" s="34"/>
      <c r="P47" s="42"/>
    </row>
    <row r="48">
      <c r="A48" s="33">
        <v>15</v>
      </c>
      <c r="B48" s="43">
        <f t="shared" si="2"/>
        <v>964</v>
      </c>
      <c r="C48" s="41">
        <v>1025</v>
      </c>
      <c r="D48" s="41">
        <f t="shared" si="0"/>
        <v>1026</v>
      </c>
      <c r="E48" s="34" t="s">
        <v>570</v>
      </c>
      <c r="F48" s="41">
        <f>B48</f>
        <v>964</v>
      </c>
      <c r="G48" s="41">
        <f>C52</f>
        <v>1270</v>
      </c>
      <c r="H48" s="42">
        <f>IF(C31&lt;D48,A48,IF(C31&lt;D49,A49,IF(C31&lt;D50,A50,IF(C31&lt;D51,A51,H52))))</f>
        <v>15</v>
      </c>
      <c r="I48" s="33">
        <v>15</v>
      </c>
      <c r="J48" s="43">
        <f t="shared" si="3"/>
        <v>1118</v>
      </c>
      <c r="K48" s="41">
        <v>1190</v>
      </c>
      <c r="L48" s="41">
        <f t="shared" si="1"/>
        <v>1191</v>
      </c>
      <c r="M48" s="34" t="s">
        <v>570</v>
      </c>
      <c r="N48" s="55">
        <f>J48</f>
        <v>1118</v>
      </c>
      <c r="O48" s="41">
        <f>K52</f>
        <v>1269</v>
      </c>
      <c r="P48" s="42">
        <f>IF(K31&lt;L48,I48,IF(K31&lt;L49,I49,IF(K31&lt;L50,I50,IF(K31&lt;L51,I51,P52))))</f>
        <v>15</v>
      </c>
    </row>
    <row r="49">
      <c r="A49" s="39">
        <v>16</v>
      </c>
      <c r="B49" s="43">
        <f t="shared" si="2"/>
        <v>1026</v>
      </c>
      <c r="C49" s="41">
        <v>1087</v>
      </c>
      <c r="D49" s="41">
        <f t="shared" si="0"/>
        <v>1088</v>
      </c>
      <c r="E49" s="34"/>
      <c r="F49" s="34"/>
      <c r="G49" s="34"/>
      <c r="H49" s="42"/>
      <c r="I49" s="39">
        <v>16</v>
      </c>
      <c r="J49" s="43">
        <f t="shared" si="3"/>
        <v>1191</v>
      </c>
      <c r="K49" s="41">
        <v>1263</v>
      </c>
      <c r="L49" s="41">
        <f t="shared" si="1"/>
        <v>1264</v>
      </c>
      <c r="M49" s="34"/>
      <c r="N49" s="15"/>
      <c r="O49" s="34"/>
      <c r="P49" s="42"/>
    </row>
    <row r="50">
      <c r="A50" s="33">
        <v>17</v>
      </c>
      <c r="B50" s="43">
        <f t="shared" si="2"/>
        <v>1088</v>
      </c>
      <c r="C50" s="43">
        <v>1145</v>
      </c>
      <c r="D50" s="41">
        <f t="shared" si="0"/>
        <v>1146</v>
      </c>
      <c r="E50" s="34"/>
      <c r="F50" s="34"/>
      <c r="G50" s="34"/>
      <c r="H50" s="42"/>
      <c r="I50" s="33">
        <v>17</v>
      </c>
      <c r="J50" s="43">
        <f t="shared" si="3"/>
        <v>1264</v>
      </c>
      <c r="K50" s="43">
        <v>1265</v>
      </c>
      <c r="L50" s="41">
        <f t="shared" si="1"/>
        <v>1266</v>
      </c>
      <c r="M50" s="34"/>
      <c r="N50" s="15"/>
      <c r="O50" s="34"/>
      <c r="P50" s="42"/>
    </row>
    <row r="51">
      <c r="A51" s="33">
        <v>18</v>
      </c>
      <c r="B51" s="43">
        <f t="shared" si="2"/>
        <v>1146</v>
      </c>
      <c r="C51" s="43">
        <v>1210</v>
      </c>
      <c r="D51" s="41">
        <f t="shared" si="0"/>
        <v>1211</v>
      </c>
      <c r="E51" s="34"/>
      <c r="F51" s="34"/>
      <c r="G51" s="34"/>
      <c r="H51" s="35"/>
      <c r="I51" s="33">
        <v>18</v>
      </c>
      <c r="J51" s="43">
        <f t="shared" si="3"/>
        <v>1266</v>
      </c>
      <c r="K51" s="43">
        <v>1267</v>
      </c>
      <c r="L51" s="41">
        <f t="shared" si="1"/>
        <v>1268</v>
      </c>
      <c r="M51" s="34"/>
      <c r="N51" s="15"/>
      <c r="O51" s="34"/>
      <c r="P51" s="35"/>
    </row>
    <row r="52">
      <c r="A52" s="44">
        <v>19</v>
      </c>
      <c r="B52" s="45">
        <f t="shared" si="2"/>
        <v>1211</v>
      </c>
      <c r="C52" s="45">
        <v>1270</v>
      </c>
      <c r="D52" s="46">
        <f t="shared" si="0"/>
        <v>1271</v>
      </c>
      <c r="E52" s="47"/>
      <c r="F52" s="47"/>
      <c r="G52" s="47"/>
      <c r="H52" s="48" t="s">
        <v>571</v>
      </c>
      <c r="I52" s="44">
        <v>19</v>
      </c>
      <c r="J52" s="45">
        <f t="shared" si="3"/>
        <v>1268</v>
      </c>
      <c r="K52" s="45">
        <v>1269</v>
      </c>
      <c r="L52" s="46">
        <f t="shared" si="1"/>
        <v>1270</v>
      </c>
      <c r="M52" s="47"/>
      <c r="N52" s="56"/>
      <c r="O52" s="47"/>
      <c r="P52" s="48" t="s">
        <v>571</v>
      </c>
    </row>
    <row r="53">
      <c r="A53" s="34"/>
      <c r="B53" s="34"/>
      <c r="C53" s="34"/>
      <c r="D53" s="34"/>
      <c r="E53" s="34"/>
      <c r="F53" s="34"/>
      <c r="G53" s="34"/>
      <c r="H53" s="34"/>
    </row>
    <row r="54">
      <c r="A54" s="34"/>
      <c r="B54" s="34"/>
      <c r="C54" s="34"/>
      <c r="D54" s="34"/>
      <c r="E54" s="34"/>
      <c r="F54" s="34"/>
      <c r="G54" s="34"/>
      <c r="H54" s="34"/>
    </row>
    <row r="79">
      <c r="A79" s="34"/>
      <c r="B79" s="34"/>
      <c r="C79" s="34"/>
      <c r="D79" s="34"/>
      <c r="E79" s="34"/>
      <c r="F79" s="34"/>
      <c r="G79" s="34"/>
      <c r="H79" s="34"/>
    </row>
    <row r="80">
      <c r="A80" s="34"/>
      <c r="B80" s="34"/>
      <c r="C80" s="34"/>
      <c r="D80" s="34"/>
      <c r="E80" s="34"/>
      <c r="F80" s="34"/>
      <c r="G80" s="34"/>
      <c r="H80" s="34"/>
    </row>
    <row r="82">
      <c r="A82" s="34"/>
      <c r="B82" s="34"/>
      <c r="C82" s="34"/>
      <c r="D82" s="34"/>
      <c r="E82" s="34"/>
      <c r="F82" s="34"/>
      <c r="G82" s="34"/>
      <c r="H82" s="34"/>
    </row>
  </sheetData>
  <sheetProtection password="C6E5" sheet="1" objects="1" scenarios="1" selectLockedCells="1" selectUnlockedCells="1"/>
  <mergeCells>
    <mergeCell ref="J1:M1"/>
    <mergeCell ref="C17:F17"/>
    <mergeCell ref="A29:H29"/>
    <mergeCell ref="I29:P29"/>
    <mergeCell ref="Q29:X29"/>
    <mergeCell ref="A31:B31"/>
    <mergeCell ref="I31:J31"/>
    <mergeCell ref="Q31:R31"/>
    <mergeCell ref="A32:C32"/>
    <mergeCell ref="I32:K32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9" tint="-0.249977111117893"/>
  </sheetPr>
  <dimension ref="A1:BT185"/>
  <sheetViews>
    <sheetView rightToLeft="1" tabSelected="1" topLeftCell="Z38" zoomScale="40" zoomScaleNormal="40" zoomScaleSheetLayoutView="70" zoomScalePageLayoutView="25" workbookViewId="0">
      <selection activeCell="AD44" sqref="AD44"/>
    </sheetView>
  </sheetViews>
  <sheetFormatPr defaultColWidth="9" defaultRowHeight="14.4"/>
  <cols>
    <col min="1" max="1" width="4.6640625" customWidth="1"/>
    <col min="2" max="4" width="20.5546875" customWidth="1"/>
    <col min="5" max="5" width="4.5546875" customWidth="1"/>
    <col min="6" max="8" width="20.5546875" customWidth="1"/>
    <col min="9" max="9" width="4.5546875" customWidth="1"/>
    <col min="10" max="12" width="20.5546875" customWidth="1" style="405"/>
    <col min="13" max="13" width="5.109375" customWidth="1" style="405"/>
    <col min="14" max="16" width="20.5546875" customWidth="1" style="405"/>
    <col min="17" max="17" width="6.109375" customWidth="1" style="405"/>
    <col min="18" max="18" width="61.5546875" customWidth="1" style="405"/>
    <col min="19" max="19" width="24.88671875" customWidth="1"/>
    <col min="20" max="20" width="27.109375" customWidth="1"/>
    <col min="21" max="21" width="24.88671875" customWidth="1"/>
    <col min="22" max="22" width="28.44140625" customWidth="1"/>
    <col min="23" max="26" width="24.88671875" customWidth="1"/>
    <col min="27" max="27" width="26.33203125" customWidth="1"/>
    <col min="28" max="28" width="20.6640625" customWidth="1"/>
    <col min="29" max="29" width="19.5546875" customWidth="1"/>
    <col min="30" max="30" width="61.44140625" customWidth="1"/>
    <col min="31" max="31" width="5.33203125" customWidth="1"/>
    <col min="32" max="32" width="23" customWidth="1"/>
    <col min="33" max="33" width="27.77734375" customWidth="1"/>
    <col min="34" max="34" bestFit="1" width="33.6640625" customWidth="1"/>
    <col min="35" max="37" width="23" customWidth="1"/>
    <col min="38" max="38" width="31.6640625" customWidth="1"/>
    <col min="39" max="39" width="33.88671875" customWidth="1"/>
    <col min="40" max="40" width="31.33203125" customWidth="1"/>
    <col min="41" max="42" width="23" customWidth="1"/>
    <col min="43" max="43" width="10.109375" customWidth="1"/>
    <col min="44" max="44" width="61.44140625" customWidth="1"/>
    <col min="45" max="53" width="24.33203125" customWidth="1"/>
    <col min="54" max="54" width="26.5546875" customWidth="1"/>
    <col min="55" max="55" width="7.5546875" customWidth="1" style="406"/>
    <col min="56" max="66" width="24.5546875" customWidth="1"/>
  </cols>
  <sheetData>
    <row r="1" ht="45.75" customHeight="1">
      <c r="A1" s="806"/>
      <c r="B1" s="806"/>
      <c r="C1" s="806"/>
      <c r="D1" s="806"/>
      <c r="E1" s="806"/>
      <c r="F1" s="806"/>
      <c r="G1" s="806"/>
      <c r="H1" s="806"/>
      <c r="I1" s="806"/>
      <c r="J1" s="806"/>
      <c r="K1" s="806"/>
      <c r="L1" s="806"/>
      <c r="M1" s="806"/>
      <c r="N1" s="806"/>
      <c r="O1" s="806"/>
      <c r="P1" s="806"/>
      <c r="Q1" s="806"/>
      <c r="R1" s="839"/>
      <c r="S1" s="408" t="s">
        <v>644</v>
      </c>
      <c r="T1" s="408"/>
      <c r="U1" s="408"/>
      <c r="V1" s="407"/>
      <c r="W1" s="409"/>
      <c r="X1" s="407"/>
      <c r="Y1" s="407"/>
      <c r="Z1" s="407"/>
      <c r="AA1" s="407"/>
      <c r="AB1" s="407"/>
      <c r="AC1" s="407"/>
      <c r="AD1" s="406"/>
      <c r="AE1" s="407"/>
      <c r="AF1" s="407"/>
      <c r="AG1" s="407"/>
      <c r="AH1" s="407"/>
      <c r="AI1" s="407"/>
      <c r="AJ1" s="407"/>
      <c r="AK1" s="407"/>
      <c r="AL1" s="407"/>
      <c r="AM1" s="407"/>
      <c r="AN1" s="407"/>
      <c r="AO1" s="407"/>
      <c r="AP1" s="407"/>
      <c r="AQ1" s="407"/>
      <c r="AR1" s="406"/>
      <c r="AS1" s="408" t="s">
        <v>645</v>
      </c>
      <c r="AT1" s="408"/>
      <c r="AU1" s="408"/>
      <c r="AV1" s="407"/>
      <c r="AW1" s="409"/>
      <c r="AX1" s="407"/>
      <c r="AY1" s="407"/>
      <c r="AZ1" s="407"/>
      <c r="BA1" s="407"/>
      <c r="BB1" s="407"/>
      <c r="BD1" s="408" t="s">
        <v>646</v>
      </c>
      <c r="BE1" s="408"/>
      <c r="BF1" s="853"/>
      <c r="BG1" s="853"/>
      <c r="BH1" s="853"/>
      <c r="BI1" s="853"/>
      <c r="BJ1" s="853"/>
      <c r="BK1" s="853"/>
      <c r="BL1" s="853"/>
      <c r="BM1" s="853"/>
      <c r="BN1" s="853"/>
    </row>
    <row r="2" ht="45" customHeight="1">
      <c r="A2" s="806"/>
      <c r="B2" s="806"/>
      <c r="C2" s="806"/>
      <c r="D2" s="806"/>
      <c r="E2" s="806"/>
      <c r="F2" s="806"/>
      <c r="G2" s="806"/>
      <c r="H2" s="806"/>
      <c r="I2" s="806"/>
      <c r="J2" s="806"/>
      <c r="K2" s="806"/>
      <c r="L2" s="806"/>
      <c r="M2" s="806"/>
      <c r="N2" s="806"/>
      <c r="O2" s="806"/>
      <c r="P2" s="806"/>
      <c r="Q2" s="806"/>
      <c r="R2" s="839"/>
      <c r="S2" s="410" t="s">
        <v>647</v>
      </c>
      <c r="T2" s="411">
        <f>IF((V14="ok"),Royal!G84,"R")</f>
        <v>188589.63387412531</v>
      </c>
      <c r="U2" s="412"/>
      <c r="V2" s="407"/>
      <c r="W2" s="407"/>
      <c r="X2" s="407"/>
      <c r="Y2" s="407"/>
      <c r="Z2" s="407"/>
      <c r="AA2" s="407"/>
      <c r="AB2" s="407"/>
      <c r="AC2" s="407"/>
      <c r="AD2" s="406"/>
      <c r="AE2" s="407"/>
      <c r="AF2" s="831" t="s">
        <v>647</v>
      </c>
      <c r="AG2" s="852" t="str">
        <f>IF(AND(('شماسي و كانتليفر'!O3="ok"),('شماسي و كانتليفر'!O4="ok"),('شماسي و كانتليفر'!O5="ok"),('شماسي و كانتليفر'!O6="ok"),('شماسي و كانتليفر'!O7="ok"),('شماسي و كانتليفر'!O8="OK")),'شماسي و كانتليفر'!N13,"error")</f>
        <v>error</v>
      </c>
      <c r="AH2" s="852"/>
      <c r="AI2" s="414"/>
      <c r="AJ2" s="414"/>
      <c r="AK2" s="414"/>
      <c r="AL2" s="407"/>
      <c r="AM2" s="407"/>
      <c r="AN2" s="407"/>
      <c r="AO2" s="407"/>
      <c r="AP2" s="407"/>
      <c r="AQ2" s="407"/>
      <c r="AR2" s="406"/>
      <c r="AS2" s="464" t="s">
        <v>647</v>
      </c>
      <c r="AT2" s="465">
        <f>IF((AV14="OK"),wavy1!R72,"R")</f>
        <v>108572.92333333334</v>
      </c>
      <c r="AU2" s="412"/>
      <c r="AV2" s="407"/>
      <c r="AW2" s="407"/>
      <c r="AX2" s="407"/>
      <c r="AY2" s="407"/>
      <c r="AZ2" s="407"/>
      <c r="BA2" s="407"/>
      <c r="BB2" s="407"/>
      <c r="BD2" s="479" t="s">
        <v>647</v>
      </c>
      <c r="BE2" s="479">
        <f>IF((BG14="OK"),wavy2!R72,"R")</f>
        <v>154069.87266666669</v>
      </c>
      <c r="BF2" s="853"/>
      <c r="BG2" s="853"/>
      <c r="BH2" s="853"/>
      <c r="BI2" s="853"/>
      <c r="BJ2" s="853"/>
      <c r="BK2" s="853"/>
      <c r="BL2" s="853"/>
      <c r="BM2" s="853"/>
      <c r="BN2" s="853"/>
    </row>
    <row r="3" ht="54.75" customHeight="1">
      <c r="A3" s="806"/>
      <c r="B3" s="806"/>
      <c r="C3" s="806"/>
      <c r="D3" s="806"/>
      <c r="E3" s="806"/>
      <c r="F3" s="806"/>
      <c r="G3" s="806"/>
      <c r="H3" s="806"/>
      <c r="I3" s="806"/>
      <c r="J3" s="806"/>
      <c r="K3" s="806"/>
      <c r="L3" s="806"/>
      <c r="M3" s="806"/>
      <c r="N3" s="806"/>
      <c r="O3" s="806"/>
      <c r="P3" s="806"/>
      <c r="Q3" s="806"/>
      <c r="R3" s="839"/>
      <c r="S3" s="517" t="s">
        <v>127</v>
      </c>
      <c r="T3" s="413">
        <f>T2/(AA10*X8)*10000</f>
        <v>11786.85211713283</v>
      </c>
      <c r="U3" s="412"/>
      <c r="V3" s="414"/>
      <c r="W3" s="407"/>
      <c r="X3" s="407"/>
      <c r="Y3" s="407"/>
      <c r="Z3" s="407"/>
      <c r="AA3" s="407"/>
      <c r="AB3" s="407"/>
      <c r="AC3" s="407"/>
      <c r="AD3" s="406"/>
      <c r="AE3" s="407"/>
      <c r="AF3" s="831"/>
      <c r="AG3" s="852"/>
      <c r="AH3" s="852"/>
      <c r="AI3" s="414"/>
      <c r="AJ3" s="414"/>
      <c r="AK3" s="414"/>
      <c r="AL3" s="407"/>
      <c r="AM3" s="407"/>
      <c r="AN3" s="407"/>
      <c r="AO3" s="407"/>
      <c r="AP3" s="407"/>
      <c r="AQ3" s="407"/>
      <c r="AR3" s="406"/>
      <c r="AS3" s="464" t="s">
        <v>127</v>
      </c>
      <c r="AT3" s="466">
        <f>AT2/(AV10*BA12)*10000</f>
        <v>8685.8338666666659</v>
      </c>
      <c r="AU3" s="412"/>
      <c r="AV3" s="414"/>
      <c r="AW3" s="407"/>
      <c r="AX3" s="407"/>
      <c r="AY3" s="407"/>
      <c r="AZ3" s="407"/>
      <c r="BA3" s="407"/>
      <c r="BB3" s="407"/>
      <c r="BD3" s="480" t="s">
        <v>127</v>
      </c>
      <c r="BE3" s="487">
        <f>BE2/(BG10*BL12)*10000</f>
        <v>4401.9963619047621</v>
      </c>
      <c r="BF3" s="853"/>
      <c r="BG3" s="853"/>
      <c r="BH3" s="853"/>
      <c r="BI3" s="853"/>
      <c r="BJ3" s="853"/>
      <c r="BK3" s="853"/>
      <c r="BL3" s="853"/>
      <c r="BM3" s="853"/>
      <c r="BN3" s="853"/>
    </row>
    <row r="4" ht="55.5" customHeight="1">
      <c r="A4" s="806"/>
      <c r="B4" s="806"/>
      <c r="C4" s="806"/>
      <c r="D4" s="806"/>
      <c r="E4" s="806"/>
      <c r="F4" s="806"/>
      <c r="G4" s="806"/>
      <c r="H4" s="806"/>
      <c r="I4" s="806"/>
      <c r="J4" s="806"/>
      <c r="K4" s="806"/>
      <c r="L4" s="806"/>
      <c r="M4" s="806"/>
      <c r="N4" s="806"/>
      <c r="O4" s="806"/>
      <c r="P4" s="806"/>
      <c r="Q4" s="806"/>
      <c r="R4" s="839"/>
      <c r="S4" s="519" t="s">
        <v>648</v>
      </c>
      <c r="T4" s="520" t="s">
        <v>21</v>
      </c>
      <c r="U4" s="417"/>
      <c r="V4" s="417"/>
      <c r="W4" s="417"/>
      <c r="X4" s="417"/>
      <c r="Y4" s="417"/>
      <c r="Z4" s="417"/>
      <c r="AA4" s="417"/>
      <c r="AB4" s="407"/>
      <c r="AC4" s="412"/>
      <c r="AD4" s="406"/>
      <c r="AE4" s="407"/>
      <c r="AF4" s="831"/>
      <c r="AG4" s="852"/>
      <c r="AH4" s="852"/>
      <c r="AI4" s="407"/>
      <c r="AJ4" s="407"/>
      <c r="AK4" s="407"/>
      <c r="AL4" s="407"/>
      <c r="AM4" s="407"/>
      <c r="AN4" s="407"/>
      <c r="AO4" s="407"/>
      <c r="AP4" s="407"/>
      <c r="AQ4" s="407"/>
      <c r="AR4" s="406"/>
      <c r="AS4" s="418" t="s">
        <v>648</v>
      </c>
      <c r="AT4" s="416" t="s">
        <v>21</v>
      </c>
      <c r="AU4" s="417"/>
      <c r="AV4" s="417"/>
      <c r="AW4" s="417"/>
      <c r="AX4" s="417"/>
      <c r="AY4" s="417"/>
      <c r="AZ4" s="417"/>
      <c r="BA4" s="417"/>
      <c r="BB4" s="407"/>
      <c r="BD4" s="481" t="s">
        <v>648</v>
      </c>
      <c r="BE4" s="487" t="s">
        <v>38</v>
      </c>
      <c r="BF4" s="854"/>
      <c r="BG4" s="855"/>
      <c r="BH4" s="855"/>
      <c r="BI4" s="855"/>
      <c r="BJ4" s="855"/>
      <c r="BK4" s="855"/>
      <c r="BL4" s="855"/>
      <c r="BM4" s="855"/>
      <c r="BN4" s="851"/>
    </row>
    <row r="5" ht="55.5" customHeight="1">
      <c r="A5" s="806"/>
      <c r="B5" s="806"/>
      <c r="C5" s="806"/>
      <c r="D5" s="806"/>
      <c r="E5" s="806"/>
      <c r="F5" s="806"/>
      <c r="G5" s="806"/>
      <c r="H5" s="806"/>
      <c r="I5" s="806"/>
      <c r="J5" s="806"/>
      <c r="K5" s="806"/>
      <c r="L5" s="806"/>
      <c r="M5" s="806"/>
      <c r="N5" s="806"/>
      <c r="O5" s="806"/>
      <c r="P5" s="806"/>
      <c r="Q5" s="806"/>
      <c r="R5" s="839"/>
      <c r="S5" s="519" t="s">
        <v>607</v>
      </c>
      <c r="T5" s="521" t="s">
        <v>611</v>
      </c>
      <c r="U5" s="417"/>
      <c r="V5" s="417"/>
      <c r="W5" s="417"/>
      <c r="X5" s="417"/>
      <c r="Y5" s="417"/>
      <c r="Z5" s="417"/>
      <c r="AA5" s="417"/>
      <c r="AB5" s="405"/>
      <c r="AC5" s="407"/>
      <c r="AD5" s="406"/>
      <c r="AE5" s="407"/>
      <c r="AF5" s="407"/>
      <c r="AG5" s="407"/>
      <c r="AH5" s="407"/>
      <c r="AI5" s="407"/>
      <c r="AJ5" s="457"/>
      <c r="AK5" s="457"/>
      <c r="AL5" s="407"/>
      <c r="AM5" s="407"/>
      <c r="AN5" s="407"/>
      <c r="AO5" s="407"/>
      <c r="AP5" s="407"/>
      <c r="AQ5" s="407"/>
      <c r="AR5" s="406"/>
      <c r="AS5" s="418" t="s">
        <v>607</v>
      </c>
      <c r="AT5" s="530" t="s">
        <v>611</v>
      </c>
      <c r="AU5" s="417"/>
      <c r="AV5" s="417"/>
      <c r="AW5" s="417"/>
      <c r="AX5" s="417"/>
      <c r="AY5" s="417"/>
      <c r="AZ5" s="417"/>
      <c r="BA5" s="417"/>
      <c r="BB5" s="405"/>
      <c r="BD5" s="482" t="s">
        <v>607</v>
      </c>
      <c r="BE5" s="531" t="s">
        <v>614</v>
      </c>
      <c r="BF5" s="854"/>
      <c r="BG5" s="855"/>
      <c r="BH5" s="855"/>
      <c r="BI5" s="855"/>
      <c r="BJ5" s="855"/>
      <c r="BK5" s="855"/>
      <c r="BL5" s="855"/>
      <c r="BM5" s="855"/>
      <c r="BN5" s="851"/>
      <c r="BT5" s="0">
        <v>0</v>
      </c>
    </row>
    <row r="6" ht="55.5" customHeight="1">
      <c r="A6" s="806"/>
      <c r="B6" s="806"/>
      <c r="C6" s="806"/>
      <c r="D6" s="806"/>
      <c r="E6" s="806"/>
      <c r="F6" s="806"/>
      <c r="G6" s="806"/>
      <c r="H6" s="806"/>
      <c r="I6" s="806"/>
      <c r="J6" s="806"/>
      <c r="K6" s="806"/>
      <c r="L6" s="806"/>
      <c r="M6" s="806"/>
      <c r="N6" s="806"/>
      <c r="O6" s="806"/>
      <c r="P6" s="806"/>
      <c r="Q6" s="806"/>
      <c r="R6" s="839"/>
      <c r="S6" s="519" t="s">
        <v>608</v>
      </c>
      <c r="T6" s="520" t="s">
        <v>233</v>
      </c>
      <c r="U6" s="417"/>
      <c r="V6" s="417"/>
      <c r="W6" s="417"/>
      <c r="X6" s="417"/>
      <c r="Y6" s="417"/>
      <c r="Z6" s="417"/>
      <c r="AA6" s="417"/>
      <c r="AB6" s="405"/>
      <c r="AC6" s="407"/>
      <c r="AD6" s="406"/>
      <c r="AE6" s="407"/>
      <c r="AF6" s="407"/>
      <c r="AG6" s="407"/>
      <c r="AH6" s="407"/>
      <c r="AI6" s="458" t="s">
        <v>649</v>
      </c>
      <c r="AJ6" s="458" t="s">
        <v>650</v>
      </c>
      <c r="AK6" s="459" t="s">
        <v>651</v>
      </c>
      <c r="AL6" s="458" t="s">
        <v>293</v>
      </c>
      <c r="AM6" s="458" t="s">
        <v>652</v>
      </c>
      <c r="AN6" s="460" t="s">
        <v>653</v>
      </c>
      <c r="AO6" s="856" t="s">
        <v>654</v>
      </c>
      <c r="AP6" s="857"/>
      <c r="AQ6" s="407"/>
      <c r="AR6" s="406"/>
      <c r="AS6" s="420" t="s">
        <v>608</v>
      </c>
      <c r="AT6" s="421" t="s">
        <v>233</v>
      </c>
      <c r="AU6" s="467"/>
      <c r="AV6" s="467"/>
      <c r="AW6" s="467"/>
      <c r="AX6" s="467"/>
      <c r="AY6" s="467"/>
      <c r="AZ6" s="467"/>
      <c r="BA6" s="467"/>
      <c r="BB6" s="467"/>
      <c r="BD6" s="482" t="s">
        <v>608</v>
      </c>
      <c r="BE6" s="487" t="s">
        <v>229</v>
      </c>
      <c r="BF6" s="467"/>
      <c r="BG6" s="467"/>
      <c r="BH6" s="467"/>
      <c r="BI6" s="467"/>
      <c r="BJ6" s="467"/>
      <c r="BK6" s="467"/>
      <c r="BL6" s="467"/>
      <c r="BM6" s="467"/>
      <c r="BN6" s="851"/>
    </row>
    <row r="7" ht="18.75" customHeight="1">
      <c r="A7" s="806"/>
      <c r="B7" s="806"/>
      <c r="C7" s="806"/>
      <c r="D7" s="806"/>
      <c r="E7" s="806"/>
      <c r="F7" s="806"/>
      <c r="G7" s="806"/>
      <c r="H7" s="806"/>
      <c r="I7" s="806"/>
      <c r="J7" s="806"/>
      <c r="K7" s="806"/>
      <c r="L7" s="806"/>
      <c r="M7" s="806"/>
      <c r="N7" s="806"/>
      <c r="O7" s="806"/>
      <c r="P7" s="806"/>
      <c r="Q7" s="806"/>
      <c r="R7" s="839"/>
      <c r="S7" s="515"/>
      <c r="T7" s="516"/>
      <c r="U7" s="424"/>
      <c r="V7" s="424"/>
      <c r="W7" s="424"/>
      <c r="X7" s="425"/>
      <c r="Y7" s="425"/>
      <c r="Z7" s="417"/>
      <c r="AA7" s="417"/>
      <c r="AB7" s="405"/>
      <c r="AC7" s="407"/>
      <c r="AD7" s="406"/>
      <c r="AE7" s="407"/>
      <c r="AF7" s="407"/>
      <c r="AG7" s="407"/>
      <c r="AH7" s="407"/>
      <c r="AI7" s="407"/>
      <c r="AJ7" s="407"/>
      <c r="AK7" s="407"/>
      <c r="AL7" s="407"/>
      <c r="AM7" s="407"/>
      <c r="AN7" s="407"/>
      <c r="AO7" s="407"/>
      <c r="AP7" s="407"/>
      <c r="AQ7" s="407"/>
      <c r="AR7" s="406"/>
      <c r="AS7" s="422"/>
      <c r="AT7" s="423"/>
      <c r="AU7" s="468"/>
      <c r="AV7" s="468"/>
      <c r="AW7" s="468"/>
      <c r="AX7" s="483"/>
      <c r="AY7" s="483"/>
      <c r="AZ7" s="467"/>
      <c r="BA7" s="467"/>
      <c r="BB7" s="467"/>
      <c r="BD7" s="422"/>
      <c r="BE7" s="423"/>
      <c r="BF7" s="467"/>
      <c r="BG7" s="467"/>
      <c r="BH7" s="467"/>
      <c r="BI7" s="467"/>
      <c r="BJ7" s="467"/>
      <c r="BK7" s="467"/>
      <c r="BL7" s="467"/>
      <c r="BM7" s="467"/>
      <c r="BN7" s="851"/>
    </row>
    <row r="8" ht="55.5" customHeight="1">
      <c r="A8" s="407"/>
      <c r="B8" s="808"/>
      <c r="C8" s="808"/>
      <c r="D8" s="808"/>
      <c r="E8" s="407"/>
      <c r="F8" s="810"/>
      <c r="G8" s="810"/>
      <c r="H8" s="810"/>
      <c r="I8" s="806"/>
      <c r="J8" s="807"/>
      <c r="K8" s="807"/>
      <c r="L8" s="807"/>
      <c r="M8" s="806"/>
      <c r="N8" s="809"/>
      <c r="O8" s="809"/>
      <c r="P8" s="809"/>
      <c r="Q8" s="407"/>
      <c r="R8" s="839"/>
      <c r="S8" s="811"/>
      <c r="T8" s="811"/>
      <c r="U8" s="405"/>
      <c r="V8" s="405"/>
      <c r="W8" s="405"/>
      <c r="X8" s="426">
        <v>400</v>
      </c>
      <c r="Y8" s="405"/>
      <c r="Z8" s="405"/>
      <c r="AA8" s="405"/>
      <c r="AB8" s="405"/>
      <c r="AC8" s="407"/>
      <c r="AD8" s="406"/>
      <c r="AE8" s="407"/>
      <c r="AF8" s="407"/>
      <c r="AG8" s="407"/>
      <c r="AH8" s="407"/>
      <c r="AI8" s="461" t="s">
        <v>255</v>
      </c>
      <c r="AJ8" s="462" t="s">
        <v>207</v>
      </c>
      <c r="AK8" s="462">
        <v>3</v>
      </c>
      <c r="AL8" s="462" t="s">
        <v>229</v>
      </c>
      <c r="AM8" s="462" t="s">
        <v>655</v>
      </c>
      <c r="AN8" s="463" t="s">
        <v>263</v>
      </c>
      <c r="AO8" s="858"/>
      <c r="AP8" s="859"/>
      <c r="AQ8" s="407"/>
      <c r="AR8" s="406"/>
      <c r="AS8" s="431"/>
      <c r="AT8" s="431"/>
      <c r="AU8" s="467"/>
      <c r="AV8" s="467"/>
      <c r="AW8" s="467"/>
      <c r="AX8" s="467"/>
      <c r="AY8" s="467"/>
      <c r="AZ8" s="467"/>
      <c r="BA8" s="467"/>
      <c r="BB8" s="467"/>
      <c r="BD8" s="431"/>
      <c r="BE8" s="431"/>
      <c r="BF8" s="467"/>
      <c r="BG8" s="467"/>
      <c r="BH8" s="467"/>
      <c r="BI8" s="467"/>
      <c r="BJ8" s="467"/>
      <c r="BK8" s="467"/>
      <c r="BL8" s="467"/>
      <c r="BM8" s="467"/>
      <c r="BN8" s="851"/>
    </row>
    <row r="9" ht="55.5" customHeight="1">
      <c r="A9" s="407"/>
      <c r="B9" s="808"/>
      <c r="C9" s="808"/>
      <c r="D9" s="808"/>
      <c r="E9" s="407"/>
      <c r="F9" s="810"/>
      <c r="G9" s="810"/>
      <c r="H9" s="810"/>
      <c r="I9" s="806"/>
      <c r="J9" s="807"/>
      <c r="K9" s="807"/>
      <c r="L9" s="807"/>
      <c r="M9" s="806"/>
      <c r="N9" s="809"/>
      <c r="O9" s="809"/>
      <c r="P9" s="809"/>
      <c r="Q9" s="407"/>
      <c r="R9" s="839"/>
      <c r="S9" s="812"/>
      <c r="T9" s="812"/>
      <c r="U9" s="405"/>
      <c r="V9" s="405"/>
      <c r="W9" s="405"/>
      <c r="X9" s="405"/>
      <c r="Y9" s="405"/>
      <c r="Z9" s="405"/>
      <c r="AA9" s="405"/>
      <c r="AB9" s="405"/>
      <c r="AC9" s="407"/>
      <c r="AD9" s="406"/>
      <c r="AE9" s="407"/>
      <c r="AF9" s="407"/>
      <c r="AG9" s="407"/>
      <c r="AH9" s="407"/>
      <c r="AI9" s="407"/>
      <c r="AJ9" s="407"/>
      <c r="AK9" s="407"/>
      <c r="AL9" s="407"/>
      <c r="AM9" s="407"/>
      <c r="AN9" s="407"/>
      <c r="AO9" s="407"/>
      <c r="AP9" s="407"/>
      <c r="AQ9" s="407"/>
      <c r="AR9" s="406"/>
      <c r="AS9" s="415" t="s">
        <v>656</v>
      </c>
      <c r="AT9" s="416" t="s">
        <v>189</v>
      </c>
      <c r="AU9" s="467"/>
      <c r="AV9" s="467"/>
      <c r="AW9" s="467"/>
      <c r="AX9" s="467"/>
      <c r="AY9" s="467"/>
      <c r="AZ9" s="467"/>
      <c r="BA9" s="467"/>
      <c r="BB9" s="467"/>
      <c r="BD9" s="415" t="s">
        <v>656</v>
      </c>
      <c r="BE9" s="416" t="s">
        <v>189</v>
      </c>
      <c r="BF9" s="467"/>
      <c r="BG9" s="467"/>
      <c r="BH9" s="467"/>
      <c r="BI9" s="467"/>
      <c r="BJ9" s="467"/>
      <c r="BK9" s="467"/>
      <c r="BL9" s="467"/>
      <c r="BM9" s="467"/>
      <c r="BN9" s="851"/>
    </row>
    <row r="10" ht="55.5" customHeight="1">
      <c r="A10" s="407"/>
      <c r="B10" s="808"/>
      <c r="C10" s="808"/>
      <c r="D10" s="808"/>
      <c r="E10" s="407"/>
      <c r="F10" s="810"/>
      <c r="G10" s="810"/>
      <c r="H10" s="810"/>
      <c r="I10" s="806"/>
      <c r="J10" s="807"/>
      <c r="K10" s="807"/>
      <c r="L10" s="807"/>
      <c r="M10" s="806"/>
      <c r="N10" s="809"/>
      <c r="O10" s="809"/>
      <c r="P10" s="809"/>
      <c r="Q10" s="407"/>
      <c r="R10" s="839"/>
      <c r="S10" s="518" t="s">
        <v>657</v>
      </c>
      <c r="T10" s="416" t="s">
        <v>613</v>
      </c>
      <c r="U10" s="405"/>
      <c r="V10" s="427"/>
      <c r="W10" s="427"/>
      <c r="X10" s="427"/>
      <c r="Y10" s="427"/>
      <c r="Z10" s="427"/>
      <c r="AA10" s="426">
        <v>400</v>
      </c>
      <c r="AB10" s="405"/>
      <c r="AC10" s="407"/>
      <c r="AD10" s="406"/>
      <c r="AE10" s="833" t="s">
        <v>658</v>
      </c>
      <c r="AF10" s="833"/>
      <c r="AG10" s="833"/>
      <c r="AH10" s="833"/>
      <c r="AI10" s="833"/>
      <c r="AJ10" s="833"/>
      <c r="AK10" s="833"/>
      <c r="AL10" s="833"/>
      <c r="AM10" s="833"/>
      <c r="AN10" s="833"/>
      <c r="AO10" s="833"/>
      <c r="AP10" s="833"/>
      <c r="AQ10" s="833"/>
      <c r="AR10" s="406"/>
      <c r="AS10" s="415" t="s">
        <v>606</v>
      </c>
      <c r="AT10" s="416" t="s">
        <v>659</v>
      </c>
      <c r="AU10" s="467"/>
      <c r="AV10" s="469">
        <v>250</v>
      </c>
      <c r="AW10" s="470"/>
      <c r="AX10" s="470"/>
      <c r="AY10" s="470"/>
      <c r="AZ10" s="470"/>
      <c r="BA10" s="467"/>
      <c r="BB10" s="467"/>
      <c r="BD10" s="415" t="s">
        <v>606</v>
      </c>
      <c r="BE10" s="416" t="s">
        <v>659</v>
      </c>
      <c r="BF10" s="467"/>
      <c r="BG10" s="469">
        <v>500</v>
      </c>
      <c r="BH10" s="470"/>
      <c r="BI10" s="470"/>
      <c r="BJ10" s="470"/>
      <c r="BK10" s="470"/>
      <c r="BL10" s="467"/>
      <c r="BM10" s="467"/>
      <c r="BN10" s="851"/>
    </row>
    <row r="11" ht="18.75" customHeight="1">
      <c r="A11" s="407"/>
      <c r="B11" s="407"/>
      <c r="C11" s="407"/>
      <c r="D11" s="407"/>
      <c r="E11" s="407"/>
      <c r="F11" s="407"/>
      <c r="G11" s="407"/>
      <c r="H11" s="407"/>
      <c r="I11" s="407"/>
      <c r="J11" s="407"/>
      <c r="K11" s="407"/>
      <c r="L11" s="407"/>
      <c r="M11" s="407"/>
      <c r="N11" s="407"/>
      <c r="O11" s="407"/>
      <c r="P11" s="407"/>
      <c r="Q11" s="407"/>
      <c r="R11" s="839"/>
      <c r="S11" s="428"/>
      <c r="T11" s="429"/>
      <c r="U11" s="405"/>
      <c r="V11" s="427"/>
      <c r="W11" s="427"/>
      <c r="X11" s="427"/>
      <c r="Y11" s="427"/>
      <c r="Z11" s="427"/>
      <c r="AA11" s="427"/>
      <c r="AB11" s="405"/>
      <c r="AC11" s="407"/>
      <c r="AD11" s="406"/>
      <c r="AE11" s="590"/>
      <c r="AF11" s="590"/>
      <c r="AG11" s="590"/>
      <c r="AH11" s="590"/>
      <c r="AI11" s="590"/>
      <c r="AJ11" s="590"/>
      <c r="AK11" s="590"/>
      <c r="AL11" s="590"/>
      <c r="AM11" s="590"/>
      <c r="AN11" s="590"/>
      <c r="AO11" s="590"/>
      <c r="AP11" s="590"/>
      <c r="AQ11" s="590"/>
      <c r="AR11" s="406"/>
      <c r="AS11" s="428"/>
      <c r="AT11" s="429"/>
      <c r="AU11" s="467"/>
      <c r="AV11" s="470"/>
      <c r="AW11" s="470"/>
      <c r="AX11" s="470"/>
      <c r="AY11" s="470"/>
      <c r="AZ11" s="470"/>
      <c r="BA11" s="470"/>
      <c r="BB11" s="467"/>
      <c r="BD11" s="428"/>
      <c r="BE11" s="429"/>
      <c r="BF11" s="467"/>
      <c r="BG11" s="470"/>
      <c r="BH11" s="470"/>
      <c r="BI11" s="470"/>
      <c r="BJ11" s="470"/>
      <c r="BK11" s="470"/>
      <c r="BL11" s="470"/>
      <c r="BM11" s="467"/>
      <c r="BN11" s="851"/>
    </row>
    <row r="12" ht="42" customHeight="1" s="405" customFormat="1">
      <c r="A12" s="407"/>
      <c r="B12" s="807"/>
      <c r="C12" s="807"/>
      <c r="D12" s="807"/>
      <c r="E12" s="407"/>
      <c r="F12" s="814"/>
      <c r="G12" s="814"/>
      <c r="H12" s="814"/>
      <c r="I12" s="806"/>
      <c r="J12" s="807"/>
      <c r="K12" s="807"/>
      <c r="L12" s="807"/>
      <c r="M12" s="806"/>
      <c r="N12" s="813"/>
      <c r="O12" s="813"/>
      <c r="P12" s="813"/>
      <c r="Q12" s="407"/>
      <c r="R12" s="839"/>
      <c r="S12" s="519" t="s">
        <v>660</v>
      </c>
      <c r="T12" s="522"/>
      <c r="AC12" s="601"/>
      <c r="AD12" s="633"/>
      <c r="AE12" s="633"/>
      <c r="AF12" s="633"/>
      <c r="AG12" s="633"/>
      <c r="AH12" s="633"/>
      <c r="AI12" s="633"/>
      <c r="AJ12" s="633"/>
      <c r="AK12" s="633"/>
      <c r="AL12" s="633"/>
      <c r="AM12" s="633"/>
      <c r="AN12" s="633"/>
      <c r="AO12" s="633"/>
      <c r="AP12" s="633"/>
      <c r="AQ12" s="633"/>
      <c r="AR12" s="633"/>
      <c r="AS12" s="430" t="s">
        <v>660</v>
      </c>
      <c r="AT12" s="431"/>
      <c r="AU12" s="467"/>
      <c r="AV12" s="467"/>
      <c r="AW12" s="467"/>
      <c r="AX12" s="467"/>
      <c r="AY12" s="467"/>
      <c r="AZ12" s="467"/>
      <c r="BA12" s="469">
        <v>500</v>
      </c>
      <c r="BB12" s="467"/>
      <c r="BC12" s="406"/>
      <c r="BD12" s="484" t="s">
        <v>660</v>
      </c>
      <c r="BE12" s="488"/>
      <c r="BF12" s="467"/>
      <c r="BG12" s="467"/>
      <c r="BH12" s="467"/>
      <c r="BI12" s="467"/>
      <c r="BJ12" s="467"/>
      <c r="BK12" s="467"/>
      <c r="BL12" s="469">
        <v>700</v>
      </c>
      <c r="BM12" s="467"/>
      <c r="BN12" s="851"/>
    </row>
    <row r="13" ht="55.5" customHeight="1" s="405" customFormat="1">
      <c r="A13" s="407"/>
      <c r="B13" s="807"/>
      <c r="C13" s="807"/>
      <c r="D13" s="807"/>
      <c r="E13" s="407"/>
      <c r="F13" s="814"/>
      <c r="G13" s="814"/>
      <c r="H13" s="814"/>
      <c r="I13" s="806"/>
      <c r="J13" s="807"/>
      <c r="K13" s="807"/>
      <c r="L13" s="807"/>
      <c r="M13" s="806"/>
      <c r="N13" s="813"/>
      <c r="O13" s="813"/>
      <c r="P13" s="813"/>
      <c r="Q13" s="407"/>
      <c r="R13" s="839"/>
      <c r="S13" s="524" t="s">
        <v>661</v>
      </c>
      <c r="T13" s="488"/>
      <c r="AC13" s="407"/>
      <c r="AD13" s="633"/>
      <c r="AE13" s="407"/>
      <c r="AF13" s="861" t="s">
        <v>647</v>
      </c>
      <c r="AG13" s="860">
        <f>IF(AND(AJ18='شماسي كانتليفر'!K11,AK18=3),'شماسي كانتليفر'!I1,IF(AND(تسعير!AJ18='شماسي كانتليفر'!P1,تسعير!AK18=3),'شماسي كانتليفر'!V23,IF(AND(تسعير!AJ18='شماسي كانتليفر'!P1,تسعير!AK18=2.5),'شماسي كانتليفر'!W23,0)))</f>
        <v>11367.5</v>
      </c>
      <c r="AH13" s="860"/>
      <c r="AI13" s="414"/>
      <c r="AJ13" s="414"/>
      <c r="AK13" s="414"/>
      <c r="AL13" s="845" t="s">
        <v>662</v>
      </c>
      <c r="AM13" s="845"/>
      <c r="AN13" s="845"/>
      <c r="AO13" s="407"/>
      <c r="AP13" s="407"/>
      <c r="AQ13" s="407"/>
      <c r="AR13" s="633"/>
      <c r="AS13" s="430" t="s">
        <v>661</v>
      </c>
      <c r="AT13" s="430"/>
      <c r="AU13" s="467"/>
      <c r="AV13" s="467"/>
      <c r="AW13" s="467"/>
      <c r="AX13" s="467"/>
      <c r="AY13" s="467"/>
      <c r="AZ13" s="467"/>
      <c r="BA13" s="467" t="s">
        <v>663</v>
      </c>
      <c r="BB13" s="467"/>
      <c r="BC13" s="406"/>
      <c r="BD13" s="484" t="s">
        <v>661</v>
      </c>
      <c r="BE13" s="484"/>
      <c r="BF13" s="467"/>
      <c r="BG13" s="467"/>
      <c r="BH13" s="467"/>
      <c r="BI13" s="467"/>
      <c r="BJ13" s="467"/>
      <c r="BK13" s="467"/>
      <c r="BL13" s="467"/>
      <c r="BM13" s="467"/>
      <c r="BN13" s="851"/>
    </row>
    <row r="14" ht="55.5" customHeight="1" s="405" customFormat="1">
      <c r="A14" s="407"/>
      <c r="B14" s="807"/>
      <c r="C14" s="807"/>
      <c r="D14" s="807"/>
      <c r="E14" s="407"/>
      <c r="F14" s="814"/>
      <c r="G14" s="814"/>
      <c r="H14" s="814"/>
      <c r="I14" s="806"/>
      <c r="J14" s="807"/>
      <c r="K14" s="807"/>
      <c r="L14" s="807"/>
      <c r="M14" s="806"/>
      <c r="N14" s="813"/>
      <c r="O14" s="813"/>
      <c r="P14" s="813"/>
      <c r="Q14" s="407"/>
      <c r="R14" s="839"/>
      <c r="S14" s="525" t="s">
        <v>664</v>
      </c>
      <c r="T14" s="523"/>
      <c r="U14" s="489" t="s">
        <v>615</v>
      </c>
      <c r="V14" s="843" t="str">
        <f>IF(T5="","برجاء ادخال طريقة الدهان",IF(T6="","برجاء ادخال لون الالومنيوم",IF(U14="","برجاء ادخال طريقة التثبيت",IF(OR((AA10=""),(AA10&gt;1200)),"برجاء ادخال عرض البرجولة بشكل صحيح علما بأن اقصي عرض هو 1200",IF(OR((X8=""),(X8&gt;800)),"برجاء ادخال امتداد البرجولة بشكل صحيح علما بان اقصي امتداد هو 800","OK")))))</f>
        <v>OK</v>
      </c>
      <c r="W14" s="844"/>
      <c r="X14" s="844"/>
      <c r="Y14" s="844"/>
      <c r="Z14" s="844"/>
      <c r="AA14" s="844"/>
      <c r="AB14" s="844"/>
      <c r="AC14" s="844"/>
      <c r="AD14" s="633"/>
      <c r="AE14" s="407"/>
      <c r="AF14" s="861"/>
      <c r="AG14" s="860"/>
      <c r="AH14" s="860"/>
      <c r="AI14" s="407"/>
      <c r="AJ14" s="407"/>
      <c r="AK14" s="407"/>
      <c r="AL14" s="845"/>
      <c r="AM14" s="845"/>
      <c r="AN14" s="845"/>
      <c r="AO14" s="407"/>
      <c r="AP14" s="407"/>
      <c r="AQ14" s="407"/>
      <c r="AR14" s="633"/>
      <c r="AS14" s="430" t="s">
        <v>664</v>
      </c>
      <c r="AT14" s="430"/>
      <c r="AU14" s="426" t="s">
        <v>615</v>
      </c>
      <c r="AV14" s="843" t="str">
        <f>IF(AT5="","برجاء ادخال طريقة الدهان",IF(AT6="","برجاء ادخال لون الالومنيوم",IF(AU14="","برجاء ادخال طريقة التثبيت",IF(OR((AV10=""),(AV10&gt;500)),"برجاء مراجعة عرض البرجولة علما بأن اقصي عرض هو 500",IF(OR((BA12=""),(BA12&gt;700)),"برجاء مراجعة امتداد البرجولة علما بأن اقصي امتداد هو 700","OK")))))</f>
        <v>OK</v>
      </c>
      <c r="AW14" s="844"/>
      <c r="AX14" s="844"/>
      <c r="AY14" s="844"/>
      <c r="AZ14" s="844"/>
      <c r="BA14" s="844"/>
      <c r="BB14" s="844"/>
      <c r="BC14" s="406"/>
      <c r="BD14" s="484" t="s">
        <v>664</v>
      </c>
      <c r="BE14" s="484"/>
      <c r="BF14" s="489" t="s">
        <v>612</v>
      </c>
      <c r="BG14" s="843" t="str">
        <f>IF(BE5="","برجاء ادخال طريقة الدهان",IF(BE6="","برجاء ادخال لون الالومنيوم",IF(BF14="","برجاء ادخال طريقة التثبيت",IF(OR((BG10=""),(BG10&gt;500)),"برجاء مراجعة عرض البرجولة علما بأن اقصي عرض هو 500",IF(OR((BL12=""),(BL12&gt;700)),"برجاء مراجعة امتداد البرجولةعلما بأن اقصي امتداد هو 700","OK")))))</f>
        <v>OK</v>
      </c>
      <c r="BH14" s="844"/>
      <c r="BI14" s="844"/>
      <c r="BJ14" s="844"/>
      <c r="BK14" s="844"/>
      <c r="BL14" s="844"/>
      <c r="BM14" s="844"/>
      <c r="BN14" s="529"/>
    </row>
    <row r="15" ht="18.75" customHeight="1" s="405" customFormat="1">
      <c r="A15" s="407"/>
      <c r="B15" s="806"/>
      <c r="C15" s="806"/>
      <c r="D15" s="806"/>
      <c r="E15" s="806"/>
      <c r="F15" s="806"/>
      <c r="G15" s="806"/>
      <c r="H15" s="806"/>
      <c r="I15" s="806"/>
      <c r="J15" s="806"/>
      <c r="K15" s="806"/>
      <c r="L15" s="806"/>
      <c r="M15" s="806"/>
      <c r="N15" s="806"/>
      <c r="O15" s="806"/>
      <c r="P15" s="806"/>
      <c r="Q15" s="407"/>
      <c r="R15" s="839"/>
      <c r="S15" s="407"/>
      <c r="T15" s="407"/>
      <c r="U15" s="407"/>
      <c r="V15" s="407"/>
      <c r="W15" s="407"/>
      <c r="X15" s="407"/>
      <c r="Y15" s="407"/>
      <c r="Z15" s="407"/>
      <c r="AA15" s="407"/>
      <c r="AB15" s="407"/>
      <c r="AC15" s="407"/>
      <c r="AD15" s="633"/>
      <c r="AE15" s="407"/>
      <c r="AF15" s="407"/>
      <c r="AG15" s="407"/>
      <c r="AH15" s="407"/>
      <c r="AI15" s="407"/>
      <c r="AJ15" s="457"/>
      <c r="AK15" s="457"/>
      <c r="AL15" s="407"/>
      <c r="AM15" s="407"/>
      <c r="AN15" s="407"/>
      <c r="AO15" s="407"/>
      <c r="AP15" s="407"/>
      <c r="AQ15" s="407"/>
      <c r="AR15" s="633"/>
      <c r="AS15" s="407"/>
      <c r="AT15" s="407"/>
      <c r="AU15" s="407"/>
      <c r="AV15" s="407"/>
      <c r="AW15" s="407"/>
      <c r="AX15" s="407"/>
      <c r="AY15" s="407"/>
      <c r="AZ15" s="407"/>
      <c r="BA15" s="407"/>
      <c r="BB15" s="407"/>
      <c r="BC15" s="406"/>
      <c r="BD15" s="407"/>
      <c r="BE15" s="407"/>
      <c r="BF15" s="407"/>
      <c r="BG15" s="407"/>
      <c r="BH15" s="407"/>
      <c r="BI15" s="407"/>
      <c r="BJ15" s="407"/>
      <c r="BK15" s="407"/>
      <c r="BL15" s="407"/>
      <c r="BM15" s="407"/>
      <c r="BN15" s="407"/>
    </row>
    <row r="16" ht="39.75" customHeight="1" s="405" customFormat="1">
      <c r="A16" s="806"/>
      <c r="B16" s="806"/>
      <c r="C16" s="806"/>
      <c r="D16" s="806"/>
      <c r="E16" s="806"/>
      <c r="F16" s="806"/>
      <c r="G16" s="806"/>
      <c r="H16" s="806"/>
      <c r="I16" s="806"/>
      <c r="J16" s="806"/>
      <c r="K16" s="806"/>
      <c r="L16" s="806"/>
      <c r="M16" s="806"/>
      <c r="N16" s="806"/>
      <c r="O16" s="806"/>
      <c r="P16" s="806"/>
      <c r="Q16" s="806"/>
      <c r="R16" s="839"/>
      <c r="S16" s="407"/>
      <c r="T16" s="407"/>
      <c r="U16" s="407"/>
      <c r="V16" s="407"/>
      <c r="W16" s="407"/>
      <c r="X16" s="407"/>
      <c r="Y16" s="407"/>
      <c r="Z16" s="407"/>
      <c r="AA16" s="407"/>
      <c r="AB16" s="407"/>
      <c r="AC16" s="407"/>
      <c r="AD16" s="633"/>
      <c r="AE16" s="407"/>
      <c r="AF16" s="407"/>
      <c r="AG16" s="407"/>
      <c r="AH16" s="407"/>
      <c r="AI16" s="458" t="s">
        <v>649</v>
      </c>
      <c r="AJ16" s="458" t="s">
        <v>650</v>
      </c>
      <c r="AK16" s="459" t="s">
        <v>651</v>
      </c>
      <c r="AL16" s="458" t="s">
        <v>293</v>
      </c>
      <c r="AM16" s="458" t="s">
        <v>652</v>
      </c>
      <c r="AN16" s="797" t="s">
        <v>654</v>
      </c>
      <c r="AO16" s="407"/>
      <c r="AP16" s="407"/>
      <c r="AQ16" s="407"/>
      <c r="AR16" s="633"/>
      <c r="AS16" s="407"/>
      <c r="AT16" s="407"/>
      <c r="AU16" s="407"/>
      <c r="AV16" s="407"/>
      <c r="AW16" s="407"/>
      <c r="AX16" s="407"/>
      <c r="AY16" s="407"/>
      <c r="AZ16" s="407"/>
      <c r="BA16" s="407"/>
      <c r="BB16" s="407"/>
      <c r="BC16" s="406"/>
      <c r="BD16" s="407"/>
      <c r="BE16" s="407"/>
      <c r="BF16" s="407"/>
      <c r="BG16" s="407"/>
      <c r="BH16" s="407"/>
      <c r="BI16" s="407"/>
      <c r="BJ16" s="407"/>
      <c r="BK16" s="407"/>
      <c r="BL16" s="407"/>
      <c r="BM16" s="407"/>
      <c r="BN16" s="407"/>
    </row>
    <row r="17" ht="39.75" customHeight="1" s="405" customFormat="1">
      <c r="A17" s="806"/>
      <c r="B17" s="806"/>
      <c r="C17" s="806"/>
      <c r="D17" s="806"/>
      <c r="E17" s="806"/>
      <c r="F17" s="806"/>
      <c r="G17" s="806"/>
      <c r="H17" s="806"/>
      <c r="I17" s="806"/>
      <c r="J17" s="806"/>
      <c r="K17" s="806"/>
      <c r="L17" s="806"/>
      <c r="M17" s="806"/>
      <c r="N17" s="806"/>
      <c r="O17" s="806"/>
      <c r="P17" s="806"/>
      <c r="Q17" s="806"/>
      <c r="R17" s="839"/>
      <c r="S17" s="407"/>
      <c r="T17" s="407"/>
      <c r="U17" s="407"/>
      <c r="V17" s="407"/>
      <c r="W17" s="407"/>
      <c r="X17" s="407"/>
      <c r="Y17" s="407"/>
      <c r="Z17" s="407"/>
      <c r="AA17" s="407"/>
      <c r="AB17" s="407"/>
      <c r="AC17" s="407"/>
      <c r="AD17" s="633"/>
      <c r="AE17" s="407"/>
      <c r="AF17" s="407"/>
      <c r="AG17" s="407"/>
      <c r="AH17" s="407"/>
      <c r="AI17" s="407"/>
      <c r="AJ17" s="407"/>
      <c r="AK17" s="407"/>
      <c r="AL17" s="407"/>
      <c r="AM17" s="407"/>
      <c r="AN17" s="407"/>
      <c r="AO17" s="407"/>
      <c r="AP17" s="407"/>
      <c r="AQ17" s="407"/>
      <c r="AR17" s="633"/>
      <c r="AS17" s="407"/>
      <c r="AT17" s="407"/>
      <c r="AU17" s="407"/>
      <c r="AV17" s="407"/>
      <c r="AW17" s="407"/>
      <c r="AX17" s="407"/>
      <c r="AY17" s="407"/>
      <c r="AZ17" s="407"/>
      <c r="BA17" s="407"/>
      <c r="BB17" s="407"/>
      <c r="BC17" s="406"/>
      <c r="BD17" s="407"/>
      <c r="BE17" s="407"/>
      <c r="BF17" s="407"/>
      <c r="BG17" s="407"/>
      <c r="BH17" s="407"/>
      <c r="BI17" s="407"/>
      <c r="BJ17" s="407"/>
      <c r="BK17" s="407"/>
      <c r="BL17" s="407"/>
      <c r="BM17" s="407"/>
      <c r="BN17" s="407"/>
    </row>
    <row r="18" ht="39.75" customHeight="1" s="405" customFormat="1">
      <c r="A18" s="806"/>
      <c r="B18" s="806"/>
      <c r="C18" s="806"/>
      <c r="D18" s="806"/>
      <c r="E18" s="806"/>
      <c r="F18" s="806"/>
      <c r="G18" s="806"/>
      <c r="H18" s="806"/>
      <c r="I18" s="806"/>
      <c r="J18" s="806"/>
      <c r="K18" s="806"/>
      <c r="L18" s="806"/>
      <c r="M18" s="806"/>
      <c r="N18" s="806"/>
      <c r="O18" s="806"/>
      <c r="P18" s="806"/>
      <c r="Q18" s="806"/>
      <c r="R18" s="839"/>
      <c r="S18" s="407"/>
      <c r="T18" s="407"/>
      <c r="U18" s="407"/>
      <c r="V18" s="407"/>
      <c r="W18" s="407"/>
      <c r="X18" s="407"/>
      <c r="Y18" s="407"/>
      <c r="Z18" s="407"/>
      <c r="AA18" s="407"/>
      <c r="AB18" s="407"/>
      <c r="AC18" s="407"/>
      <c r="AD18" s="633"/>
      <c r="AE18" s="407"/>
      <c r="AF18" s="407"/>
      <c r="AG18" s="407"/>
      <c r="AH18" s="407"/>
      <c r="AI18" s="461" t="s">
        <v>259</v>
      </c>
      <c r="AJ18" s="462" t="s">
        <v>665</v>
      </c>
      <c r="AK18" s="462">
        <v>3</v>
      </c>
      <c r="AL18" s="462" t="s">
        <v>229</v>
      </c>
      <c r="AM18" s="462" t="s">
        <v>216</v>
      </c>
      <c r="AN18" s="798"/>
      <c r="AO18" s="407"/>
      <c r="AP18" s="407"/>
      <c r="AQ18" s="407"/>
      <c r="AR18" s="633"/>
      <c r="AS18" s="407"/>
      <c r="AT18" s="407"/>
      <c r="AU18" s="407"/>
      <c r="AV18" s="407"/>
      <c r="AW18" s="407"/>
      <c r="AX18" s="407"/>
      <c r="AY18" s="407"/>
      <c r="AZ18" s="407"/>
      <c r="BA18" s="407"/>
      <c r="BB18" s="407"/>
      <c r="BC18" s="406"/>
      <c r="BD18" s="407"/>
      <c r="BE18" s="407"/>
      <c r="BF18" s="407"/>
      <c r="BG18" s="407"/>
      <c r="BH18" s="407"/>
      <c r="BI18" s="407"/>
      <c r="BJ18" s="407"/>
      <c r="BK18" s="407"/>
      <c r="BL18" s="407"/>
      <c r="BM18" s="407"/>
      <c r="BN18" s="407"/>
    </row>
    <row r="19" ht="39.75" customHeight="1" s="405" customFormat="1">
      <c r="A19" s="806"/>
      <c r="B19" s="806"/>
      <c r="C19" s="806"/>
      <c r="D19" s="806"/>
      <c r="E19" s="806"/>
      <c r="F19" s="806"/>
      <c r="G19" s="806"/>
      <c r="H19" s="806"/>
      <c r="I19" s="806"/>
      <c r="J19" s="806"/>
      <c r="K19" s="806"/>
      <c r="L19" s="806"/>
      <c r="M19" s="806"/>
      <c r="N19" s="806"/>
      <c r="O19" s="806"/>
      <c r="P19" s="806"/>
      <c r="Q19" s="806"/>
      <c r="R19" s="839"/>
      <c r="S19" s="407"/>
      <c r="T19" s="407"/>
      <c r="U19" s="407"/>
      <c r="V19" s="407"/>
      <c r="W19" s="407"/>
      <c r="X19" s="407"/>
      <c r="Y19" s="407"/>
      <c r="Z19" s="407"/>
      <c r="AA19" s="407"/>
      <c r="AB19" s="407"/>
      <c r="AC19" s="407"/>
      <c r="AD19" s="633"/>
      <c r="AE19" s="407"/>
      <c r="AF19" s="407"/>
      <c r="AG19" s="407"/>
      <c r="AH19" s="407"/>
      <c r="AI19" s="407"/>
      <c r="AJ19" s="407"/>
      <c r="AK19" s="407"/>
      <c r="AL19" s="407"/>
      <c r="AM19" s="407"/>
      <c r="AN19" s="407"/>
      <c r="AO19" s="407"/>
      <c r="AP19" s="407"/>
      <c r="AQ19" s="407"/>
      <c r="AR19" s="633"/>
      <c r="AS19" s="407"/>
      <c r="AT19" s="407"/>
      <c r="AU19" s="407"/>
      <c r="AV19" s="407"/>
      <c r="AW19" s="407"/>
      <c r="AX19" s="407"/>
      <c r="AY19" s="407"/>
      <c r="AZ19" s="407"/>
      <c r="BA19" s="407"/>
      <c r="BB19" s="407"/>
      <c r="BC19" s="406"/>
      <c r="BD19" s="407"/>
      <c r="BE19" s="407"/>
      <c r="BF19" s="407"/>
      <c r="BG19" s="407"/>
      <c r="BH19" s="407"/>
      <c r="BI19" s="407"/>
      <c r="BJ19" s="407"/>
      <c r="BK19" s="407"/>
      <c r="BL19" s="407"/>
      <c r="BM19" s="407"/>
      <c r="BN19" s="407"/>
    </row>
    <row r="20" ht="39.75" customHeight="1" s="405" customFormat="1">
      <c r="A20" s="806"/>
      <c r="B20" s="806"/>
      <c r="C20" s="806"/>
      <c r="D20" s="806"/>
      <c r="E20" s="806"/>
      <c r="F20" s="806"/>
      <c r="G20" s="806"/>
      <c r="H20" s="806"/>
      <c r="I20" s="806"/>
      <c r="J20" s="806"/>
      <c r="K20" s="806"/>
      <c r="L20" s="806"/>
      <c r="M20" s="806"/>
      <c r="N20" s="806"/>
      <c r="O20" s="806"/>
      <c r="P20" s="806"/>
      <c r="Q20" s="806"/>
      <c r="R20" s="839"/>
      <c r="S20" s="407"/>
      <c r="T20" s="407"/>
      <c r="U20" s="407"/>
      <c r="V20" s="407"/>
      <c r="W20" s="407"/>
      <c r="X20" s="407"/>
      <c r="Y20" s="407"/>
      <c r="Z20" s="407"/>
      <c r="AA20" s="407"/>
      <c r="AB20" s="407"/>
      <c r="AC20" s="407"/>
      <c r="AD20" s="633"/>
      <c r="AE20" s="833" t="s">
        <v>666</v>
      </c>
      <c r="AF20" s="833"/>
      <c r="AG20" s="833"/>
      <c r="AH20" s="833"/>
      <c r="AI20" s="833"/>
      <c r="AJ20" s="833"/>
      <c r="AK20" s="833"/>
      <c r="AL20" s="833"/>
      <c r="AM20" s="833"/>
      <c r="AN20" s="833"/>
      <c r="AO20" s="833"/>
      <c r="AP20" s="833"/>
      <c r="AQ20" s="833"/>
      <c r="AR20" s="633"/>
      <c r="AS20" s="407"/>
      <c r="AT20" s="407"/>
      <c r="AU20" s="407"/>
      <c r="AV20" s="407"/>
      <c r="AW20" s="407"/>
      <c r="AX20" s="407"/>
      <c r="AY20" s="407"/>
      <c r="AZ20" s="407"/>
      <c r="BA20" s="407"/>
      <c r="BB20" s="407"/>
      <c r="BC20" s="406"/>
      <c r="BD20" s="407"/>
      <c r="BE20" s="407"/>
      <c r="BF20" s="407"/>
      <c r="BG20" s="407"/>
      <c r="BH20" s="407"/>
      <c r="BI20" s="407"/>
      <c r="BJ20" s="407"/>
      <c r="BK20" s="407"/>
      <c r="BL20" s="407"/>
      <c r="BM20" s="407"/>
      <c r="BN20" s="407"/>
    </row>
    <row r="21" ht="39.75" customHeight="1" s="405" customFormat="1">
      <c r="A21" s="817"/>
      <c r="B21" s="817"/>
      <c r="C21" s="817"/>
      <c r="D21" s="817"/>
      <c r="E21" s="817"/>
      <c r="F21" s="817"/>
      <c r="G21" s="817"/>
      <c r="H21" s="817"/>
      <c r="I21" s="817"/>
      <c r="J21" s="817"/>
      <c r="K21" s="817"/>
      <c r="L21" s="817"/>
      <c r="M21" s="817"/>
      <c r="N21" s="817"/>
      <c r="O21" s="817"/>
      <c r="P21" s="817"/>
      <c r="Q21" s="817"/>
      <c r="R21" s="839"/>
      <c r="S21" s="822" t="s">
        <v>667</v>
      </c>
      <c r="T21" s="823"/>
      <c r="U21" s="407"/>
      <c r="V21" s="407"/>
      <c r="W21" s="407"/>
      <c r="X21" s="407"/>
      <c r="Y21" s="407"/>
      <c r="Z21" s="407"/>
      <c r="AA21" s="407"/>
      <c r="AB21" s="407"/>
      <c r="AC21" s="407"/>
      <c r="AD21" s="633"/>
      <c r="AE21" s="833"/>
      <c r="AF21" s="833"/>
      <c r="AG21" s="833"/>
      <c r="AH21" s="833"/>
      <c r="AI21" s="833"/>
      <c r="AJ21" s="833"/>
      <c r="AK21" s="833"/>
      <c r="AL21" s="833"/>
      <c r="AM21" s="833"/>
      <c r="AN21" s="833"/>
      <c r="AO21" s="833"/>
      <c r="AP21" s="833"/>
      <c r="AQ21" s="833"/>
      <c r="AR21" s="633"/>
      <c r="AS21" s="408" t="s">
        <v>668</v>
      </c>
      <c r="AT21" s="408"/>
      <c r="AU21" s="471"/>
      <c r="AW21" s="477"/>
      <c r="BC21" s="406"/>
      <c r="BD21" s="408" t="s">
        <v>669</v>
      </c>
      <c r="BE21" s="408"/>
      <c r="BF21" s="471"/>
      <c r="BH21" s="477"/>
      <c r="BN21" s="407"/>
    </row>
    <row r="22" ht="39.75" customHeight="1" s="405" customFormat="1">
      <c r="A22" s="817"/>
      <c r="B22" s="817"/>
      <c r="C22" s="817"/>
      <c r="D22" s="817"/>
      <c r="E22" s="817"/>
      <c r="F22" s="817"/>
      <c r="G22" s="817"/>
      <c r="H22" s="817"/>
      <c r="I22" s="817"/>
      <c r="J22" s="817"/>
      <c r="K22" s="817"/>
      <c r="L22" s="817"/>
      <c r="M22" s="817"/>
      <c r="N22" s="817"/>
      <c r="O22" s="817"/>
      <c r="P22" s="817"/>
      <c r="Q22" s="817"/>
      <c r="R22" s="839"/>
      <c r="S22" s="434" t="s">
        <v>647</v>
      </c>
      <c r="T22" s="435">
        <f>Royal2!G86</f>
        <v>214162.41363603008</v>
      </c>
      <c r="U22" s="407"/>
      <c r="V22" s="407"/>
      <c r="W22" s="407"/>
      <c r="X22" s="407"/>
      <c r="Y22" s="407"/>
      <c r="Z22" s="407"/>
      <c r="AA22" s="407"/>
      <c r="AB22" s="407"/>
      <c r="AC22" s="407"/>
      <c r="AD22" s="633"/>
      <c r="AE22" s="634"/>
      <c r="AF22" s="634"/>
      <c r="AG22" s="634"/>
      <c r="AH22" s="635"/>
      <c r="AI22" s="634"/>
      <c r="AJ22" s="634"/>
      <c r="AK22" s="634"/>
      <c r="AL22" s="634"/>
      <c r="AM22" s="634"/>
      <c r="AN22" s="634"/>
      <c r="AO22" s="634"/>
      <c r="AP22" s="634"/>
      <c r="AQ22" s="634"/>
      <c r="AR22" s="633"/>
      <c r="AS22" s="464" t="s">
        <v>647</v>
      </c>
      <c r="AT22" s="465">
        <f>'بيرسا و لوفرز'!R69</f>
        <v>391173.375</v>
      </c>
      <c r="AU22" s="472"/>
      <c r="BC22" s="406"/>
      <c r="BD22" s="464" t="s">
        <v>647</v>
      </c>
      <c r="BE22" s="465">
        <f>'بيرسا و لوفرز'!R140</f>
        <v>247018.29099999997</v>
      </c>
      <c r="BF22" s="472"/>
      <c r="BN22" s="407"/>
    </row>
    <row r="23" ht="39.75" customHeight="1" s="405" customFormat="1">
      <c r="A23" s="817"/>
      <c r="B23" s="817"/>
      <c r="C23" s="817"/>
      <c r="D23" s="817"/>
      <c r="E23" s="817"/>
      <c r="F23" s="817"/>
      <c r="G23" s="817"/>
      <c r="H23" s="817"/>
      <c r="I23" s="817"/>
      <c r="J23" s="817"/>
      <c r="K23" s="817"/>
      <c r="L23" s="817"/>
      <c r="M23" s="817"/>
      <c r="N23" s="817"/>
      <c r="O23" s="817"/>
      <c r="P23" s="817"/>
      <c r="Q23" s="817"/>
      <c r="R23" s="839"/>
      <c r="S23" s="436" t="s">
        <v>127</v>
      </c>
      <c r="T23" s="435">
        <f>T22/(AA33*X31)*10000</f>
        <v>13385.15085225188</v>
      </c>
      <c r="U23" s="407"/>
      <c r="V23" s="407"/>
      <c r="W23" s="407"/>
      <c r="X23" s="407"/>
      <c r="Y23" s="407"/>
      <c r="Z23" s="407"/>
      <c r="AA23" s="407"/>
      <c r="AB23" s="407"/>
      <c r="AC23" s="407"/>
      <c r="AD23" s="406"/>
      <c r="AE23" s="831" t="s">
        <v>647</v>
      </c>
      <c r="AF23" s="831"/>
      <c r="AG23" s="832">
        <f>'شماسي و كانتليفر'!AE12</f>
        <v>22526.0625</v>
      </c>
      <c r="AH23" s="832"/>
      <c r="AI23" s="414"/>
      <c r="AJ23" s="414"/>
      <c r="AK23" s="407"/>
      <c r="AL23" s="407"/>
      <c r="AM23" s="407"/>
      <c r="AN23" s="407"/>
      <c r="AO23" s="407"/>
      <c r="AP23" s="407"/>
      <c r="AQ23" s="407"/>
      <c r="AR23" s="406"/>
      <c r="AS23" s="464" t="s">
        <v>127</v>
      </c>
      <c r="AT23" s="466">
        <f>AT22/(AT33*AT34/10000)</f>
        <v>19175.165441176472</v>
      </c>
      <c r="AU23" s="472"/>
      <c r="AV23" s="473"/>
      <c r="BC23" s="406"/>
      <c r="BD23" s="464" t="s">
        <v>127</v>
      </c>
      <c r="BE23" s="466">
        <f>BE22/(BE33*BE34/10000)</f>
        <v>28590.079976851845</v>
      </c>
      <c r="BF23" s="472"/>
      <c r="BG23" s="473"/>
      <c r="BN23" s="407"/>
    </row>
    <row r="24" ht="39.75" customHeight="1" s="405" customFormat="1">
      <c r="A24" s="817"/>
      <c r="B24" s="817"/>
      <c r="C24" s="817"/>
      <c r="D24" s="817"/>
      <c r="E24" s="817"/>
      <c r="F24" s="817"/>
      <c r="G24" s="817"/>
      <c r="H24" s="817"/>
      <c r="I24" s="817"/>
      <c r="J24" s="817"/>
      <c r="K24" s="817"/>
      <c r="L24" s="817"/>
      <c r="M24" s="817"/>
      <c r="N24" s="817"/>
      <c r="O24" s="817"/>
      <c r="P24" s="817"/>
      <c r="Q24" s="817"/>
      <c r="R24" s="839"/>
      <c r="S24" s="432" t="s">
        <v>648</v>
      </c>
      <c r="T24" s="433" t="s">
        <v>21</v>
      </c>
      <c r="U24" s="417"/>
      <c r="V24" s="417"/>
      <c r="W24" s="417"/>
      <c r="X24" s="417"/>
      <c r="Y24" s="417"/>
      <c r="Z24" s="417"/>
      <c r="AA24" s="417"/>
      <c r="AB24" s="417"/>
      <c r="AC24" s="417"/>
      <c r="AD24" s="406"/>
      <c r="AE24" s="831"/>
      <c r="AF24" s="831"/>
      <c r="AG24" s="832"/>
      <c r="AH24" s="832"/>
      <c r="AI24" s="414"/>
      <c r="AJ24" s="414"/>
      <c r="AK24" s="407"/>
      <c r="AL24" s="407"/>
      <c r="AM24" s="407"/>
      <c r="AN24" s="407"/>
      <c r="AO24" s="407"/>
      <c r="AP24" s="407"/>
      <c r="AQ24" s="407"/>
      <c r="AR24" s="406"/>
      <c r="AS24" s="418" t="s">
        <v>648</v>
      </c>
      <c r="AT24" s="416" t="s">
        <v>16</v>
      </c>
      <c r="BC24" s="406"/>
      <c r="BD24" s="418" t="s">
        <v>648</v>
      </c>
      <c r="BE24" s="416" t="s">
        <v>21</v>
      </c>
      <c r="BN24" s="407"/>
    </row>
    <row r="25" ht="39.75" customHeight="1">
      <c r="A25" s="817"/>
      <c r="B25" s="817"/>
      <c r="C25" s="817"/>
      <c r="D25" s="817"/>
      <c r="E25" s="817"/>
      <c r="F25" s="817"/>
      <c r="G25" s="817"/>
      <c r="H25" s="817"/>
      <c r="I25" s="817"/>
      <c r="J25" s="817"/>
      <c r="K25" s="817"/>
      <c r="L25" s="817"/>
      <c r="M25" s="817"/>
      <c r="N25" s="817"/>
      <c r="O25" s="817"/>
      <c r="P25" s="817"/>
      <c r="Q25" s="817"/>
      <c r="R25" s="839"/>
      <c r="S25" s="437" t="s">
        <v>607</v>
      </c>
      <c r="T25" s="438" t="s">
        <v>611</v>
      </c>
      <c r="U25" s="417"/>
      <c r="V25" s="417"/>
      <c r="W25" s="417"/>
      <c r="X25" s="417"/>
      <c r="Y25" s="417"/>
      <c r="Z25" s="417"/>
      <c r="AA25" s="417"/>
      <c r="AB25" s="417"/>
      <c r="AC25" s="417"/>
      <c r="AD25" s="406"/>
      <c r="AE25" s="453"/>
      <c r="AF25" s="454"/>
      <c r="AG25" s="454"/>
      <c r="AH25" s="414"/>
      <c r="AI25" s="414"/>
      <c r="AJ25" s="414"/>
      <c r="AK25" s="407"/>
      <c r="AL25" s="407"/>
      <c r="AM25" s="407"/>
      <c r="AN25" s="407"/>
      <c r="AO25" s="407"/>
      <c r="AP25" s="407"/>
      <c r="AQ25" s="407"/>
      <c r="AR25" s="406"/>
      <c r="AS25" s="418" t="s">
        <v>607</v>
      </c>
      <c r="AT25" s="419" t="s">
        <v>611</v>
      </c>
      <c r="AW25" s="485">
        <f>AT34</f>
        <v>510</v>
      </c>
      <c r="BD25" s="418" t="s">
        <v>607</v>
      </c>
      <c r="BE25" s="419" t="s">
        <v>614</v>
      </c>
      <c r="BH25" s="485">
        <f>BE34</f>
        <v>270</v>
      </c>
      <c r="BN25" s="407"/>
    </row>
    <row r="26" ht="39.75" customHeight="1">
      <c r="A26" s="817"/>
      <c r="B26" s="817"/>
      <c r="C26" s="817"/>
      <c r="D26" s="817"/>
      <c r="E26" s="817"/>
      <c r="F26" s="817"/>
      <c r="G26" s="817"/>
      <c r="H26" s="817"/>
      <c r="I26" s="817"/>
      <c r="J26" s="817"/>
      <c r="K26" s="817"/>
      <c r="L26" s="817"/>
      <c r="M26" s="817"/>
      <c r="N26" s="817"/>
      <c r="O26" s="817"/>
      <c r="P26" s="817"/>
      <c r="Q26" s="817"/>
      <c r="R26" s="839"/>
      <c r="S26" s="432" t="s">
        <v>608</v>
      </c>
      <c r="T26" s="439" t="s">
        <v>233</v>
      </c>
      <c r="U26" s="417"/>
      <c r="V26" s="417"/>
      <c r="W26" s="417"/>
      <c r="X26" s="417"/>
      <c r="Y26" s="417"/>
      <c r="Z26" s="417"/>
      <c r="AA26" s="417"/>
      <c r="AB26" s="417"/>
      <c r="AC26" s="417"/>
      <c r="AD26" s="406"/>
      <c r="AE26" s="407"/>
      <c r="AF26" s="407"/>
      <c r="AG26" s="829" t="s">
        <v>649</v>
      </c>
      <c r="AH26" s="840" t="s">
        <v>200</v>
      </c>
      <c r="AI26" s="829" t="s">
        <v>293</v>
      </c>
      <c r="AJ26" s="829" t="s">
        <v>652</v>
      </c>
      <c r="AK26" s="829" t="s">
        <v>653</v>
      </c>
      <c r="AL26" s="820" t="s">
        <v>654</v>
      </c>
      <c r="AM26" s="820"/>
      <c r="AN26" s="407"/>
      <c r="AO26" s="407"/>
      <c r="AP26" s="407"/>
      <c r="AQ26" s="407"/>
      <c r="AR26" s="406"/>
      <c r="AS26" s="420" t="s">
        <v>608</v>
      </c>
      <c r="AT26" s="421" t="s">
        <v>229</v>
      </c>
      <c r="BD26" s="420" t="s">
        <v>608</v>
      </c>
      <c r="BE26" s="421" t="s">
        <v>233</v>
      </c>
      <c r="BN26" s="407"/>
    </row>
    <row r="27" ht="39.75" customHeight="1">
      <c r="A27" s="817"/>
      <c r="B27" s="817"/>
      <c r="C27" s="817"/>
      <c r="D27" s="817"/>
      <c r="E27" s="817"/>
      <c r="F27" s="817"/>
      <c r="G27" s="817"/>
      <c r="H27" s="817"/>
      <c r="I27" s="817"/>
      <c r="J27" s="817"/>
      <c r="K27" s="817"/>
      <c r="L27" s="817"/>
      <c r="M27" s="817"/>
      <c r="N27" s="817"/>
      <c r="O27" s="817"/>
      <c r="P27" s="817"/>
      <c r="Q27" s="817"/>
      <c r="R27" s="839"/>
      <c r="S27" s="440"/>
      <c r="T27" s="441"/>
      <c r="U27" s="417"/>
      <c r="V27" s="417"/>
      <c r="W27" s="417"/>
      <c r="X27" s="417"/>
      <c r="Y27" s="417"/>
      <c r="Z27" s="417"/>
      <c r="AA27" s="417"/>
      <c r="AB27" s="417"/>
      <c r="AC27" s="417"/>
      <c r="AD27" s="406"/>
      <c r="AE27" s="407"/>
      <c r="AF27" s="407"/>
      <c r="AG27" s="830"/>
      <c r="AH27" s="841"/>
      <c r="AI27" s="830"/>
      <c r="AJ27" s="830"/>
      <c r="AK27" s="830"/>
      <c r="AL27" s="821"/>
      <c r="AM27" s="821"/>
      <c r="AN27" s="407"/>
      <c r="AO27" s="407"/>
      <c r="AP27" s="407"/>
      <c r="AQ27" s="407"/>
      <c r="AR27" s="406"/>
      <c r="AS27" s="422"/>
      <c r="AT27" s="423"/>
      <c r="AU27" s="474"/>
      <c r="AV27" s="474"/>
      <c r="AW27" s="474"/>
      <c r="AX27" s="486"/>
      <c r="AY27" s="486"/>
      <c r="BD27" s="422"/>
      <c r="BE27" s="423"/>
      <c r="BF27" s="474"/>
      <c r="BG27" s="474"/>
      <c r="BH27" s="474"/>
      <c r="BI27" s="486"/>
      <c r="BJ27" s="486"/>
      <c r="BN27" s="407"/>
    </row>
    <row r="28" ht="39.75" customHeight="1">
      <c r="A28" s="817"/>
      <c r="B28" s="817"/>
      <c r="C28" s="817"/>
      <c r="D28" s="817"/>
      <c r="E28" s="817"/>
      <c r="F28" s="817"/>
      <c r="G28" s="817"/>
      <c r="H28" s="817"/>
      <c r="I28" s="817"/>
      <c r="J28" s="817"/>
      <c r="K28" s="817"/>
      <c r="L28" s="817"/>
      <c r="M28" s="817"/>
      <c r="N28" s="817"/>
      <c r="O28" s="817"/>
      <c r="P28" s="817"/>
      <c r="Q28" s="817"/>
      <c r="R28" s="839"/>
      <c r="S28" s="440"/>
      <c r="T28" s="440"/>
      <c r="U28" s="405"/>
      <c r="V28" s="405"/>
      <c r="W28" s="405"/>
      <c r="X28" s="405"/>
      <c r="Y28" s="405"/>
      <c r="Z28" s="405"/>
      <c r="AA28" s="405"/>
      <c r="AB28" s="405"/>
      <c r="AC28" s="405"/>
      <c r="AD28" s="406"/>
      <c r="AE28" s="407"/>
      <c r="AF28" s="407"/>
      <c r="AG28" s="827" t="s">
        <v>259</v>
      </c>
      <c r="AH28" s="827" t="s">
        <v>215</v>
      </c>
      <c r="AI28" s="827" t="s">
        <v>229</v>
      </c>
      <c r="AJ28" s="827" t="s">
        <v>223</v>
      </c>
      <c r="AK28" s="827" t="s">
        <v>263</v>
      </c>
      <c r="AL28" s="818"/>
      <c r="AM28" s="818"/>
      <c r="AN28" s="407"/>
      <c r="AO28" s="407"/>
      <c r="AP28" s="407"/>
      <c r="AQ28" s="407"/>
      <c r="AR28" s="406"/>
      <c r="AS28" s="431"/>
      <c r="AT28" s="431"/>
      <c r="BD28" s="431"/>
      <c r="BE28" s="431"/>
      <c r="BN28" s="407"/>
    </row>
    <row r="29" ht="39.75" customHeight="1">
      <c r="A29" s="817"/>
      <c r="B29" s="817"/>
      <c r="C29" s="817"/>
      <c r="D29" s="817"/>
      <c r="E29" s="817"/>
      <c r="F29" s="817"/>
      <c r="G29" s="817"/>
      <c r="H29" s="817"/>
      <c r="I29" s="817"/>
      <c r="J29" s="817"/>
      <c r="K29" s="817"/>
      <c r="L29" s="817"/>
      <c r="M29" s="817"/>
      <c r="N29" s="817"/>
      <c r="O29" s="817"/>
      <c r="P29" s="817"/>
      <c r="Q29" s="817"/>
      <c r="R29" s="839"/>
      <c r="S29" s="440"/>
      <c r="T29" s="441"/>
      <c r="U29" s="405"/>
      <c r="V29" s="405"/>
      <c r="W29" s="405"/>
      <c r="X29" s="405"/>
      <c r="Y29" s="405"/>
      <c r="Z29" s="405"/>
      <c r="AA29" s="405"/>
      <c r="AB29" s="405"/>
      <c r="AC29" s="405"/>
      <c r="AD29" s="406"/>
      <c r="AE29" s="407"/>
      <c r="AF29" s="407"/>
      <c r="AG29" s="828"/>
      <c r="AH29" s="828"/>
      <c r="AI29" s="828"/>
      <c r="AJ29" s="828"/>
      <c r="AK29" s="828"/>
      <c r="AL29" s="819"/>
      <c r="AM29" s="819"/>
      <c r="AN29" s="407"/>
      <c r="AO29" s="407"/>
      <c r="AP29" s="407"/>
      <c r="AQ29" s="407"/>
      <c r="AR29" s="406"/>
      <c r="AS29" s="415" t="s">
        <v>656</v>
      </c>
      <c r="AT29" s="475" t="s">
        <v>189</v>
      </c>
      <c r="BD29" s="415" t="s">
        <v>656</v>
      </c>
      <c r="BE29" s="475" t="s">
        <v>189</v>
      </c>
      <c r="BN29" s="407"/>
    </row>
    <row r="30" ht="39.75" customHeight="1">
      <c r="A30" s="817"/>
      <c r="B30" s="817"/>
      <c r="C30" s="817"/>
      <c r="D30" s="817"/>
      <c r="E30" s="817"/>
      <c r="F30" s="817"/>
      <c r="G30" s="817"/>
      <c r="H30" s="817"/>
      <c r="I30" s="817"/>
      <c r="J30" s="817"/>
      <c r="K30" s="817"/>
      <c r="L30" s="817"/>
      <c r="M30" s="817"/>
      <c r="N30" s="817"/>
      <c r="O30" s="817"/>
      <c r="P30" s="817"/>
      <c r="Q30" s="817"/>
      <c r="R30" s="839"/>
      <c r="S30" s="432" t="s">
        <v>670</v>
      </c>
      <c r="T30" s="442"/>
      <c r="U30" s="405"/>
      <c r="V30" s="405"/>
      <c r="W30" s="405"/>
      <c r="X30" s="405"/>
      <c r="Y30" s="405"/>
      <c r="Z30" s="405"/>
      <c r="AA30" s="405"/>
      <c r="AB30" s="405"/>
      <c r="AC30" s="405"/>
      <c r="AD30" s="406"/>
      <c r="AE30" s="407"/>
      <c r="AF30" s="407"/>
      <c r="AG30" s="407"/>
      <c r="AH30" s="407"/>
      <c r="AI30" s="457"/>
      <c r="AJ30" s="457"/>
      <c r="AK30" s="407"/>
      <c r="AL30" s="407"/>
      <c r="AM30" s="407"/>
      <c r="AN30" s="407"/>
      <c r="AO30" s="407"/>
      <c r="AP30" s="407"/>
      <c r="AQ30" s="407"/>
      <c r="AR30" s="406"/>
      <c r="AS30" s="415" t="s">
        <v>606</v>
      </c>
      <c r="AT30" s="475" t="s">
        <v>659</v>
      </c>
      <c r="AV30" s="476"/>
      <c r="AW30" s="477"/>
      <c r="AX30" s="477"/>
      <c r="AY30" s="477"/>
      <c r="AZ30" s="477"/>
      <c r="BD30" s="415" t="s">
        <v>606</v>
      </c>
      <c r="BE30" s="475" t="s">
        <v>659</v>
      </c>
      <c r="BG30" s="476"/>
      <c r="BH30" s="477"/>
      <c r="BI30" s="477"/>
      <c r="BJ30" s="477"/>
      <c r="BK30" s="477"/>
      <c r="BN30" s="407"/>
    </row>
    <row r="31" ht="39.75" customHeight="1">
      <c r="A31" s="817"/>
      <c r="B31" s="817"/>
      <c r="C31" s="817"/>
      <c r="D31" s="817"/>
      <c r="E31" s="817"/>
      <c r="F31" s="817"/>
      <c r="G31" s="817"/>
      <c r="H31" s="817"/>
      <c r="I31" s="817"/>
      <c r="J31" s="817"/>
      <c r="K31" s="817"/>
      <c r="L31" s="817"/>
      <c r="M31" s="817"/>
      <c r="N31" s="817"/>
      <c r="O31" s="817"/>
      <c r="P31" s="817"/>
      <c r="Q31" s="817"/>
      <c r="R31" s="839"/>
      <c r="S31" s="432" t="s">
        <v>657</v>
      </c>
      <c r="T31" s="584" t="s">
        <v>613</v>
      </c>
      <c r="U31" s="443" t="s">
        <v>659</v>
      </c>
      <c r="V31" s="405"/>
      <c r="W31" s="405"/>
      <c r="X31" s="444">
        <v>400</v>
      </c>
      <c r="Y31" s="405"/>
      <c r="Z31" s="405"/>
      <c r="AA31" s="405"/>
      <c r="AB31" s="405"/>
      <c r="AC31" s="405"/>
      <c r="AD31" s="406"/>
      <c r="AE31" s="825" t="s">
        <v>671</v>
      </c>
      <c r="AF31" s="825"/>
      <c r="AG31" s="825"/>
      <c r="AH31" s="825"/>
      <c r="AI31" s="825"/>
      <c r="AJ31" s="825"/>
      <c r="AK31" s="825"/>
      <c r="AL31" s="825"/>
      <c r="AM31" s="825"/>
      <c r="AN31" s="825"/>
      <c r="AO31" s="825"/>
      <c r="AP31" s="825"/>
      <c r="AQ31" s="407"/>
      <c r="AR31" s="406"/>
      <c r="AS31" s="428"/>
      <c r="AT31" s="429"/>
      <c r="AV31" s="477"/>
      <c r="AW31" s="477"/>
      <c r="AX31" s="477"/>
      <c r="AY31" s="477"/>
      <c r="AZ31" s="477"/>
      <c r="BA31" s="477"/>
      <c r="BD31" s="428"/>
      <c r="BE31" s="429"/>
      <c r="BG31" s="477"/>
      <c r="BH31" s="477"/>
      <c r="BI31" s="477"/>
      <c r="BJ31" s="477"/>
      <c r="BK31" s="477"/>
      <c r="BL31" s="477"/>
      <c r="BN31" s="407"/>
    </row>
    <row r="32" ht="39.75" customHeight="1">
      <c r="A32" s="817"/>
      <c r="B32" s="817"/>
      <c r="C32" s="817"/>
      <c r="D32" s="817"/>
      <c r="E32" s="817"/>
      <c r="F32" s="817"/>
      <c r="G32" s="817"/>
      <c r="H32" s="817"/>
      <c r="I32" s="817"/>
      <c r="J32" s="817"/>
      <c r="K32" s="817"/>
      <c r="L32" s="817"/>
      <c r="M32" s="817"/>
      <c r="N32" s="817"/>
      <c r="O32" s="817"/>
      <c r="P32" s="817"/>
      <c r="Q32" s="817"/>
      <c r="R32" s="839"/>
      <c r="S32" s="432" t="s">
        <v>660</v>
      </c>
      <c r="T32" s="445" t="s">
        <v>612</v>
      </c>
      <c r="U32" s="446"/>
      <c r="V32" s="446"/>
      <c r="W32" s="446"/>
      <c r="X32" s="446"/>
      <c r="Y32" s="446"/>
      <c r="Z32" s="446"/>
      <c r="AA32" s="446"/>
      <c r="AB32" s="446"/>
      <c r="AC32" s="446"/>
      <c r="AD32" s="406"/>
      <c r="AE32" s="407"/>
      <c r="AF32" s="455"/>
      <c r="AG32" s="455"/>
      <c r="AH32" s="455"/>
      <c r="AI32" s="455"/>
      <c r="AJ32" s="455"/>
      <c r="AK32" s="455"/>
      <c r="AL32" s="455"/>
      <c r="AM32" s="455"/>
      <c r="AN32" s="455"/>
      <c r="AO32" s="455"/>
      <c r="AP32" s="455"/>
      <c r="AQ32" s="407"/>
      <c r="AR32" s="406"/>
      <c r="AS32" s="430" t="s">
        <v>660</v>
      </c>
      <c r="AT32" s="426" t="s">
        <v>612</v>
      </c>
      <c r="BA32" s="476"/>
      <c r="BD32" s="430" t="s">
        <v>660</v>
      </c>
      <c r="BE32" s="426" t="s">
        <v>615</v>
      </c>
      <c r="BL32" s="476"/>
      <c r="BN32" s="407"/>
    </row>
    <row r="33" ht="39.75" customHeight="1">
      <c r="A33" s="817"/>
      <c r="B33" s="817"/>
      <c r="C33" s="817"/>
      <c r="D33" s="817"/>
      <c r="E33" s="817"/>
      <c r="F33" s="817"/>
      <c r="G33" s="817"/>
      <c r="H33" s="817"/>
      <c r="I33" s="817"/>
      <c r="J33" s="817"/>
      <c r="K33" s="817"/>
      <c r="L33" s="817"/>
      <c r="M33" s="817"/>
      <c r="N33" s="817"/>
      <c r="O33" s="817"/>
      <c r="P33" s="817"/>
      <c r="Q33" s="817"/>
      <c r="R33" s="839"/>
      <c r="S33" s="432" t="s">
        <v>661</v>
      </c>
      <c r="T33" s="447"/>
      <c r="U33" s="446"/>
      <c r="V33" s="826"/>
      <c r="W33" s="826"/>
      <c r="X33" s="448"/>
      <c r="Y33" s="446"/>
      <c r="Z33" s="446"/>
      <c r="AA33" s="445">
        <v>400</v>
      </c>
      <c r="AB33" s="446"/>
      <c r="AC33" s="446"/>
      <c r="AD33" s="602"/>
      <c r="AE33" s="601"/>
      <c r="AF33" s="601"/>
      <c r="AG33" s="601"/>
      <c r="AH33" s="601"/>
      <c r="AI33" s="601"/>
      <c r="AJ33" s="601"/>
      <c r="AK33" s="601"/>
      <c r="AL33" s="601"/>
      <c r="AM33" s="601"/>
      <c r="AN33" s="601"/>
      <c r="AO33" s="601"/>
      <c r="AP33" s="601"/>
      <c r="AQ33" s="601"/>
      <c r="AR33" s="602"/>
      <c r="AS33" s="430" t="s">
        <v>661</v>
      </c>
      <c r="AT33" s="430">
        <v>400</v>
      </c>
      <c r="BA33" s="0" t="s">
        <v>663</v>
      </c>
      <c r="BD33" s="430" t="s">
        <v>661</v>
      </c>
      <c r="BE33" s="430">
        <v>320</v>
      </c>
      <c r="BL33" s="0" t="s">
        <v>663</v>
      </c>
      <c r="BN33" s="407"/>
    </row>
    <row r="34" ht="40.5" customHeight="1">
      <c r="A34" s="817"/>
      <c r="B34" s="817"/>
      <c r="C34" s="817"/>
      <c r="D34" s="817"/>
      <c r="E34" s="817"/>
      <c r="F34" s="817"/>
      <c r="G34" s="817"/>
      <c r="H34" s="817"/>
      <c r="I34" s="817"/>
      <c r="J34" s="817"/>
      <c r="K34" s="817"/>
      <c r="L34" s="817"/>
      <c r="M34" s="817"/>
      <c r="N34" s="817"/>
      <c r="O34" s="817"/>
      <c r="P34" s="817"/>
      <c r="Q34" s="817"/>
      <c r="R34" s="839"/>
      <c r="S34" s="432" t="s">
        <v>664</v>
      </c>
      <c r="T34" s="447"/>
      <c r="U34" s="446"/>
      <c r="V34" s="446"/>
      <c r="W34" s="446"/>
      <c r="X34" s="448"/>
      <c r="Y34" s="446"/>
      <c r="Z34" s="446"/>
      <c r="AA34" s="446"/>
      <c r="AB34" s="446"/>
      <c r="AC34" s="446"/>
      <c r="AD34" s="602"/>
      <c r="AE34" s="601"/>
      <c r="AF34" s="601"/>
      <c r="AG34" s="601"/>
      <c r="AH34" s="603"/>
      <c r="AI34" s="601"/>
      <c r="AJ34" s="601"/>
      <c r="AK34" s="601"/>
      <c r="AL34" s="601"/>
      <c r="AM34" s="601"/>
      <c r="AN34" s="601"/>
      <c r="AO34" s="601"/>
      <c r="AP34" s="601"/>
      <c r="AQ34" s="601"/>
      <c r="AR34" s="602"/>
      <c r="AS34" s="430" t="s">
        <v>664</v>
      </c>
      <c r="AT34" s="430">
        <v>510</v>
      </c>
      <c r="AU34" s="478"/>
      <c r="AZ34" s="842"/>
      <c r="BA34" s="842"/>
      <c r="BB34" s="842"/>
      <c r="BD34" s="430" t="s">
        <v>664</v>
      </c>
      <c r="BE34" s="430">
        <v>270</v>
      </c>
      <c r="BF34" s="478"/>
      <c r="BK34" s="842"/>
      <c r="BL34" s="842"/>
      <c r="BM34" s="842"/>
      <c r="BN34" s="407"/>
    </row>
    <row r="35" ht="41.25" customHeight="1">
      <c r="A35" s="817"/>
      <c r="B35" s="817"/>
      <c r="C35" s="817"/>
      <c r="D35" s="817"/>
      <c r="E35" s="817"/>
      <c r="F35" s="817"/>
      <c r="G35" s="817"/>
      <c r="H35" s="817"/>
      <c r="I35" s="817"/>
      <c r="J35" s="817"/>
      <c r="K35" s="817"/>
      <c r="L35" s="817"/>
      <c r="M35" s="817"/>
      <c r="N35" s="817"/>
      <c r="O35" s="817"/>
      <c r="P35" s="817"/>
      <c r="Q35" s="817"/>
      <c r="R35" s="839"/>
      <c r="S35" s="407"/>
      <c r="T35" s="407"/>
      <c r="U35" s="446"/>
      <c r="V35" s="449"/>
      <c r="W35" s="449"/>
      <c r="X35" s="449"/>
      <c r="Y35" s="446"/>
      <c r="Z35" s="446"/>
      <c r="AA35" s="446"/>
      <c r="AB35" s="446"/>
      <c r="AC35" s="446"/>
      <c r="AD35" s="630"/>
      <c r="AE35" s="831" t="s">
        <v>647</v>
      </c>
      <c r="AF35" s="831"/>
      <c r="AG35" s="832">
        <f>'شماسي كانتليفر'!T25</f>
        <v>20454.52</v>
      </c>
      <c r="AH35" s="832"/>
      <c r="AI35" s="414"/>
      <c r="AJ35" s="414"/>
      <c r="AK35" s="407"/>
      <c r="AL35" s="407"/>
      <c r="AM35" s="407"/>
      <c r="AN35" s="407"/>
      <c r="AO35" s="407"/>
      <c r="AP35" s="407"/>
      <c r="AQ35" s="407"/>
      <c r="AR35" s="630"/>
      <c r="AS35" s="407"/>
      <c r="AT35" s="407"/>
      <c r="BD35" s="407"/>
      <c r="BE35" s="407"/>
      <c r="BN35" s="407"/>
    </row>
    <row r="36" ht="41.25" customHeight="1">
      <c r="A36" s="817"/>
      <c r="B36" s="817"/>
      <c r="C36" s="817"/>
      <c r="D36" s="817"/>
      <c r="E36" s="817"/>
      <c r="F36" s="817"/>
      <c r="G36" s="817"/>
      <c r="H36" s="817"/>
      <c r="I36" s="817"/>
      <c r="J36" s="817"/>
      <c r="K36" s="817"/>
      <c r="L36" s="817"/>
      <c r="M36" s="817"/>
      <c r="N36" s="817"/>
      <c r="O36" s="817"/>
      <c r="P36" s="817"/>
      <c r="Q36" s="817"/>
      <c r="R36" s="839"/>
      <c r="S36" s="407"/>
      <c r="T36" s="407"/>
      <c r="U36" s="446"/>
      <c r="V36" s="446"/>
      <c r="W36" s="446"/>
      <c r="X36" s="446"/>
      <c r="Y36" s="446"/>
      <c r="Z36" s="446"/>
      <c r="AA36" s="446"/>
      <c r="AB36" s="446"/>
      <c r="AC36" s="456" t="s">
        <v>672</v>
      </c>
      <c r="AD36" s="630"/>
      <c r="AE36" s="831"/>
      <c r="AF36" s="831"/>
      <c r="AG36" s="832"/>
      <c r="AH36" s="832"/>
      <c r="AI36" s="835" t="s">
        <v>662</v>
      </c>
      <c r="AJ36" s="835"/>
      <c r="AK36" s="835"/>
      <c r="AL36" s="407"/>
      <c r="AM36" s="407"/>
      <c r="AN36" s="407"/>
      <c r="AO36" s="407"/>
      <c r="AP36" s="407"/>
      <c r="AQ36" s="407"/>
      <c r="AR36" s="630"/>
      <c r="AS36" s="407"/>
      <c r="AT36" s="407"/>
      <c r="BA36" s="485">
        <f>AT33</f>
        <v>400</v>
      </c>
      <c r="BD36" s="407"/>
      <c r="BE36" s="407"/>
      <c r="BN36" s="407"/>
    </row>
    <row r="37" ht="41.25" customHeight="1">
      <c r="A37" s="817"/>
      <c r="B37" s="817"/>
      <c r="C37" s="817"/>
      <c r="D37" s="817"/>
      <c r="E37" s="817"/>
      <c r="F37" s="817"/>
      <c r="G37" s="817"/>
      <c r="H37" s="817"/>
      <c r="I37" s="817"/>
      <c r="J37" s="817"/>
      <c r="K37" s="817"/>
      <c r="L37" s="817"/>
      <c r="M37" s="817"/>
      <c r="N37" s="817"/>
      <c r="O37" s="817"/>
      <c r="P37" s="817"/>
      <c r="Q37" s="817"/>
      <c r="R37" s="839"/>
      <c r="S37" s="407"/>
      <c r="T37" s="407"/>
      <c r="U37" s="824" t="str">
        <f>IF(T25="","برجاء ادخال طريقة الدهان",IF(T26="","برجاء ادخال لون الالومنيوم",IF(T32="","برجاء ادخال طريقة التثبيت",IF(OR((AA33=""),(AA33&gt;1200)),"برجاء ادخال عرض البرجولة بشكل صحيح علما بان اقصي عرض هو 1200",IF(OR((X31=""),(X31&gt;800)),"برجاء ادخال امتداد البرجولة بشكل صحيح علما بان اقصي امتداد هو 800","OK")))))</f>
        <v>OK</v>
      </c>
      <c r="V37" s="824"/>
      <c r="W37" s="824"/>
      <c r="X37" s="824"/>
      <c r="Y37" s="824"/>
      <c r="Z37" s="824"/>
      <c r="AA37" s="824"/>
      <c r="AB37" s="824"/>
      <c r="AC37" s="824"/>
      <c r="AD37" s="630"/>
      <c r="AE37" s="453"/>
      <c r="AF37" s="454"/>
      <c r="AG37" s="454"/>
      <c r="AH37" s="414"/>
      <c r="AI37" s="835"/>
      <c r="AJ37" s="835"/>
      <c r="AK37" s="835"/>
      <c r="AL37" s="407"/>
      <c r="AM37" s="407"/>
      <c r="AN37" s="407"/>
      <c r="AO37" s="407"/>
      <c r="AP37" s="407"/>
      <c r="AQ37" s="407"/>
      <c r="AR37" s="630"/>
      <c r="AS37" s="848">
        <f>('بيرسا و لوفرز'!F24+'بيرسا و لوفرز'!V55+'بيرسا و لوفرز'!V63)*1.35</f>
        <v>241720.47000000003</v>
      </c>
      <c r="AT37" s="849"/>
      <c r="BD37" s="848">
        <f>('بيرسا و لوفرز'!F97+'بيرسا و لوفرز'!V126+'بيرسا و لوفرز'!V134)*1.35</f>
        <v>137677.995</v>
      </c>
      <c r="BE37" s="849"/>
      <c r="BN37" s="407"/>
    </row>
    <row r="38" ht="41.25" customHeight="1">
      <c r="A38" s="806"/>
      <c r="B38" s="806"/>
      <c r="C38" s="806"/>
      <c r="D38" s="806"/>
      <c r="E38" s="806"/>
      <c r="F38" s="806"/>
      <c r="G38" s="806"/>
      <c r="H38" s="806"/>
      <c r="I38" s="806"/>
      <c r="J38" s="806"/>
      <c r="K38" s="806"/>
      <c r="L38" s="806"/>
      <c r="M38" s="806"/>
      <c r="N38" s="806"/>
      <c r="O38" s="806"/>
      <c r="P38" s="806"/>
      <c r="Q38" s="806"/>
      <c r="R38" s="839"/>
      <c r="S38" s="407"/>
      <c r="T38" s="407"/>
      <c r="U38" s="407"/>
      <c r="V38" s="407"/>
      <c r="W38" s="407"/>
      <c r="X38" s="407"/>
      <c r="Y38" s="407"/>
      <c r="Z38" s="407"/>
      <c r="AA38" s="407"/>
      <c r="AB38" s="407"/>
      <c r="AC38" s="407"/>
      <c r="AD38" s="630"/>
      <c r="AE38" s="407"/>
      <c r="AF38" s="407"/>
      <c r="AG38" s="829" t="s">
        <v>649</v>
      </c>
      <c r="AH38" s="840" t="s">
        <v>200</v>
      </c>
      <c r="AI38" s="829" t="s">
        <v>293</v>
      </c>
      <c r="AJ38" s="829" t="s">
        <v>652</v>
      </c>
      <c r="AK38" s="820" t="s">
        <v>654</v>
      </c>
      <c r="AL38" s="407"/>
      <c r="AM38" s="407"/>
      <c r="AN38" s="407"/>
      <c r="AO38" s="407"/>
      <c r="AP38" s="407"/>
      <c r="AQ38" s="407"/>
      <c r="AR38" s="630"/>
      <c r="AS38" s="848">
        <f>AS37/(AT34*AT33/10000)</f>
        <v>11849.042647058826</v>
      </c>
      <c r="AT38" s="849"/>
      <c r="BD38" s="848">
        <f>BD37/(BE33*BE34/10000)</f>
        <v>15934.953124999998</v>
      </c>
      <c r="BE38" s="849"/>
      <c r="BK38" s="485">
        <f>BE33</f>
        <v>320</v>
      </c>
      <c r="BN38" s="407"/>
    </row>
    <row r="39" ht="41.25" customHeight="1">
      <c r="A39" s="806"/>
      <c r="B39" s="806"/>
      <c r="C39" s="806"/>
      <c r="D39" s="806"/>
      <c r="E39" s="806"/>
      <c r="F39" s="806"/>
      <c r="G39" s="806"/>
      <c r="H39" s="806"/>
      <c r="I39" s="806"/>
      <c r="J39" s="806"/>
      <c r="K39" s="806"/>
      <c r="L39" s="806"/>
      <c r="M39" s="806"/>
      <c r="N39" s="806"/>
      <c r="O39" s="806"/>
      <c r="P39" s="806"/>
      <c r="Q39" s="806"/>
      <c r="R39" s="839"/>
      <c r="S39" s="806"/>
      <c r="T39" s="806"/>
      <c r="U39" s="806"/>
      <c r="V39" s="806"/>
      <c r="W39" s="806"/>
      <c r="X39" s="806"/>
      <c r="Y39" s="806"/>
      <c r="Z39" s="806"/>
      <c r="AA39" s="806"/>
      <c r="AB39" s="806"/>
      <c r="AC39" s="806"/>
      <c r="AD39" s="630"/>
      <c r="AE39" s="407"/>
      <c r="AF39" s="407"/>
      <c r="AG39" s="830"/>
      <c r="AH39" s="841"/>
      <c r="AI39" s="830"/>
      <c r="AJ39" s="830"/>
      <c r="AK39" s="821"/>
      <c r="AL39" s="407"/>
      <c r="AM39" s="407"/>
      <c r="AN39" s="407"/>
      <c r="AO39" s="407"/>
      <c r="AP39" s="407"/>
      <c r="AQ39" s="407"/>
      <c r="AR39" s="630"/>
      <c r="AS39" s="407"/>
      <c r="AT39" s="407"/>
      <c r="AU39" s="407"/>
      <c r="AV39" s="407"/>
      <c r="AW39" s="407"/>
      <c r="AX39" s="407"/>
      <c r="AY39" s="407"/>
      <c r="AZ39" s="407"/>
      <c r="BA39" s="407"/>
      <c r="BB39" s="407"/>
      <c r="BD39" s="407"/>
      <c r="BE39" s="407"/>
      <c r="BF39" s="407"/>
      <c r="BG39" s="407"/>
      <c r="BH39" s="407"/>
      <c r="BI39" s="407"/>
      <c r="BJ39" s="407"/>
      <c r="BK39" s="407"/>
      <c r="BL39" s="407"/>
      <c r="BM39" s="407"/>
      <c r="BN39" s="407"/>
    </row>
    <row r="40" ht="30.75" customHeight="1">
      <c r="A40" s="806"/>
      <c r="B40" s="806"/>
      <c r="C40" s="806"/>
      <c r="D40" s="806"/>
      <c r="E40" s="806"/>
      <c r="F40" s="806"/>
      <c r="G40" s="806"/>
      <c r="H40" s="806"/>
      <c r="I40" s="806"/>
      <c r="J40" s="806"/>
      <c r="K40" s="806"/>
      <c r="L40" s="806"/>
      <c r="M40" s="806"/>
      <c r="N40" s="806"/>
      <c r="O40" s="806"/>
      <c r="P40" s="806"/>
      <c r="Q40" s="806"/>
      <c r="R40" s="839"/>
      <c r="S40" s="806"/>
      <c r="T40" s="806"/>
      <c r="U40" s="806"/>
      <c r="V40" s="806"/>
      <c r="W40" s="806"/>
      <c r="X40" s="806"/>
      <c r="Y40" s="806"/>
      <c r="Z40" s="806"/>
      <c r="AA40" s="806"/>
      <c r="AB40" s="806"/>
      <c r="AC40" s="806"/>
      <c r="AD40" s="630"/>
      <c r="AE40" s="407"/>
      <c r="AF40" s="407"/>
      <c r="AG40" s="827" t="s">
        <v>259</v>
      </c>
      <c r="AH40" s="827" t="s">
        <v>673</v>
      </c>
      <c r="AI40" s="827" t="s">
        <v>229</v>
      </c>
      <c r="AJ40" s="827" t="s">
        <v>223</v>
      </c>
      <c r="AK40" s="818"/>
      <c r="AL40" s="407"/>
      <c r="AM40" s="407"/>
      <c r="AN40" s="407"/>
      <c r="AO40" s="407"/>
      <c r="AP40" s="407"/>
      <c r="AQ40" s="407"/>
      <c r="AR40" s="630"/>
      <c r="AS40" s="407"/>
      <c r="AT40" s="407"/>
      <c r="AU40" s="407"/>
      <c r="AV40" s="407"/>
      <c r="AW40" s="407"/>
      <c r="AX40" s="407"/>
      <c r="AY40" s="407"/>
      <c r="AZ40" s="407"/>
      <c r="BA40" s="407"/>
      <c r="BB40" s="407"/>
      <c r="BD40" s="407"/>
      <c r="BE40" s="407"/>
      <c r="BF40" s="407"/>
      <c r="BG40" s="407"/>
      <c r="BH40" s="407"/>
      <c r="BI40" s="407"/>
      <c r="BJ40" s="407"/>
      <c r="BK40" s="407"/>
      <c r="BL40" s="407"/>
      <c r="BM40" s="407"/>
      <c r="BN40" s="407"/>
    </row>
    <row r="41" ht="42" customHeight="1">
      <c r="A41" s="806"/>
      <c r="B41" s="806"/>
      <c r="C41" s="806"/>
      <c r="D41" s="806"/>
      <c r="E41" s="806"/>
      <c r="F41" s="806"/>
      <c r="G41" s="806"/>
      <c r="H41" s="806"/>
      <c r="I41" s="806"/>
      <c r="J41" s="806"/>
      <c r="K41" s="806"/>
      <c r="L41" s="806"/>
      <c r="M41" s="806"/>
      <c r="N41" s="806"/>
      <c r="O41" s="806"/>
      <c r="P41" s="806"/>
      <c r="Q41" s="806"/>
      <c r="R41" s="839"/>
      <c r="S41" s="806"/>
      <c r="T41" s="806"/>
      <c r="U41" s="806"/>
      <c r="V41" s="806"/>
      <c r="W41" s="806"/>
      <c r="X41" s="806"/>
      <c r="Y41" s="806"/>
      <c r="Z41" s="806"/>
      <c r="AA41" s="806"/>
      <c r="AB41" s="806"/>
      <c r="AC41" s="806"/>
      <c r="AD41" s="630"/>
      <c r="AE41" s="407"/>
      <c r="AF41" s="407"/>
      <c r="AG41" s="828"/>
      <c r="AH41" s="828"/>
      <c r="AI41" s="828"/>
      <c r="AJ41" s="828"/>
      <c r="AK41" s="819"/>
      <c r="AL41" s="407"/>
      <c r="AM41" s="407"/>
      <c r="AN41" s="407"/>
      <c r="AO41" s="407"/>
      <c r="AP41" s="407"/>
      <c r="AQ41" s="407"/>
      <c r="AR41" s="630"/>
      <c r="AS41" s="850" t="s">
        <v>674</v>
      </c>
      <c r="AT41" s="850"/>
      <c r="AU41" s="850"/>
      <c r="AW41" s="477"/>
      <c r="BD41" s="408" t="s">
        <v>675</v>
      </c>
      <c r="BE41" s="408"/>
      <c r="BF41" s="408"/>
      <c r="BH41" s="477"/>
      <c r="BN41" s="407"/>
    </row>
    <row r="42" ht="42" customHeight="1">
      <c r="A42" s="806"/>
      <c r="B42" s="806"/>
      <c r="C42" s="806"/>
      <c r="D42" s="806"/>
      <c r="E42" s="806"/>
      <c r="F42" s="806"/>
      <c r="G42" s="806"/>
      <c r="H42" s="806"/>
      <c r="I42" s="806"/>
      <c r="J42" s="806"/>
      <c r="K42" s="806"/>
      <c r="L42" s="806"/>
      <c r="M42" s="806"/>
      <c r="N42" s="806"/>
      <c r="O42" s="806"/>
      <c r="P42" s="806"/>
      <c r="Q42" s="806"/>
      <c r="R42" s="839"/>
      <c r="S42" s="822" t="s">
        <v>676</v>
      </c>
      <c r="T42" s="823"/>
      <c r="U42" s="450"/>
      <c r="V42" s="450"/>
      <c r="W42" s="450"/>
      <c r="X42" s="450"/>
      <c r="Y42" s="450"/>
      <c r="Z42" s="450"/>
      <c r="AA42" s="450"/>
      <c r="AB42" s="450"/>
      <c r="AC42" s="450"/>
      <c r="AD42" s="630"/>
      <c r="AE42" s="407"/>
      <c r="AF42" s="407"/>
      <c r="AG42" s="407"/>
      <c r="AH42" s="407"/>
      <c r="AI42" s="457"/>
      <c r="AJ42" s="457"/>
      <c r="AK42" s="407"/>
      <c r="AL42" s="407"/>
      <c r="AM42" s="407"/>
      <c r="AN42" s="407"/>
      <c r="AO42" s="407"/>
      <c r="AP42" s="407"/>
      <c r="AQ42" s="407"/>
      <c r="AR42" s="630"/>
      <c r="AS42" s="464" t="s">
        <v>647</v>
      </c>
      <c r="AT42" s="465">
        <f>'بيرسا و لوفرز'!BM68</f>
        <v>249296.02099999998</v>
      </c>
      <c r="AU42" s="472"/>
      <c r="BD42" s="464" t="s">
        <v>647</v>
      </c>
      <c r="BE42" s="465">
        <f>'بيرسا و لوفرز'!BM139</f>
        <v>264285.021</v>
      </c>
      <c r="BF42" s="472"/>
      <c r="BN42" s="407"/>
    </row>
    <row r="43" ht="42" customHeight="1">
      <c r="A43" s="817" t="s">
        <v>677</v>
      </c>
      <c r="B43" s="817"/>
      <c r="C43" s="817"/>
      <c r="D43" s="817"/>
      <c r="E43" s="817"/>
      <c r="F43" s="817"/>
      <c r="G43" s="817"/>
      <c r="H43" s="817"/>
      <c r="I43" s="817"/>
      <c r="J43" s="817"/>
      <c r="K43" s="817"/>
      <c r="L43" s="817"/>
      <c r="M43" s="817"/>
      <c r="N43" s="817"/>
      <c r="O43" s="817"/>
      <c r="P43" s="817"/>
      <c r="Q43" s="817"/>
      <c r="R43" s="839"/>
      <c r="S43" s="434" t="s">
        <v>647</v>
      </c>
      <c r="T43" s="435">
        <f>'شماسي و كانتليفر'!N51</f>
        <v>93548</v>
      </c>
      <c r="U43" s="450"/>
      <c r="V43" s="450"/>
      <c r="W43" s="450"/>
      <c r="X43" s="450"/>
      <c r="Y43" s="450"/>
      <c r="Z43" s="450"/>
      <c r="AA43" s="450"/>
      <c r="AB43" s="450"/>
      <c r="AC43" s="450"/>
      <c r="AD43" s="630"/>
      <c r="AE43" s="825" t="s">
        <v>678</v>
      </c>
      <c r="AF43" s="825"/>
      <c r="AG43" s="825"/>
      <c r="AH43" s="825"/>
      <c r="AI43" s="825"/>
      <c r="AJ43" s="825"/>
      <c r="AK43" s="825"/>
      <c r="AL43" s="825"/>
      <c r="AM43" s="455"/>
      <c r="AN43" s="455"/>
      <c r="AO43" s="455"/>
      <c r="AP43" s="455"/>
      <c r="AQ43" s="407"/>
      <c r="AR43" s="630"/>
      <c r="AS43" s="464" t="s">
        <v>127</v>
      </c>
      <c r="AT43" s="466">
        <f>AT42/(AT53*AT54/10000)</f>
        <v>12464.801049999998</v>
      </c>
      <c r="AU43" s="472"/>
      <c r="AV43" s="473"/>
      <c r="BD43" s="464" t="s">
        <v>127</v>
      </c>
      <c r="BE43" s="466">
        <f>BE42/(BE53*BE54/10000)</f>
        <v>13214.25105</v>
      </c>
      <c r="BF43" s="472"/>
      <c r="BG43" s="473"/>
      <c r="BN43" s="407"/>
    </row>
    <row r="44" ht="42" customHeight="1">
      <c r="A44" s="817"/>
      <c r="B44" s="817"/>
      <c r="C44" s="817"/>
      <c r="D44" s="817"/>
      <c r="E44" s="817"/>
      <c r="F44" s="817"/>
      <c r="G44" s="817"/>
      <c r="H44" s="817"/>
      <c r="I44" s="817"/>
      <c r="J44" s="817"/>
      <c r="K44" s="817"/>
      <c r="L44" s="817"/>
      <c r="M44" s="817"/>
      <c r="N44" s="817"/>
      <c r="O44" s="817"/>
      <c r="P44" s="817"/>
      <c r="Q44" s="817"/>
      <c r="R44" s="839"/>
      <c r="S44" s="436" t="s">
        <v>127</v>
      </c>
      <c r="T44" s="435">
        <f>T43/T51</f>
        <v>3741.92</v>
      </c>
      <c r="U44" s="450"/>
      <c r="V44" s="450"/>
      <c r="W44" s="450"/>
      <c r="X44" s="450"/>
      <c r="Y44" s="816"/>
      <c r="Z44" s="816"/>
      <c r="AA44" s="450"/>
      <c r="AB44" s="450"/>
      <c r="AC44" s="450"/>
      <c r="AD44" s="630"/>
      <c r="AE44" s="407"/>
      <c r="AF44" s="455"/>
      <c r="AG44" s="455"/>
      <c r="AH44" s="455"/>
      <c r="AI44" s="455"/>
      <c r="AJ44" s="455"/>
      <c r="AK44" s="455"/>
      <c r="AL44" s="455"/>
      <c r="AM44" s="455"/>
      <c r="AN44" s="455"/>
      <c r="AO44" s="455"/>
      <c r="AP44" s="455"/>
      <c r="AQ44" s="407"/>
      <c r="AR44" s="630"/>
      <c r="AS44" s="418" t="s">
        <v>648</v>
      </c>
      <c r="AT44" s="416" t="s">
        <v>44</v>
      </c>
      <c r="BD44" s="418" t="s">
        <v>648</v>
      </c>
      <c r="BE44" s="416" t="s">
        <v>38</v>
      </c>
      <c r="BN44" s="407"/>
    </row>
    <row r="45" ht="42" customHeight="1">
      <c r="A45" s="817"/>
      <c r="B45" s="817"/>
      <c r="C45" s="817"/>
      <c r="D45" s="817"/>
      <c r="E45" s="817"/>
      <c r="F45" s="817"/>
      <c r="G45" s="817"/>
      <c r="H45" s="817"/>
      <c r="I45" s="817"/>
      <c r="J45" s="817"/>
      <c r="K45" s="817"/>
      <c r="L45" s="817"/>
      <c r="M45" s="817"/>
      <c r="N45" s="817"/>
      <c r="O45" s="817"/>
      <c r="P45" s="817"/>
      <c r="Q45" s="817"/>
      <c r="R45" s="839"/>
      <c r="S45" s="432" t="s">
        <v>648</v>
      </c>
      <c r="T45" s="433" t="s">
        <v>21</v>
      </c>
      <c r="U45" s="450"/>
      <c r="V45" s="450"/>
      <c r="W45" s="450"/>
      <c r="X45" s="450"/>
      <c r="Y45" s="816"/>
      <c r="Z45" s="816"/>
      <c r="AA45" s="450"/>
      <c r="AB45" s="450"/>
      <c r="AC45" s="450"/>
      <c r="AD45" s="630"/>
      <c r="AE45" s="630"/>
      <c r="AF45" s="630"/>
      <c r="AG45" s="630"/>
      <c r="AH45" s="630"/>
      <c r="AI45" s="630"/>
      <c r="AJ45" s="630"/>
      <c r="AK45" s="630"/>
      <c r="AL45" s="630"/>
      <c r="AM45" s="630"/>
      <c r="AN45" s="630"/>
      <c r="AO45" s="630"/>
      <c r="AP45" s="630"/>
      <c r="AQ45" s="630"/>
      <c r="AR45" s="630"/>
      <c r="AS45" s="418" t="s">
        <v>607</v>
      </c>
      <c r="AT45" s="419" t="s">
        <v>614</v>
      </c>
      <c r="AZ45" s="485">
        <f>AT53</f>
        <v>500</v>
      </c>
      <c r="BD45" s="418" t="s">
        <v>607</v>
      </c>
      <c r="BE45" s="419" t="s">
        <v>614</v>
      </c>
      <c r="BN45" s="407"/>
    </row>
    <row r="46" ht="42" customHeight="1">
      <c r="A46" s="817"/>
      <c r="B46" s="817"/>
      <c r="C46" s="817"/>
      <c r="D46" s="817"/>
      <c r="E46" s="817"/>
      <c r="F46" s="817"/>
      <c r="G46" s="817"/>
      <c r="H46" s="817"/>
      <c r="I46" s="817"/>
      <c r="J46" s="817"/>
      <c r="K46" s="817"/>
      <c r="L46" s="817"/>
      <c r="M46" s="817"/>
      <c r="N46" s="817"/>
      <c r="O46" s="817"/>
      <c r="P46" s="817"/>
      <c r="Q46" s="817"/>
      <c r="R46" s="839"/>
      <c r="S46" s="437" t="s">
        <v>607</v>
      </c>
      <c r="T46" s="438" t="s">
        <v>611</v>
      </c>
      <c r="U46" s="450"/>
      <c r="V46" s="450"/>
      <c r="W46" s="450"/>
      <c r="X46" s="450"/>
      <c r="Y46" s="816"/>
      <c r="Z46" s="816"/>
      <c r="AA46" s="450"/>
      <c r="AB46" s="450"/>
      <c r="AC46" s="450"/>
      <c r="AD46" s="630"/>
      <c r="AE46" s="630"/>
      <c r="AF46" s="630"/>
      <c r="AG46" s="630"/>
      <c r="AH46" s="631"/>
      <c r="AI46" s="630"/>
      <c r="AJ46" s="630"/>
      <c r="AK46" s="630"/>
      <c r="AL46" s="630"/>
      <c r="AM46" s="630"/>
      <c r="AN46" s="630"/>
      <c r="AO46" s="630"/>
      <c r="AP46" s="630"/>
      <c r="AQ46" s="630"/>
      <c r="AR46" s="630"/>
      <c r="AS46" s="420" t="s">
        <v>608</v>
      </c>
      <c r="AT46" s="421" t="s">
        <v>229</v>
      </c>
      <c r="AX46" s="485">
        <f>AT54</f>
        <v>400</v>
      </c>
      <c r="BD46" s="420" t="s">
        <v>608</v>
      </c>
      <c r="BE46" s="421" t="s">
        <v>229</v>
      </c>
      <c r="BI46" s="485">
        <f>BE54</f>
        <v>400</v>
      </c>
      <c r="BM46" s="485">
        <f>BE53</f>
        <v>500</v>
      </c>
      <c r="BN46" s="407"/>
    </row>
    <row r="47" ht="42" customHeight="1">
      <c r="A47" s="817"/>
      <c r="B47" s="817"/>
      <c r="C47" s="817"/>
      <c r="D47" s="817"/>
      <c r="E47" s="817"/>
      <c r="F47" s="817"/>
      <c r="G47" s="817"/>
      <c r="H47" s="817"/>
      <c r="I47" s="817"/>
      <c r="J47" s="817"/>
      <c r="K47" s="817"/>
      <c r="L47" s="817"/>
      <c r="M47" s="817"/>
      <c r="N47" s="817"/>
      <c r="O47" s="817"/>
      <c r="P47" s="817"/>
      <c r="Q47" s="817"/>
      <c r="R47" s="839"/>
      <c r="S47" s="432" t="s">
        <v>679</v>
      </c>
      <c r="T47" s="439">
        <f>ROUNDUP(T54/500,0)</f>
        <v>1</v>
      </c>
      <c r="U47" s="450"/>
      <c r="V47" s="450"/>
      <c r="W47" s="450"/>
      <c r="X47" s="450"/>
      <c r="Y47" s="450"/>
      <c r="Z47" s="450"/>
      <c r="AA47" s="450"/>
      <c r="AB47" s="450"/>
      <c r="AC47" s="450"/>
      <c r="AD47" s="630"/>
      <c r="AE47" s="831" t="s">
        <v>647</v>
      </c>
      <c r="AF47" s="831"/>
      <c r="AG47" s="832">
        <f>'شماسي كانتليفر'!D24</f>
        <v>7050.231325</v>
      </c>
      <c r="AH47" s="832"/>
      <c r="AI47" s="414"/>
      <c r="AJ47" s="414"/>
      <c r="AK47" s="407"/>
      <c r="AL47" s="407"/>
      <c r="AM47" s="407"/>
      <c r="AN47" s="407"/>
      <c r="AO47" s="407"/>
      <c r="AP47" s="407"/>
      <c r="AQ47" s="407"/>
      <c r="AR47" s="630"/>
      <c r="AS47" s="422"/>
      <c r="AT47" s="423"/>
      <c r="AU47" s="474"/>
      <c r="AV47" s="474"/>
      <c r="AW47" s="474"/>
      <c r="AX47" s="486"/>
      <c r="AY47" s="486"/>
      <c r="BD47" s="422"/>
      <c r="BE47" s="423"/>
      <c r="BF47" s="474"/>
      <c r="BG47" s="474"/>
      <c r="BH47" s="474"/>
      <c r="BI47" s="486"/>
      <c r="BJ47" s="486"/>
      <c r="BN47" s="407"/>
    </row>
    <row r="48" ht="42" customHeight="1">
      <c r="A48" s="817"/>
      <c r="B48" s="817"/>
      <c r="C48" s="817"/>
      <c r="D48" s="817"/>
      <c r="E48" s="817"/>
      <c r="F48" s="817"/>
      <c r="G48" s="817"/>
      <c r="H48" s="817"/>
      <c r="I48" s="817"/>
      <c r="J48" s="817"/>
      <c r="K48" s="817"/>
      <c r="L48" s="817"/>
      <c r="M48" s="817"/>
      <c r="N48" s="817"/>
      <c r="O48" s="817"/>
      <c r="P48" s="817"/>
      <c r="Q48" s="817"/>
      <c r="R48" s="839"/>
      <c r="S48" s="440"/>
      <c r="T48" s="441"/>
      <c r="U48" s="450"/>
      <c r="V48" s="450"/>
      <c r="W48" s="450"/>
      <c r="X48" s="450"/>
      <c r="Y48" s="450"/>
      <c r="Z48" s="450"/>
      <c r="AA48" s="450"/>
      <c r="AB48" s="450"/>
      <c r="AC48" s="450"/>
      <c r="AD48" s="630"/>
      <c r="AE48" s="831"/>
      <c r="AF48" s="831"/>
      <c r="AG48" s="832"/>
      <c r="AH48" s="832"/>
      <c r="AI48" s="835" t="s">
        <v>662</v>
      </c>
      <c r="AJ48" s="835"/>
      <c r="AK48" s="835"/>
      <c r="AL48" s="407"/>
      <c r="AM48" s="407"/>
      <c r="AN48" s="407"/>
      <c r="AO48" s="407"/>
      <c r="AP48" s="407"/>
      <c r="AQ48" s="407"/>
      <c r="AR48" s="630"/>
      <c r="AS48" s="431"/>
      <c r="AT48" s="431"/>
      <c r="BD48" s="431"/>
      <c r="BE48" s="431"/>
      <c r="BN48" s="407"/>
    </row>
    <row r="49" ht="42" customHeight="1">
      <c r="A49" s="817"/>
      <c r="B49" s="817"/>
      <c r="C49" s="817"/>
      <c r="D49" s="817"/>
      <c r="E49" s="817"/>
      <c r="F49" s="817"/>
      <c r="G49" s="817"/>
      <c r="H49" s="817"/>
      <c r="I49" s="817"/>
      <c r="J49" s="817"/>
      <c r="K49" s="817"/>
      <c r="L49" s="817"/>
      <c r="M49" s="817"/>
      <c r="N49" s="817"/>
      <c r="O49" s="817"/>
      <c r="P49" s="817"/>
      <c r="Q49" s="817"/>
      <c r="R49" s="839"/>
      <c r="S49" s="440"/>
      <c r="T49" s="440"/>
      <c r="U49" s="450"/>
      <c r="V49" s="450"/>
      <c r="W49" s="450"/>
      <c r="X49" s="450"/>
      <c r="Y49" s="450"/>
      <c r="Z49" s="450"/>
      <c r="AA49" s="450"/>
      <c r="AB49" s="450"/>
      <c r="AC49" s="450"/>
      <c r="AD49" s="630"/>
      <c r="AE49" s="453"/>
      <c r="AF49" s="454"/>
      <c r="AG49" s="454"/>
      <c r="AH49" s="414"/>
      <c r="AI49" s="836"/>
      <c r="AJ49" s="836"/>
      <c r="AK49" s="836"/>
      <c r="AL49" s="407"/>
      <c r="AM49" s="407"/>
      <c r="AN49" s="407"/>
      <c r="AO49" s="407"/>
      <c r="AP49" s="407"/>
      <c r="AQ49" s="407"/>
      <c r="AR49" s="630"/>
      <c r="AS49" s="415" t="s">
        <v>656</v>
      </c>
      <c r="AT49" s="475" t="s">
        <v>189</v>
      </c>
      <c r="BD49" s="415" t="s">
        <v>656</v>
      </c>
      <c r="BE49" s="475" t="s">
        <v>189</v>
      </c>
      <c r="BN49" s="407"/>
    </row>
    <row r="50" ht="42" customHeight="1">
      <c r="A50" s="817"/>
      <c r="B50" s="817"/>
      <c r="C50" s="817"/>
      <c r="D50" s="817"/>
      <c r="E50" s="817"/>
      <c r="F50" s="817"/>
      <c r="G50" s="817"/>
      <c r="H50" s="817"/>
      <c r="I50" s="817"/>
      <c r="J50" s="817"/>
      <c r="K50" s="817"/>
      <c r="L50" s="817"/>
      <c r="M50" s="817"/>
      <c r="N50" s="817"/>
      <c r="O50" s="817"/>
      <c r="P50" s="817"/>
      <c r="Q50" s="817"/>
      <c r="R50" s="839"/>
      <c r="S50" s="440"/>
      <c r="T50" s="441"/>
      <c r="U50" s="450"/>
      <c r="V50" s="450"/>
      <c r="W50" s="450"/>
      <c r="X50" s="450"/>
      <c r="Y50" s="450"/>
      <c r="Z50" s="450"/>
      <c r="AA50" s="450"/>
      <c r="AB50" s="450"/>
      <c r="AC50" s="450"/>
      <c r="AD50" s="630"/>
      <c r="AE50" s="407"/>
      <c r="AF50" s="407"/>
      <c r="AG50" s="829" t="s">
        <v>649</v>
      </c>
      <c r="AH50" s="840" t="s">
        <v>200</v>
      </c>
      <c r="AI50" s="829" t="s">
        <v>293</v>
      </c>
      <c r="AJ50" s="829" t="s">
        <v>652</v>
      </c>
      <c r="AK50" s="829" t="s">
        <v>653</v>
      </c>
      <c r="AL50" s="829" t="s">
        <v>680</v>
      </c>
      <c r="AM50" s="820" t="s">
        <v>654</v>
      </c>
      <c r="AN50" s="407"/>
      <c r="AO50" s="407"/>
      <c r="AP50" s="407"/>
      <c r="AQ50" s="407"/>
      <c r="AR50" s="630"/>
      <c r="AS50" s="415" t="s">
        <v>606</v>
      </c>
      <c r="AT50" s="475" t="s">
        <v>659</v>
      </c>
      <c r="AV50" s="476"/>
      <c r="AW50" s="477"/>
      <c r="AX50" s="477"/>
      <c r="AY50" s="477"/>
      <c r="AZ50" s="477"/>
      <c r="BD50" s="415" t="s">
        <v>606</v>
      </c>
      <c r="BE50" s="475" t="s">
        <v>659</v>
      </c>
      <c r="BG50" s="476"/>
      <c r="BH50" s="477"/>
      <c r="BI50" s="477"/>
      <c r="BJ50" s="477"/>
      <c r="BK50" s="477"/>
      <c r="BN50" s="407"/>
    </row>
    <row r="51" ht="42" customHeight="1">
      <c r="A51" s="817"/>
      <c r="B51" s="817"/>
      <c r="C51" s="817"/>
      <c r="D51" s="817"/>
      <c r="E51" s="817"/>
      <c r="F51" s="817"/>
      <c r="G51" s="817"/>
      <c r="H51" s="817"/>
      <c r="I51" s="817"/>
      <c r="J51" s="817"/>
      <c r="K51" s="817"/>
      <c r="L51" s="817"/>
      <c r="M51" s="817"/>
      <c r="N51" s="817"/>
      <c r="O51" s="817"/>
      <c r="P51" s="817"/>
      <c r="Q51" s="817"/>
      <c r="R51" s="839"/>
      <c r="S51" s="432" t="s">
        <v>681</v>
      </c>
      <c r="T51" s="445">
        <f>IF((T52="double"),(T54*T55/5000),(T54*T55/10000))</f>
        <v>25</v>
      </c>
      <c r="U51" s="450"/>
      <c r="V51" s="450"/>
      <c r="W51" s="450"/>
      <c r="X51" s="450"/>
      <c r="Y51" s="450"/>
      <c r="Z51" s="450"/>
      <c r="AA51" s="450"/>
      <c r="AB51" s="450"/>
      <c r="AC51" s="450"/>
      <c r="AD51" s="630"/>
      <c r="AE51" s="407"/>
      <c r="AF51" s="407"/>
      <c r="AG51" s="830"/>
      <c r="AH51" s="841"/>
      <c r="AI51" s="830"/>
      <c r="AJ51" s="830"/>
      <c r="AK51" s="830"/>
      <c r="AL51" s="830"/>
      <c r="AM51" s="821"/>
      <c r="AN51" s="407"/>
      <c r="AO51" s="407"/>
      <c r="AP51" s="407"/>
      <c r="AQ51" s="407"/>
      <c r="AR51" s="630"/>
      <c r="AS51" s="428"/>
      <c r="AT51" s="429"/>
      <c r="AV51" s="477"/>
      <c r="AW51" s="477"/>
      <c r="AX51" s="477"/>
      <c r="AY51" s="477"/>
      <c r="AZ51" s="477"/>
      <c r="BA51" s="477"/>
      <c r="BD51" s="428"/>
      <c r="BE51" s="429"/>
      <c r="BG51" s="477"/>
      <c r="BH51" s="477"/>
      <c r="BI51" s="477"/>
      <c r="BJ51" s="477"/>
      <c r="BK51" s="477"/>
      <c r="BL51" s="477"/>
      <c r="BN51" s="407"/>
    </row>
    <row r="52" ht="42" customHeight="1">
      <c r="A52" s="817"/>
      <c r="B52" s="817"/>
      <c r="C52" s="817"/>
      <c r="D52" s="817"/>
      <c r="E52" s="817"/>
      <c r="F52" s="817"/>
      <c r="G52" s="817"/>
      <c r="H52" s="817"/>
      <c r="I52" s="817"/>
      <c r="J52" s="817"/>
      <c r="K52" s="817"/>
      <c r="L52" s="817"/>
      <c r="M52" s="817"/>
      <c r="N52" s="817"/>
      <c r="O52" s="817"/>
      <c r="P52" s="817"/>
      <c r="Q52" s="817"/>
      <c r="R52" s="839"/>
      <c r="S52" s="432" t="s">
        <v>682</v>
      </c>
      <c r="T52" s="451" t="s">
        <v>260</v>
      </c>
      <c r="U52" s="450"/>
      <c r="V52" s="450"/>
      <c r="W52" s="450"/>
      <c r="X52" s="450"/>
      <c r="Y52" s="450"/>
      <c r="Z52" s="450"/>
      <c r="AA52" s="450"/>
      <c r="AB52" s="450"/>
      <c r="AC52" s="450"/>
      <c r="AD52" s="630"/>
      <c r="AE52" s="407"/>
      <c r="AF52" s="407"/>
      <c r="AG52" s="827" t="s">
        <v>259</v>
      </c>
      <c r="AH52" s="827" t="s">
        <v>683</v>
      </c>
      <c r="AI52" s="827" t="s">
        <v>233</v>
      </c>
      <c r="AJ52" s="827" t="s">
        <v>223</v>
      </c>
      <c r="AK52" s="876" t="s">
        <v>684</v>
      </c>
      <c r="AL52" s="827" t="s">
        <v>685</v>
      </c>
      <c r="AM52" s="874"/>
      <c r="AN52" s="407"/>
      <c r="AO52" s="407"/>
      <c r="AP52" s="407"/>
      <c r="AQ52" s="407"/>
      <c r="AR52" s="630"/>
      <c r="AS52" s="430" t="s">
        <v>660</v>
      </c>
      <c r="AT52" s="426" t="s">
        <v>612</v>
      </c>
      <c r="BA52" s="476"/>
      <c r="BD52" s="430" t="s">
        <v>660</v>
      </c>
      <c r="BE52" s="426" t="s">
        <v>612</v>
      </c>
      <c r="BL52" s="476"/>
      <c r="BN52" s="407"/>
    </row>
    <row r="53" ht="42" customHeight="1">
      <c r="A53" s="817"/>
      <c r="B53" s="817"/>
      <c r="C53" s="817"/>
      <c r="D53" s="817"/>
      <c r="E53" s="817"/>
      <c r="F53" s="817"/>
      <c r="G53" s="817"/>
      <c r="H53" s="817"/>
      <c r="I53" s="817"/>
      <c r="J53" s="817"/>
      <c r="K53" s="817"/>
      <c r="L53" s="817"/>
      <c r="M53" s="817"/>
      <c r="N53" s="817"/>
      <c r="O53" s="817"/>
      <c r="P53" s="817"/>
      <c r="Q53" s="817"/>
      <c r="R53" s="839"/>
      <c r="S53" s="432" t="s">
        <v>660</v>
      </c>
      <c r="T53" s="445" t="s">
        <v>612</v>
      </c>
      <c r="U53" s="450"/>
      <c r="V53" s="450"/>
      <c r="W53" s="450"/>
      <c r="X53" s="450"/>
      <c r="Y53" s="450"/>
      <c r="Z53" s="450"/>
      <c r="AA53" s="450"/>
      <c r="AB53" s="450"/>
      <c r="AC53" s="452">
        <f>T55</f>
        <v>500</v>
      </c>
      <c r="AD53" s="630"/>
      <c r="AE53" s="407"/>
      <c r="AF53" s="407"/>
      <c r="AG53" s="828"/>
      <c r="AH53" s="828"/>
      <c r="AI53" s="828"/>
      <c r="AJ53" s="828"/>
      <c r="AK53" s="877"/>
      <c r="AL53" s="828"/>
      <c r="AM53" s="875"/>
      <c r="AN53" s="407"/>
      <c r="AO53" s="407"/>
      <c r="AP53" s="407"/>
      <c r="AQ53" s="407"/>
      <c r="AR53" s="630"/>
      <c r="AS53" s="430" t="s">
        <v>661</v>
      </c>
      <c r="AT53" s="430">
        <v>500</v>
      </c>
      <c r="BA53" s="0" t="s">
        <v>663</v>
      </c>
      <c r="BD53" s="430" t="s">
        <v>661</v>
      </c>
      <c r="BE53" s="430">
        <v>500</v>
      </c>
      <c r="BL53" s="0" t="s">
        <v>663</v>
      </c>
      <c r="BN53" s="407"/>
    </row>
    <row r="54" ht="42" customHeight="1">
      <c r="A54" s="817"/>
      <c r="B54" s="817"/>
      <c r="C54" s="817"/>
      <c r="D54" s="817"/>
      <c r="E54" s="817"/>
      <c r="F54" s="817"/>
      <c r="G54" s="817"/>
      <c r="H54" s="817"/>
      <c r="I54" s="817"/>
      <c r="J54" s="817"/>
      <c r="K54" s="817"/>
      <c r="L54" s="817"/>
      <c r="M54" s="817"/>
      <c r="N54" s="817"/>
      <c r="O54" s="817"/>
      <c r="P54" s="817"/>
      <c r="Q54" s="817"/>
      <c r="R54" s="839"/>
      <c r="S54" s="432" t="s">
        <v>661</v>
      </c>
      <c r="T54" s="447">
        <v>500</v>
      </c>
      <c r="U54" s="450"/>
      <c r="V54" s="450"/>
      <c r="W54" s="450"/>
      <c r="X54" s="450"/>
      <c r="Y54" s="450"/>
      <c r="Z54" s="450"/>
      <c r="AA54" s="450"/>
      <c r="AC54" s="450"/>
      <c r="AD54" s="630"/>
      <c r="AE54" s="407"/>
      <c r="AF54" s="407"/>
      <c r="AG54" s="407"/>
      <c r="AH54" s="407"/>
      <c r="AI54" s="457"/>
      <c r="AJ54" s="457"/>
      <c r="AK54" s="407"/>
      <c r="AL54" s="407"/>
      <c r="AM54" s="407"/>
      <c r="AN54" s="407"/>
      <c r="AO54" s="407"/>
      <c r="AP54" s="799"/>
      <c r="AQ54" s="407"/>
      <c r="AR54" s="630"/>
      <c r="AS54" s="430" t="s">
        <v>664</v>
      </c>
      <c r="AT54" s="430">
        <v>400</v>
      </c>
      <c r="AU54" s="478"/>
      <c r="AZ54" s="842"/>
      <c r="BA54" s="842"/>
      <c r="BB54" s="842"/>
      <c r="BD54" s="430" t="s">
        <v>664</v>
      </c>
      <c r="BE54" s="430">
        <v>400</v>
      </c>
      <c r="BF54" s="478"/>
      <c r="BK54" s="842"/>
      <c r="BL54" s="842"/>
      <c r="BM54" s="842"/>
      <c r="BN54" s="407"/>
    </row>
    <row r="55" ht="42" customHeight="1">
      <c r="A55" s="817"/>
      <c r="B55" s="817"/>
      <c r="C55" s="817"/>
      <c r="D55" s="817"/>
      <c r="E55" s="817"/>
      <c r="F55" s="817"/>
      <c r="G55" s="817"/>
      <c r="H55" s="817"/>
      <c r="I55" s="817"/>
      <c r="J55" s="817"/>
      <c r="K55" s="817"/>
      <c r="L55" s="817"/>
      <c r="M55" s="817"/>
      <c r="N55" s="817"/>
      <c r="O55" s="817"/>
      <c r="P55" s="817"/>
      <c r="Q55" s="817"/>
      <c r="R55" s="839"/>
      <c r="S55" s="432" t="s">
        <v>664</v>
      </c>
      <c r="T55" s="447">
        <v>500</v>
      </c>
      <c r="U55" s="450"/>
      <c r="V55" s="450"/>
      <c r="W55" s="450"/>
      <c r="X55" s="450"/>
      <c r="Y55" s="450"/>
      <c r="Z55" s="450"/>
      <c r="AA55" s="450"/>
      <c r="AC55" s="450"/>
      <c r="AD55" s="630"/>
      <c r="AE55" s="825" t="s">
        <v>686</v>
      </c>
      <c r="AF55" s="825"/>
      <c r="AG55" s="825"/>
      <c r="AH55" s="825"/>
      <c r="AI55" s="825"/>
      <c r="AJ55" s="825"/>
      <c r="AK55" s="825"/>
      <c r="AL55" s="825"/>
      <c r="AM55" s="825"/>
      <c r="AN55" s="825"/>
      <c r="AO55" s="825"/>
      <c r="AP55" s="825"/>
      <c r="AQ55" s="407"/>
      <c r="AR55" s="630"/>
      <c r="AS55" s="407"/>
      <c r="AT55" s="407"/>
      <c r="BD55" s="407"/>
      <c r="BE55" s="407"/>
      <c r="BN55" s="407"/>
    </row>
    <row r="56" ht="42" customHeight="1">
      <c r="A56" s="817"/>
      <c r="B56" s="817"/>
      <c r="C56" s="817"/>
      <c r="D56" s="817"/>
      <c r="E56" s="817"/>
      <c r="F56" s="817"/>
      <c r="G56" s="817"/>
      <c r="H56" s="817"/>
      <c r="I56" s="817"/>
      <c r="J56" s="817"/>
      <c r="K56" s="817"/>
      <c r="L56" s="817"/>
      <c r="M56" s="817"/>
      <c r="N56" s="817"/>
      <c r="O56" s="817"/>
      <c r="P56" s="817"/>
      <c r="Q56" s="817"/>
      <c r="R56" s="839"/>
      <c r="S56" s="450"/>
      <c r="T56" s="450"/>
      <c r="U56" s="450"/>
      <c r="V56" s="450"/>
      <c r="W56" s="452">
        <f>T54</f>
        <v>500</v>
      </c>
      <c r="X56" s="450"/>
      <c r="Y56" s="450"/>
      <c r="Z56" s="450"/>
      <c r="AA56" s="450"/>
      <c r="AB56" s="450"/>
      <c r="AC56" s="450"/>
      <c r="AD56" s="630"/>
      <c r="AE56" s="407"/>
      <c r="AF56" s="455"/>
      <c r="AG56" s="455"/>
      <c r="AH56" s="455"/>
      <c r="AI56" s="455"/>
      <c r="AJ56" s="455"/>
      <c r="AK56" s="455"/>
      <c r="AL56" s="455"/>
      <c r="AM56" s="455"/>
      <c r="AN56" s="455"/>
      <c r="AO56" s="455"/>
      <c r="AP56" s="455"/>
      <c r="AQ56" s="407"/>
      <c r="AR56" s="630"/>
      <c r="AS56" s="407"/>
      <c r="AT56" s="407"/>
      <c r="BD56" s="407"/>
      <c r="BE56" s="407"/>
      <c r="BN56" s="407"/>
    </row>
    <row r="57" ht="42" customHeight="1">
      <c r="A57" s="817"/>
      <c r="B57" s="817"/>
      <c r="C57" s="817"/>
      <c r="D57" s="817"/>
      <c r="E57" s="817"/>
      <c r="F57" s="817"/>
      <c r="G57" s="817"/>
      <c r="H57" s="817"/>
      <c r="I57" s="817"/>
      <c r="J57" s="817"/>
      <c r="K57" s="817"/>
      <c r="L57" s="817"/>
      <c r="M57" s="817"/>
      <c r="N57" s="817"/>
      <c r="O57" s="817"/>
      <c r="P57" s="817"/>
      <c r="Q57" s="817"/>
      <c r="R57" s="839"/>
      <c r="S57" s="450"/>
      <c r="T57" s="450"/>
      <c r="U57" s="450"/>
      <c r="V57" s="450"/>
      <c r="W57" s="450"/>
      <c r="X57" s="450"/>
      <c r="Y57" s="450"/>
      <c r="Z57" s="450"/>
      <c r="AA57" s="450"/>
      <c r="AC57" s="450"/>
      <c r="AD57" s="630"/>
      <c r="AE57" s="630"/>
      <c r="AF57" s="630"/>
      <c r="AG57" s="630"/>
      <c r="AH57" s="630"/>
      <c r="AI57" s="630"/>
      <c r="AJ57" s="630"/>
      <c r="AK57" s="630"/>
      <c r="AL57" s="630"/>
      <c r="AM57" s="630"/>
      <c r="AN57" s="630"/>
      <c r="AO57" s="630"/>
      <c r="AP57" s="630"/>
      <c r="AQ57" s="630"/>
      <c r="AR57" s="630"/>
      <c r="AS57" s="846">
        <f>('بيرسا و لوفرز'!BA14+'بيرسا و لوفرز'!BP62+'بيرسا و لوفرز'!BQ54)*1.35</f>
        <v>151084.845</v>
      </c>
      <c r="AT57" s="847"/>
      <c r="BD57" s="846">
        <f>('بيرسا و لوفرز'!BA85+'بيرسا و لوفرز'!BP133+'بيرسا و لوفرز'!BQ125)*1.35</f>
        <v>151084.845</v>
      </c>
      <c r="BE57" s="847"/>
      <c r="BN57" s="407"/>
    </row>
    <row r="58" ht="42" customHeight="1">
      <c r="A58" s="817"/>
      <c r="B58" s="817"/>
      <c r="C58" s="817"/>
      <c r="D58" s="817"/>
      <c r="E58" s="817"/>
      <c r="F58" s="817"/>
      <c r="G58" s="817"/>
      <c r="H58" s="817"/>
      <c r="I58" s="817"/>
      <c r="J58" s="817"/>
      <c r="K58" s="817"/>
      <c r="L58" s="817"/>
      <c r="M58" s="817"/>
      <c r="N58" s="817"/>
      <c r="O58" s="817"/>
      <c r="P58" s="817"/>
      <c r="Q58" s="817"/>
      <c r="R58" s="839"/>
      <c r="S58" s="450"/>
      <c r="T58" s="450"/>
      <c r="U58" s="450"/>
      <c r="V58" s="450"/>
      <c r="Y58" s="450"/>
      <c r="Z58" s="450"/>
      <c r="AA58" s="450"/>
      <c r="AB58" s="450"/>
      <c r="AC58" s="450"/>
      <c r="AD58" s="630"/>
      <c r="AE58" s="629"/>
      <c r="AF58" s="630"/>
      <c r="AG58" s="630"/>
      <c r="AH58" s="631"/>
      <c r="AI58" s="630"/>
      <c r="AJ58" s="630"/>
      <c r="AK58" s="630"/>
      <c r="AL58" s="630"/>
      <c r="AM58" s="630"/>
      <c r="AN58" s="630"/>
      <c r="AO58" s="630"/>
      <c r="AP58" s="630"/>
      <c r="AQ58" s="630"/>
      <c r="AR58" s="630"/>
      <c r="AS58" s="837">
        <f>AS57/(AT53*AT54/10000)</f>
        <v>7554.24225</v>
      </c>
      <c r="AT58" s="838"/>
      <c r="BD58" s="837">
        <f>BD57/(BE53*BE54/10000)</f>
        <v>7554.24225</v>
      </c>
      <c r="BE58" s="838"/>
      <c r="BN58" s="407"/>
    </row>
    <row r="59" ht="75" customHeight="1">
      <c r="A59" s="817"/>
      <c r="B59" s="817"/>
      <c r="C59" s="817"/>
      <c r="D59" s="817"/>
      <c r="E59" s="817"/>
      <c r="F59" s="817"/>
      <c r="G59" s="817"/>
      <c r="H59" s="817"/>
      <c r="I59" s="817"/>
      <c r="J59" s="817"/>
      <c r="K59" s="817"/>
      <c r="L59" s="817"/>
      <c r="M59" s="817"/>
      <c r="N59" s="817"/>
      <c r="O59" s="817"/>
      <c r="P59" s="817"/>
      <c r="Q59" s="817"/>
      <c r="R59" s="839"/>
      <c r="S59" s="407"/>
      <c r="T59" s="407"/>
      <c r="U59" s="407"/>
      <c r="V59" s="407"/>
      <c r="W59" s="407"/>
      <c r="X59" s="407"/>
      <c r="Y59" s="407"/>
      <c r="Z59" s="407"/>
      <c r="AA59" s="407"/>
      <c r="AB59" s="407"/>
      <c r="AC59" s="407"/>
      <c r="AD59" s="630"/>
      <c r="AE59" s="455"/>
      <c r="AF59" s="834" t="s">
        <v>687</v>
      </c>
      <c r="AG59" s="834"/>
      <c r="AH59" s="789" t="s">
        <v>439</v>
      </c>
      <c r="AI59" s="789" t="s">
        <v>125</v>
      </c>
      <c r="AJ59" s="789" t="s">
        <v>126</v>
      </c>
      <c r="AK59" s="789" t="s">
        <v>440</v>
      </c>
      <c r="AL59" s="789" t="s">
        <v>688</v>
      </c>
      <c r="AM59" s="790" t="s">
        <v>442</v>
      </c>
      <c r="AN59" s="790" t="s">
        <v>127</v>
      </c>
      <c r="AO59" s="455"/>
      <c r="AP59" s="455"/>
      <c r="AQ59" s="455"/>
      <c r="AR59" s="630"/>
      <c r="AS59" s="407"/>
      <c r="AT59" s="407"/>
      <c r="AU59" s="407"/>
      <c r="AV59" s="407"/>
      <c r="AW59" s="407"/>
      <c r="AX59" s="407"/>
      <c r="AY59" s="407"/>
      <c r="AZ59" s="407"/>
      <c r="BA59" s="407"/>
      <c r="BB59" s="407"/>
      <c r="BD59" s="407"/>
      <c r="BE59" s="407"/>
      <c r="BF59" s="407"/>
      <c r="BG59" s="407"/>
      <c r="BH59" s="407"/>
      <c r="BI59" s="407"/>
      <c r="BJ59" s="407"/>
      <c r="BK59" s="407"/>
      <c r="BL59" s="407"/>
      <c r="BM59" s="407"/>
      <c r="BN59" s="407"/>
    </row>
    <row r="60" ht="67.2" customHeight="1">
      <c r="A60" s="817" t="s">
        <v>689</v>
      </c>
      <c r="B60" s="817"/>
      <c r="C60" s="817"/>
      <c r="D60" s="817"/>
      <c r="E60" s="817"/>
      <c r="F60" s="817"/>
      <c r="G60" s="817"/>
      <c r="H60" s="817"/>
      <c r="I60" s="817"/>
      <c r="J60" s="817"/>
      <c r="K60" s="817"/>
      <c r="L60" s="817"/>
      <c r="M60" s="817"/>
      <c r="N60" s="817"/>
      <c r="O60" s="817"/>
      <c r="P60" s="817"/>
      <c r="Q60" s="817"/>
      <c r="R60" s="839"/>
      <c r="S60" s="822" t="s">
        <v>676</v>
      </c>
      <c r="T60" s="823"/>
      <c r="U60" s="450"/>
      <c r="V60" s="450"/>
      <c r="W60" s="450"/>
      <c r="X60" s="450"/>
      <c r="Y60" s="450"/>
      <c r="Z60" s="450"/>
      <c r="AA60" s="450"/>
      <c r="AB60" s="450"/>
      <c r="AC60" s="450"/>
      <c r="AD60" s="630"/>
      <c r="AE60" s="455"/>
      <c r="AF60" s="834"/>
      <c r="AG60" s="834"/>
      <c r="AH60" s="791" t="s">
        <v>446</v>
      </c>
      <c r="AI60" s="791">
        <v>350</v>
      </c>
      <c r="AJ60" s="791">
        <v>350</v>
      </c>
      <c r="AK60" s="791" t="s">
        <v>233</v>
      </c>
      <c r="AL60" s="791" t="s">
        <v>233</v>
      </c>
      <c r="AM60" s="792">
        <f>'PERG. CS.'!G3</f>
        <v>124514.43874999999</v>
      </c>
      <c r="AN60" s="792">
        <f>AM60/(Table115[[#This Row],[العرض]]*Table115[[#This Row],[الامتداد]]/10000)</f>
        <v>10164.443979591835</v>
      </c>
      <c r="AO60" s="804" t="s">
        <v>662</v>
      </c>
      <c r="AP60" s="804"/>
      <c r="AQ60" s="455"/>
      <c r="AR60" s="630"/>
      <c r="BN60" s="407"/>
    </row>
    <row r="61" ht="67.2" customHeight="1">
      <c r="A61" s="817"/>
      <c r="B61" s="817"/>
      <c r="C61" s="817"/>
      <c r="D61" s="817"/>
      <c r="E61" s="817"/>
      <c r="F61" s="817"/>
      <c r="G61" s="817"/>
      <c r="H61" s="817"/>
      <c r="I61" s="817"/>
      <c r="J61" s="817"/>
      <c r="K61" s="817"/>
      <c r="L61" s="817"/>
      <c r="M61" s="817"/>
      <c r="N61" s="817"/>
      <c r="O61" s="817"/>
      <c r="P61" s="817"/>
      <c r="Q61" s="817"/>
      <c r="R61" s="839"/>
      <c r="S61" s="434" t="s">
        <v>647</v>
      </c>
      <c r="T61" s="435">
        <f>'شماسي و كانتليفر'!N84</f>
        <v>105558.05</v>
      </c>
      <c r="U61" s="450"/>
      <c r="V61" s="450"/>
      <c r="W61" s="450"/>
      <c r="X61" s="450"/>
      <c r="Y61" s="450"/>
      <c r="Z61" s="450"/>
      <c r="AA61" s="450"/>
      <c r="AB61" s="450"/>
      <c r="AC61" s="450"/>
      <c r="AD61" s="630"/>
      <c r="AE61" s="455"/>
      <c r="AF61" s="834"/>
      <c r="AG61" s="834"/>
      <c r="AO61" s="804"/>
      <c r="AP61" s="804"/>
      <c r="AQ61" s="455"/>
      <c r="AR61" s="630"/>
      <c r="BN61" s="407"/>
    </row>
    <row r="62" ht="40.5" customHeight="1">
      <c r="A62" s="817"/>
      <c r="B62" s="817"/>
      <c r="C62" s="817"/>
      <c r="D62" s="817"/>
      <c r="E62" s="817"/>
      <c r="F62" s="817"/>
      <c r="G62" s="817"/>
      <c r="H62" s="817"/>
      <c r="I62" s="817"/>
      <c r="J62" s="817"/>
      <c r="K62" s="817"/>
      <c r="L62" s="817"/>
      <c r="M62" s="817"/>
      <c r="N62" s="817"/>
      <c r="O62" s="817"/>
      <c r="P62" s="817"/>
      <c r="Q62" s="817"/>
      <c r="R62" s="839"/>
      <c r="S62" s="436" t="s">
        <v>127</v>
      </c>
      <c r="T62" s="435">
        <f>T61/T69</f>
        <v>4222.322</v>
      </c>
      <c r="U62" s="450"/>
      <c r="V62" s="450"/>
      <c r="W62" s="450"/>
      <c r="X62" s="450"/>
      <c r="Y62" s="816"/>
      <c r="Z62" s="816"/>
      <c r="AA62" s="450"/>
      <c r="AB62" s="450"/>
      <c r="AC62" s="450"/>
      <c r="AD62" s="630"/>
      <c r="AE62" s="455"/>
      <c r="AF62" s="455"/>
      <c r="AG62" s="793" t="s">
        <v>690</v>
      </c>
      <c r="AH62" s="862" t="str">
        <f>IF(Table115[المنتج]='PERG. CS.'!AF1,"يرجي العلم ان العروض المتاحة هي ( 3.5 متر &amp; 4 متر ) و اقصي امتداد هو ( من 3.5 الي 6 متر )",IF(Table115[المنتج]='PERG. CS.'!AF2,"يرجي العلم ان العروض المتاحة هي ( 3.5 متر &amp; 4 متر ) و اقصي امتداد هو ( من3.5 الي 6 متر )",IF(Table115[المنتج]='PERG. CS.'!AF3,"يرجي العلم ان العروض المتاحة هي ( من 4 الي 7 متر ) و اقصي امتداد هو (من 4 الي 7 متر)",IF(Table115[المنتج]='PERG. CS.'!AF4,"يرجي العلم ان العروض المتاحة هي (من 3 ال 6 متر ) و اقصي امتداد هو ( من 3 الي 6 متر )",IF(Table115[المنتج]='PERG. CS.'!AF5,"يرجي العلم ان العروض المتاحة هي ( 4 متر ) و اقصي امتداد هو ( من 4 الي 5 متر )",IF(Table115[المنتج]='PERG. CS.'!AF6,"يرجي العلم ان العروض المتاحة هي ( 3.5 متر &amp; 4 متر ) و اقصي امتداد هو ( من 3.5 الي 5 متر)",IF(Table115[المنتج]='PERG. CS.'!AF7,"يرجي العلم ان العروض المتاحة هي ( 3.5 متر &amp; 4 متر ) و اقصي امتداد هو ( من 3.5 الي 5 متر)",IF(Table115[المنتج]='PERG. CS.'!AF8,"يرجي العلم ان العروض المتاحة هي ( من 3.5 الي 6 متر) و اقصي امتداد هو (من 3.5 الي 6 متر)",0))))))))</f>
        <v>يرجي العلم ان العروض المتاحة هي (من 3 ال 6 متر ) و اقصي امتداد هو ( من 3 الي 6 متر )</v>
      </c>
      <c r="AI62" s="862"/>
      <c r="AJ62" s="862"/>
      <c r="AK62" s="862"/>
      <c r="AL62" s="863"/>
      <c r="AM62" s="864" t="str">
        <f>Table115[المنتج]</f>
        <v>CHESS</v>
      </c>
      <c r="AN62" s="865"/>
      <c r="AO62" s="804"/>
      <c r="AP62" s="804"/>
      <c r="AQ62" s="455"/>
      <c r="AR62" s="630"/>
      <c r="BN62" s="407"/>
    </row>
    <row r="63" ht="40.5" customHeight="1">
      <c r="A63" s="817"/>
      <c r="B63" s="817"/>
      <c r="C63" s="817"/>
      <c r="D63" s="817"/>
      <c r="E63" s="817"/>
      <c r="F63" s="817"/>
      <c r="G63" s="817"/>
      <c r="H63" s="817"/>
      <c r="I63" s="817"/>
      <c r="J63" s="817"/>
      <c r="K63" s="817"/>
      <c r="L63" s="817"/>
      <c r="M63" s="817"/>
      <c r="N63" s="817"/>
      <c r="O63" s="817"/>
      <c r="P63" s="817"/>
      <c r="Q63" s="817"/>
      <c r="R63" s="839"/>
      <c r="S63" s="432" t="s">
        <v>648</v>
      </c>
      <c r="T63" s="433" t="s">
        <v>21</v>
      </c>
      <c r="U63" s="450"/>
      <c r="V63" s="450"/>
      <c r="W63" s="450"/>
      <c r="X63" s="450"/>
      <c r="Y63" s="816"/>
      <c r="Z63" s="816"/>
      <c r="AA63" s="450"/>
      <c r="AB63" s="450"/>
      <c r="AC63" s="450"/>
      <c r="AD63" s="630"/>
      <c r="AE63" s="455"/>
      <c r="AF63" s="455"/>
      <c r="AG63" s="794" t="s">
        <v>690</v>
      </c>
      <c r="AH63" s="866" t="s">
        <v>691</v>
      </c>
      <c r="AI63" s="866"/>
      <c r="AJ63" s="866"/>
      <c r="AK63" s="866"/>
      <c r="AL63" s="867"/>
      <c r="AM63" s="868" t="str">
        <f>IF(Table115[المنتج]='PERG. CS.'!AF1,"A motorized aluminum pergola with adjustable slats for sun-rain protection, available in wood or plain colors with built-in drainage",IF(Table115[المنتج]='PERG. CS.'!AF2,"This aluminum louvers system adds elegance to any outdoor space and can include lighting for a luxurious nighttime ambiance",IF(Table115[المنتج]='PERG. CS.'!AF3,"The louvers feature a sleek contemporary design with LED profile lighting that adds a refined, captivating ambiance-especially at night",IF(Table115[المنتج]='PERG. CS.'!AF4,"Windows aluminum pergola - A modern, square-pattern aluminum structure offering stylish shade and ventilation for contemporary outdoor spaces",IF(Table115[المنتج]='PERG. CS.'!AF5,"Fixed Wooden-Effect aluminum louvers pergola durable fixed-louvers design with bird-shaped connectors for stylish, permanent sun protection ldeal for gardens and terraces",IF(Table115[المنتج]='PERG. CS.'!AF6,"The louvers feature a sleek , contemporary design with LED profile lighting that adds a refined, captivating nighttime ambiance",IF(Table115[المنتج]='PERG. CS.'!AF7,"The louvers feature a sleek , contemporary design with LED profile lighting that adds a refined, captivating nighttime ambiance",IF(Table115[المنتج]='PERG. CS.'!AF8,"This aluminum pergola with HDPE fabric offers stylish , durable sun protection for any outdoor space",0))))))))</f>
        <v>Windows aluminum pergola - A modern, square-pattern aluminum structure offering stylish shade and ventilation for contemporary outdoor spaces</v>
      </c>
      <c r="AN63" s="869"/>
      <c r="AO63" s="805"/>
      <c r="AP63" s="805"/>
      <c r="AQ63" s="455"/>
      <c r="AR63" s="630"/>
      <c r="BN63" s="407"/>
    </row>
    <row r="64" ht="40.5" customHeight="1">
      <c r="A64" s="817"/>
      <c r="B64" s="817"/>
      <c r="C64" s="817"/>
      <c r="D64" s="817"/>
      <c r="E64" s="817"/>
      <c r="F64" s="817"/>
      <c r="G64" s="817"/>
      <c r="H64" s="817"/>
      <c r="I64" s="817"/>
      <c r="J64" s="817"/>
      <c r="K64" s="817"/>
      <c r="L64" s="817"/>
      <c r="M64" s="817"/>
      <c r="N64" s="817"/>
      <c r="O64" s="817"/>
      <c r="P64" s="817"/>
      <c r="Q64" s="817"/>
      <c r="R64" s="839"/>
      <c r="S64" s="437" t="s">
        <v>607</v>
      </c>
      <c r="T64" s="438" t="s">
        <v>611</v>
      </c>
      <c r="U64" s="450"/>
      <c r="V64" s="450"/>
      <c r="W64" s="450"/>
      <c r="X64" s="450"/>
      <c r="Y64" s="816"/>
      <c r="Z64" s="816"/>
      <c r="AA64" s="450"/>
      <c r="AB64" s="450"/>
      <c r="AC64" s="450"/>
      <c r="AD64" s="630"/>
      <c r="AE64" s="455"/>
      <c r="AF64" s="455"/>
      <c r="AG64" s="794" t="s">
        <v>690</v>
      </c>
      <c r="AH64" s="866" t="s">
        <v>692</v>
      </c>
      <c r="AI64" s="866"/>
      <c r="AJ64" s="866"/>
      <c r="AK64" s="866"/>
      <c r="AL64" s="867"/>
      <c r="AM64" s="868"/>
      <c r="AN64" s="869"/>
      <c r="AO64" s="803"/>
      <c r="AP64" s="803"/>
      <c r="AQ64" s="455"/>
      <c r="AR64" s="630"/>
      <c r="BN64" s="407"/>
    </row>
    <row r="65" ht="40.5" customHeight="1">
      <c r="A65" s="817"/>
      <c r="B65" s="817"/>
      <c r="C65" s="817"/>
      <c r="D65" s="817"/>
      <c r="E65" s="817"/>
      <c r="F65" s="817"/>
      <c r="G65" s="817"/>
      <c r="H65" s="817"/>
      <c r="I65" s="817"/>
      <c r="J65" s="817"/>
      <c r="K65" s="817"/>
      <c r="L65" s="817"/>
      <c r="M65" s="817"/>
      <c r="N65" s="817"/>
      <c r="O65" s="817"/>
      <c r="P65" s="817"/>
      <c r="Q65" s="817"/>
      <c r="R65" s="839"/>
      <c r="S65" s="432" t="s">
        <v>679</v>
      </c>
      <c r="T65" s="439">
        <f>ROUNDUP(T72/500,0)</f>
        <v>1</v>
      </c>
      <c r="U65" s="450"/>
      <c r="V65" s="450"/>
      <c r="W65" s="450"/>
      <c r="X65" s="450"/>
      <c r="Y65" s="450"/>
      <c r="Z65" s="450"/>
      <c r="AA65" s="450"/>
      <c r="AB65" s="450"/>
      <c r="AC65" s="450"/>
      <c r="AD65" s="630"/>
      <c r="AE65" s="455"/>
      <c r="AF65" s="455"/>
      <c r="AG65" s="795" t="s">
        <v>690</v>
      </c>
      <c r="AH65" s="872" t="s">
        <v>693</v>
      </c>
      <c r="AI65" s="872"/>
      <c r="AJ65" s="872"/>
      <c r="AK65" s="872"/>
      <c r="AL65" s="873"/>
      <c r="AM65" s="870"/>
      <c r="AN65" s="871"/>
      <c r="AO65" s="455"/>
      <c r="AP65" s="455"/>
      <c r="AQ65" s="455"/>
      <c r="AR65" s="630"/>
      <c r="BN65" s="407"/>
    </row>
    <row r="66" ht="40.5" customHeight="1">
      <c r="A66" s="817"/>
      <c r="B66" s="817"/>
      <c r="C66" s="817"/>
      <c r="D66" s="817"/>
      <c r="E66" s="817"/>
      <c r="F66" s="817"/>
      <c r="G66" s="817"/>
      <c r="H66" s="817"/>
      <c r="I66" s="817"/>
      <c r="J66" s="817"/>
      <c r="K66" s="817"/>
      <c r="L66" s="817"/>
      <c r="M66" s="817"/>
      <c r="N66" s="817"/>
      <c r="O66" s="817"/>
      <c r="P66" s="817"/>
      <c r="Q66" s="817"/>
      <c r="R66" s="839"/>
      <c r="S66" s="440"/>
      <c r="T66" s="441"/>
      <c r="U66" s="450"/>
      <c r="V66" s="450"/>
      <c r="W66" s="450"/>
      <c r="X66" s="450"/>
      <c r="Y66" s="450"/>
      <c r="Z66" s="450"/>
      <c r="AA66" s="450"/>
      <c r="AB66" s="450"/>
      <c r="AC66" s="450"/>
      <c r="AD66" s="630"/>
      <c r="AE66" s="630"/>
      <c r="AF66" s="630"/>
      <c r="AG66" s="630"/>
      <c r="AH66" s="630"/>
      <c r="AI66" s="630"/>
      <c r="AJ66" s="630"/>
      <c r="AK66" s="630"/>
      <c r="AL66" s="630"/>
      <c r="AM66" s="630"/>
      <c r="AN66" s="630"/>
      <c r="AO66" s="630"/>
      <c r="AP66" s="630"/>
      <c r="AQ66" s="630"/>
      <c r="AR66" s="630"/>
      <c r="BN66" s="407"/>
    </row>
    <row r="67" ht="40.5" customHeight="1">
      <c r="A67" s="817"/>
      <c r="B67" s="817"/>
      <c r="C67" s="817"/>
      <c r="D67" s="817"/>
      <c r="E67" s="817"/>
      <c r="F67" s="817"/>
      <c r="G67" s="817"/>
      <c r="H67" s="817"/>
      <c r="I67" s="817"/>
      <c r="J67" s="817"/>
      <c r="K67" s="817"/>
      <c r="L67" s="817"/>
      <c r="M67" s="817"/>
      <c r="N67" s="817"/>
      <c r="O67" s="817"/>
      <c r="P67" s="817"/>
      <c r="Q67" s="817"/>
      <c r="R67" s="839"/>
      <c r="S67" s="440"/>
      <c r="T67" s="440"/>
      <c r="U67" s="450"/>
      <c r="V67" s="450"/>
      <c r="W67" s="450"/>
      <c r="X67" s="450"/>
      <c r="Y67" s="450"/>
      <c r="Z67" s="450"/>
      <c r="AA67" s="450"/>
      <c r="AB67" s="450"/>
      <c r="AC67" s="450"/>
      <c r="AD67" s="630"/>
      <c r="AE67" s="630"/>
      <c r="AF67" s="630"/>
      <c r="AG67" s="630"/>
      <c r="AH67" s="631"/>
      <c r="AI67" s="630"/>
      <c r="AJ67" s="630"/>
      <c r="AK67" s="630"/>
      <c r="AL67" s="630"/>
      <c r="AM67" s="630"/>
      <c r="AN67" s="630"/>
      <c r="AO67" s="630"/>
      <c r="AP67" s="630"/>
      <c r="AQ67" s="630"/>
      <c r="AR67" s="630"/>
      <c r="BN67" s="407"/>
    </row>
    <row r="68" ht="40.5" customHeight="1">
      <c r="A68" s="817"/>
      <c r="B68" s="817"/>
      <c r="C68" s="817"/>
      <c r="D68" s="817"/>
      <c r="E68" s="817"/>
      <c r="F68" s="817"/>
      <c r="G68" s="817"/>
      <c r="H68" s="817"/>
      <c r="I68" s="817"/>
      <c r="J68" s="817"/>
      <c r="K68" s="817"/>
      <c r="L68" s="817"/>
      <c r="M68" s="817"/>
      <c r="N68" s="817"/>
      <c r="O68" s="817"/>
      <c r="P68" s="817"/>
      <c r="Q68" s="817"/>
      <c r="R68" s="839"/>
      <c r="S68" s="440"/>
      <c r="T68" s="441"/>
      <c r="U68" s="450"/>
      <c r="V68" s="450"/>
      <c r="W68" s="450"/>
      <c r="X68" s="450"/>
      <c r="Y68" s="450"/>
      <c r="Z68" s="450"/>
      <c r="AA68" s="450"/>
      <c r="AB68" s="450"/>
      <c r="AC68" s="450"/>
      <c r="AQ68" s="406"/>
      <c r="BN68" s="407"/>
    </row>
    <row r="69" ht="40.5" customHeight="1">
      <c r="A69" s="817"/>
      <c r="B69" s="817"/>
      <c r="C69" s="817"/>
      <c r="D69" s="817"/>
      <c r="E69" s="817"/>
      <c r="F69" s="817"/>
      <c r="G69" s="817"/>
      <c r="H69" s="817"/>
      <c r="I69" s="817"/>
      <c r="J69" s="817"/>
      <c r="K69" s="817"/>
      <c r="L69" s="817"/>
      <c r="M69" s="817"/>
      <c r="N69" s="817"/>
      <c r="O69" s="817"/>
      <c r="P69" s="817"/>
      <c r="Q69" s="817"/>
      <c r="R69" s="839"/>
      <c r="S69" s="432" t="s">
        <v>681</v>
      </c>
      <c r="T69" s="445">
        <f>IF((T70="double"),(T72*T73/5000),(T72*T73/10000))</f>
        <v>25</v>
      </c>
      <c r="U69" s="450"/>
      <c r="V69" s="450"/>
      <c r="W69" s="450"/>
      <c r="X69" s="450"/>
      <c r="Y69" s="450"/>
      <c r="Z69" s="450"/>
      <c r="AB69" s="450"/>
      <c r="AC69" s="450"/>
      <c r="AQ69" s="406"/>
      <c r="BN69" s="407"/>
    </row>
    <row r="70" ht="40.5" customHeight="1">
      <c r="A70" s="817"/>
      <c r="B70" s="817"/>
      <c r="C70" s="817"/>
      <c r="D70" s="817"/>
      <c r="E70" s="817"/>
      <c r="F70" s="817"/>
      <c r="G70" s="817"/>
      <c r="H70" s="817"/>
      <c r="I70" s="817"/>
      <c r="J70" s="817"/>
      <c r="K70" s="817"/>
      <c r="L70" s="817"/>
      <c r="M70" s="817"/>
      <c r="N70" s="817"/>
      <c r="O70" s="817"/>
      <c r="P70" s="817"/>
      <c r="Q70" s="817"/>
      <c r="R70" s="839"/>
      <c r="S70" s="432" t="s">
        <v>682</v>
      </c>
      <c r="T70" s="451" t="s">
        <v>260</v>
      </c>
      <c r="U70" s="450"/>
      <c r="V70" s="450"/>
      <c r="W70" s="450"/>
      <c r="X70" s="450"/>
      <c r="Y70" s="450"/>
      <c r="Z70" s="450"/>
      <c r="AA70" s="450"/>
      <c r="AB70" s="450"/>
      <c r="AC70" s="450"/>
      <c r="AQ70" s="406"/>
      <c r="BN70" s="407"/>
    </row>
    <row r="71" ht="40.5" customHeight="1">
      <c r="A71" s="817"/>
      <c r="B71" s="817"/>
      <c r="C71" s="817"/>
      <c r="D71" s="817"/>
      <c r="E71" s="817"/>
      <c r="F71" s="817"/>
      <c r="G71" s="817"/>
      <c r="H71" s="817"/>
      <c r="I71" s="817"/>
      <c r="J71" s="817"/>
      <c r="K71" s="817"/>
      <c r="L71" s="817"/>
      <c r="M71" s="817"/>
      <c r="N71" s="817"/>
      <c r="O71" s="817"/>
      <c r="P71" s="817"/>
      <c r="Q71" s="817"/>
      <c r="R71" s="839"/>
      <c r="S71" s="432" t="s">
        <v>660</v>
      </c>
      <c r="T71" s="445" t="s">
        <v>612</v>
      </c>
      <c r="U71" s="450"/>
      <c r="V71" s="450"/>
      <c r="W71" s="450"/>
      <c r="X71" s="450"/>
      <c r="Y71" s="450"/>
      <c r="Z71" s="450"/>
      <c r="AA71" s="450"/>
      <c r="AC71" s="452">
        <f>T73</f>
        <v>500</v>
      </c>
      <c r="AQ71" s="406"/>
      <c r="BN71" s="407"/>
    </row>
    <row r="72" ht="40.5" customHeight="1">
      <c r="A72" s="817"/>
      <c r="B72" s="817"/>
      <c r="C72" s="817"/>
      <c r="D72" s="817"/>
      <c r="E72" s="817"/>
      <c r="F72" s="817"/>
      <c r="G72" s="817"/>
      <c r="H72" s="817"/>
      <c r="I72" s="817"/>
      <c r="J72" s="817"/>
      <c r="K72" s="817"/>
      <c r="L72" s="817"/>
      <c r="M72" s="817"/>
      <c r="N72" s="817"/>
      <c r="O72" s="817"/>
      <c r="P72" s="817"/>
      <c r="Q72" s="817"/>
      <c r="R72" s="839"/>
      <c r="S72" s="432" t="s">
        <v>661</v>
      </c>
      <c r="T72" s="447">
        <v>500</v>
      </c>
      <c r="U72" s="450"/>
      <c r="V72" s="450"/>
      <c r="W72" s="450"/>
      <c r="X72" s="450"/>
      <c r="Y72" s="450"/>
      <c r="Z72" s="450"/>
      <c r="AA72" s="450"/>
      <c r="AC72" s="450"/>
      <c r="AQ72" s="406"/>
      <c r="BN72" s="407"/>
    </row>
    <row r="73" ht="40.5" customHeight="1">
      <c r="A73" s="817"/>
      <c r="B73" s="817"/>
      <c r="C73" s="817"/>
      <c r="D73" s="817"/>
      <c r="E73" s="817"/>
      <c r="F73" s="817"/>
      <c r="G73" s="817"/>
      <c r="H73" s="817"/>
      <c r="I73" s="817"/>
      <c r="J73" s="817"/>
      <c r="K73" s="817"/>
      <c r="L73" s="817"/>
      <c r="M73" s="817"/>
      <c r="N73" s="817"/>
      <c r="O73" s="817"/>
      <c r="P73" s="817"/>
      <c r="Q73" s="817"/>
      <c r="R73" s="839"/>
      <c r="S73" s="432" t="s">
        <v>664</v>
      </c>
      <c r="T73" s="447">
        <v>500</v>
      </c>
      <c r="U73" s="450"/>
      <c r="V73" s="450"/>
      <c r="X73" s="450"/>
      <c r="Y73" s="450"/>
      <c r="Z73" s="450"/>
      <c r="AA73" s="450"/>
      <c r="AC73" s="450"/>
      <c r="AQ73" s="406"/>
      <c r="BN73" s="407"/>
    </row>
    <row r="74" ht="39.75" customHeight="1">
      <c r="A74" s="817"/>
      <c r="B74" s="817"/>
      <c r="C74" s="817"/>
      <c r="D74" s="817"/>
      <c r="E74" s="817"/>
      <c r="F74" s="817"/>
      <c r="G74" s="817"/>
      <c r="H74" s="817"/>
      <c r="I74" s="817"/>
      <c r="J74" s="817"/>
      <c r="K74" s="817"/>
      <c r="L74" s="817"/>
      <c r="M74" s="817"/>
      <c r="N74" s="817"/>
      <c r="O74" s="817"/>
      <c r="P74" s="817"/>
      <c r="Q74" s="817"/>
      <c r="R74" s="839"/>
      <c r="S74" s="450"/>
      <c r="T74" s="450"/>
      <c r="U74" s="450"/>
      <c r="V74" s="450"/>
      <c r="W74" s="450"/>
      <c r="X74" s="450"/>
      <c r="Y74" s="450"/>
      <c r="Z74" s="450"/>
      <c r="AA74" s="450"/>
      <c r="AB74" s="450"/>
      <c r="AC74" s="450"/>
      <c r="AQ74" s="406"/>
      <c r="BN74" s="407"/>
    </row>
    <row r="75" ht="39.75" customHeight="1">
      <c r="A75" s="817"/>
      <c r="B75" s="817"/>
      <c r="C75" s="817"/>
      <c r="D75" s="817"/>
      <c r="E75" s="817"/>
      <c r="F75" s="817"/>
      <c r="G75" s="817"/>
      <c r="H75" s="817"/>
      <c r="I75" s="817"/>
      <c r="J75" s="817"/>
      <c r="K75" s="817"/>
      <c r="L75" s="817"/>
      <c r="M75" s="817"/>
      <c r="N75" s="817"/>
      <c r="O75" s="817"/>
      <c r="P75" s="817"/>
      <c r="Q75" s="817"/>
      <c r="R75" s="839"/>
      <c r="S75" s="450"/>
      <c r="T75" s="450"/>
      <c r="U75" s="450"/>
      <c r="V75" s="450"/>
      <c r="W75" s="452">
        <f>T72</f>
        <v>500</v>
      </c>
      <c r="X75" s="450"/>
      <c r="Y75" s="450"/>
      <c r="Z75" s="450"/>
      <c r="AA75" s="450"/>
      <c r="AC75" s="450"/>
      <c r="AQ75" s="406"/>
      <c r="BN75" s="407"/>
    </row>
    <row r="76" ht="39.75" customHeight="1">
      <c r="A76" s="817"/>
      <c r="B76" s="817"/>
      <c r="C76" s="817"/>
      <c r="D76" s="817"/>
      <c r="E76" s="817"/>
      <c r="F76" s="817"/>
      <c r="G76" s="817"/>
      <c r="H76" s="817"/>
      <c r="I76" s="817"/>
      <c r="J76" s="817"/>
      <c r="K76" s="817"/>
      <c r="L76" s="817"/>
      <c r="M76" s="817"/>
      <c r="N76" s="817"/>
      <c r="O76" s="817"/>
      <c r="P76" s="817"/>
      <c r="Q76" s="817"/>
      <c r="R76" s="839"/>
      <c r="S76" s="450"/>
      <c r="T76" s="450"/>
      <c r="U76" s="450"/>
      <c r="V76" s="450"/>
      <c r="Y76" s="450"/>
      <c r="Z76" s="450"/>
      <c r="AA76" s="450"/>
      <c r="AB76" s="450"/>
      <c r="AC76" s="450"/>
      <c r="AQ76" s="406"/>
      <c r="BN76" s="407"/>
    </row>
    <row r="77" ht="15" customHeight="1">
      <c r="A77" s="490"/>
      <c r="B77" s="490"/>
      <c r="C77" s="490"/>
      <c r="D77" s="490"/>
      <c r="E77" s="490"/>
      <c r="F77" s="490"/>
      <c r="G77" s="490"/>
      <c r="H77" s="490"/>
      <c r="I77" s="490"/>
      <c r="J77" s="490"/>
      <c r="K77" s="490"/>
      <c r="L77" s="490"/>
      <c r="M77" s="490"/>
      <c r="N77" s="490"/>
      <c r="O77" s="490"/>
      <c r="P77" s="490"/>
      <c r="Q77" s="490"/>
      <c r="R77" s="839"/>
      <c r="AQ77" s="406"/>
      <c r="BN77" s="407"/>
    </row>
    <row r="78" ht="15" customHeight="1">
      <c r="A78" s="815" t="s">
        <v>438</v>
      </c>
      <c r="B78" s="815"/>
      <c r="C78" s="815"/>
      <c r="D78" s="815"/>
      <c r="E78" s="815"/>
      <c r="F78" s="815"/>
      <c r="G78" s="815"/>
      <c r="H78" s="815"/>
      <c r="I78" s="815"/>
      <c r="J78" s="815"/>
      <c r="K78" s="815"/>
      <c r="L78" s="815"/>
      <c r="M78" s="815"/>
      <c r="N78" s="815"/>
      <c r="O78" s="815"/>
      <c r="P78" s="815"/>
      <c r="Q78" s="815"/>
      <c r="R78" s="839"/>
      <c r="S78" s="491"/>
      <c r="T78" s="491"/>
      <c r="U78" s="491"/>
      <c r="V78" s="491"/>
      <c r="W78" s="491"/>
      <c r="X78" s="491"/>
      <c r="Y78" s="491"/>
      <c r="Z78" s="491"/>
      <c r="AA78" s="491"/>
      <c r="AB78" s="491"/>
      <c r="AC78" s="491"/>
      <c r="AQ78" s="406"/>
      <c r="BN78" s="407"/>
    </row>
    <row r="79" ht="38.25" customHeight="1">
      <c r="A79" s="815"/>
      <c r="B79" s="815"/>
      <c r="C79" s="815"/>
      <c r="D79" s="815"/>
      <c r="E79" s="815"/>
      <c r="F79" s="815"/>
      <c r="G79" s="815"/>
      <c r="H79" s="815"/>
      <c r="I79" s="815"/>
      <c r="J79" s="815"/>
      <c r="K79" s="815"/>
      <c r="L79" s="815"/>
      <c r="M79" s="815"/>
      <c r="N79" s="815"/>
      <c r="O79" s="815"/>
      <c r="P79" s="815"/>
      <c r="Q79" s="815"/>
      <c r="R79" s="839"/>
      <c r="AC79" s="406"/>
      <c r="AQ79" s="406"/>
      <c r="BB79" s="406"/>
      <c r="BM79" s="407"/>
    </row>
    <row r="80" ht="38.25" customHeight="1">
      <c r="A80" s="815"/>
      <c r="B80" s="815"/>
      <c r="C80" s="815"/>
      <c r="D80" s="815"/>
      <c r="E80" s="815"/>
      <c r="F80" s="815"/>
      <c r="G80" s="815"/>
      <c r="H80" s="815"/>
      <c r="I80" s="815"/>
      <c r="J80" s="815"/>
      <c r="K80" s="815"/>
      <c r="L80" s="815"/>
      <c r="M80" s="815"/>
      <c r="N80" s="815"/>
      <c r="O80" s="815"/>
      <c r="P80" s="815"/>
      <c r="Q80" s="815"/>
      <c r="R80" s="839"/>
      <c r="AQ80" s="406"/>
      <c r="BB80" s="406"/>
      <c r="BM80" s="407"/>
    </row>
    <row r="81" ht="38.25" customHeight="1">
      <c r="A81" s="815"/>
      <c r="B81" s="815"/>
      <c r="C81" s="815"/>
      <c r="D81" s="815"/>
      <c r="E81" s="815"/>
      <c r="F81" s="815"/>
      <c r="G81" s="815"/>
      <c r="H81" s="815"/>
      <c r="I81" s="815"/>
      <c r="J81" s="815"/>
      <c r="K81" s="815"/>
      <c r="L81" s="815"/>
      <c r="M81" s="815"/>
      <c r="N81" s="815"/>
      <c r="O81" s="815"/>
      <c r="P81" s="815"/>
      <c r="Q81" s="815"/>
      <c r="R81" s="839"/>
      <c r="AQ81" s="406"/>
      <c r="BB81" s="406"/>
      <c r="BM81" s="407"/>
    </row>
    <row r="82" ht="38.25" customHeight="1">
      <c r="A82" s="815"/>
      <c r="B82" s="815"/>
      <c r="C82" s="815"/>
      <c r="D82" s="815"/>
      <c r="E82" s="815"/>
      <c r="F82" s="815"/>
      <c r="G82" s="815"/>
      <c r="H82" s="815"/>
      <c r="I82" s="815"/>
      <c r="J82" s="815"/>
      <c r="K82" s="815"/>
      <c r="L82" s="815"/>
      <c r="M82" s="815"/>
      <c r="N82" s="815"/>
      <c r="O82" s="815"/>
      <c r="P82" s="815"/>
      <c r="Q82" s="815"/>
      <c r="R82" s="839"/>
      <c r="AR82" s="406"/>
      <c r="BB82" s="406"/>
      <c r="BM82" s="407"/>
    </row>
    <row r="83" ht="38.25" customHeight="1">
      <c r="A83" s="815"/>
      <c r="B83" s="815"/>
      <c r="C83" s="815"/>
      <c r="D83" s="815"/>
      <c r="E83" s="815"/>
      <c r="F83" s="815"/>
      <c r="G83" s="815"/>
      <c r="H83" s="815"/>
      <c r="I83" s="815"/>
      <c r="J83" s="815"/>
      <c r="K83" s="815"/>
      <c r="L83" s="815"/>
      <c r="M83" s="815"/>
      <c r="N83" s="815"/>
      <c r="O83" s="815"/>
      <c r="P83" s="815"/>
      <c r="Q83" s="815"/>
      <c r="R83" s="839"/>
      <c r="AR83" s="406"/>
      <c r="BB83" s="406"/>
      <c r="BM83" s="407"/>
    </row>
    <row r="84" ht="38.25" customHeight="1">
      <c r="A84" s="815"/>
      <c r="B84" s="815"/>
      <c r="C84" s="815"/>
      <c r="D84" s="815"/>
      <c r="E84" s="815"/>
      <c r="F84" s="815"/>
      <c r="G84" s="815"/>
      <c r="H84" s="815"/>
      <c r="I84" s="815"/>
      <c r="J84" s="815"/>
      <c r="K84" s="815"/>
      <c r="L84" s="815"/>
      <c r="M84" s="815"/>
      <c r="N84" s="815"/>
      <c r="O84" s="815"/>
      <c r="P84" s="815"/>
      <c r="Q84" s="815"/>
      <c r="R84" s="839"/>
      <c r="AR84" s="406"/>
      <c r="BB84" s="406"/>
      <c r="BM84" s="407"/>
    </row>
    <row r="85" ht="38.25" customHeight="1">
      <c r="A85" s="815"/>
      <c r="B85" s="815"/>
      <c r="C85" s="815"/>
      <c r="D85" s="815"/>
      <c r="E85" s="815"/>
      <c r="F85" s="815"/>
      <c r="G85" s="815"/>
      <c r="H85" s="815"/>
      <c r="I85" s="815"/>
      <c r="J85" s="815"/>
      <c r="K85" s="815"/>
      <c r="L85" s="815"/>
      <c r="M85" s="815"/>
      <c r="N85" s="815"/>
      <c r="O85" s="815"/>
      <c r="P85" s="815"/>
      <c r="Q85" s="815"/>
      <c r="R85" s="839"/>
      <c r="AR85" s="406"/>
      <c r="BB85" s="406"/>
      <c r="BM85" s="407"/>
    </row>
    <row r="86" ht="38.25" customHeight="1">
      <c r="A86" s="815"/>
      <c r="B86" s="815"/>
      <c r="C86" s="815"/>
      <c r="D86" s="815"/>
      <c r="E86" s="815"/>
      <c r="F86" s="815"/>
      <c r="G86" s="815"/>
      <c r="H86" s="815"/>
      <c r="I86" s="815"/>
      <c r="J86" s="815"/>
      <c r="K86" s="815"/>
      <c r="L86" s="815"/>
      <c r="M86" s="815"/>
      <c r="N86" s="815"/>
      <c r="O86" s="815"/>
      <c r="P86" s="815"/>
      <c r="Q86" s="815"/>
      <c r="R86" s="839"/>
      <c r="AR86" s="406"/>
      <c r="BB86" s="406"/>
      <c r="BM86" s="407"/>
    </row>
    <row r="87" ht="38.25" customHeight="1">
      <c r="A87" s="815"/>
      <c r="B87" s="815"/>
      <c r="C87" s="815"/>
      <c r="D87" s="815"/>
      <c r="E87" s="815"/>
      <c r="F87" s="815"/>
      <c r="G87" s="815"/>
      <c r="H87" s="815"/>
      <c r="I87" s="815"/>
      <c r="J87" s="815"/>
      <c r="K87" s="815"/>
      <c r="L87" s="815"/>
      <c r="M87" s="815"/>
      <c r="N87" s="815"/>
      <c r="O87" s="815"/>
      <c r="P87" s="815"/>
      <c r="Q87" s="815"/>
      <c r="R87" s="839"/>
      <c r="AR87" s="406"/>
      <c r="BB87" s="406"/>
      <c r="BM87" s="407"/>
    </row>
    <row r="88" ht="38.25" customHeight="1">
      <c r="A88" s="815"/>
      <c r="B88" s="815"/>
      <c r="C88" s="815"/>
      <c r="D88" s="815"/>
      <c r="E88" s="815"/>
      <c r="F88" s="815"/>
      <c r="G88" s="815"/>
      <c r="H88" s="815"/>
      <c r="I88" s="815"/>
      <c r="J88" s="815"/>
      <c r="K88" s="815"/>
      <c r="L88" s="815"/>
      <c r="M88" s="815"/>
      <c r="N88" s="815"/>
      <c r="O88" s="815"/>
      <c r="P88" s="815"/>
      <c r="Q88" s="815"/>
      <c r="R88" s="839"/>
      <c r="AR88" s="406"/>
      <c r="BB88" s="406"/>
      <c r="BM88" s="407"/>
    </row>
    <row r="89" ht="38.25" customHeight="1">
      <c r="A89" s="815"/>
      <c r="B89" s="815"/>
      <c r="C89" s="815"/>
      <c r="D89" s="815"/>
      <c r="E89" s="815"/>
      <c r="F89" s="815"/>
      <c r="G89" s="815"/>
      <c r="H89" s="815"/>
      <c r="I89" s="815"/>
      <c r="J89" s="815"/>
      <c r="K89" s="815"/>
      <c r="L89" s="815"/>
      <c r="M89" s="815"/>
      <c r="N89" s="815"/>
      <c r="O89" s="815"/>
      <c r="P89" s="815"/>
      <c r="Q89" s="815"/>
      <c r="R89" s="839"/>
      <c r="AR89" s="406"/>
      <c r="BB89" s="406"/>
      <c r="BM89" s="407"/>
    </row>
    <row r="90" ht="38.25" customHeight="1">
      <c r="A90" s="815"/>
      <c r="B90" s="815"/>
      <c r="C90" s="815"/>
      <c r="D90" s="815"/>
      <c r="E90" s="815"/>
      <c r="F90" s="815"/>
      <c r="G90" s="815"/>
      <c r="H90" s="815"/>
      <c r="I90" s="815"/>
      <c r="J90" s="815"/>
      <c r="K90" s="815"/>
      <c r="L90" s="815"/>
      <c r="M90" s="815"/>
      <c r="N90" s="815"/>
      <c r="O90" s="815"/>
      <c r="P90" s="815"/>
      <c r="Q90" s="815"/>
      <c r="R90" s="839"/>
      <c r="AR90" s="406"/>
      <c r="BB90" s="406"/>
      <c r="BM90" s="407"/>
    </row>
    <row r="91" ht="38.25" customHeight="1">
      <c r="A91" s="815"/>
      <c r="B91" s="815"/>
      <c r="C91" s="815"/>
      <c r="D91" s="815"/>
      <c r="E91" s="815"/>
      <c r="F91" s="815"/>
      <c r="G91" s="815"/>
      <c r="H91" s="815"/>
      <c r="I91" s="815"/>
      <c r="J91" s="815"/>
      <c r="K91" s="815"/>
      <c r="L91" s="815"/>
      <c r="M91" s="815"/>
      <c r="N91" s="815"/>
      <c r="O91" s="815"/>
      <c r="P91" s="815"/>
      <c r="Q91" s="815"/>
      <c r="R91" s="839"/>
      <c r="AR91" s="406"/>
      <c r="BB91" s="406"/>
      <c r="BM91" s="407"/>
    </row>
    <row r="92" ht="38.25" customHeight="1">
      <c r="A92" s="815"/>
      <c r="B92" s="815"/>
      <c r="C92" s="815"/>
      <c r="D92" s="815"/>
      <c r="E92" s="815"/>
      <c r="F92" s="815"/>
      <c r="G92" s="815"/>
      <c r="H92" s="815"/>
      <c r="I92" s="815"/>
      <c r="J92" s="815"/>
      <c r="K92" s="815"/>
      <c r="L92" s="815"/>
      <c r="M92" s="815"/>
      <c r="N92" s="815"/>
      <c r="O92" s="815"/>
      <c r="P92" s="815"/>
      <c r="Q92" s="815"/>
      <c r="R92" s="839"/>
      <c r="AR92" s="406"/>
      <c r="BB92" s="406"/>
      <c r="BM92" s="407"/>
    </row>
    <row r="93" ht="38.25" customHeight="1">
      <c r="A93" s="815"/>
      <c r="B93" s="815"/>
      <c r="C93" s="815"/>
      <c r="D93" s="815"/>
      <c r="E93" s="815"/>
      <c r="F93" s="815"/>
      <c r="G93" s="815"/>
      <c r="H93" s="815"/>
      <c r="I93" s="815"/>
      <c r="J93" s="815"/>
      <c r="K93" s="815"/>
      <c r="L93" s="815"/>
      <c r="M93" s="815"/>
      <c r="N93" s="815"/>
      <c r="O93" s="815"/>
      <c r="P93" s="815"/>
      <c r="Q93" s="815"/>
      <c r="R93" s="839"/>
      <c r="AR93" s="406"/>
      <c r="BB93" s="406"/>
      <c r="BM93" s="407"/>
    </row>
    <row r="94" ht="38.25" customHeight="1">
      <c r="A94" s="815"/>
      <c r="B94" s="815"/>
      <c r="C94" s="815"/>
      <c r="D94" s="815"/>
      <c r="E94" s="815"/>
      <c r="F94" s="815"/>
      <c r="G94" s="815"/>
      <c r="H94" s="815"/>
      <c r="I94" s="815"/>
      <c r="J94" s="815"/>
      <c r="K94" s="815"/>
      <c r="L94" s="815"/>
      <c r="M94" s="815"/>
      <c r="N94" s="815"/>
      <c r="O94" s="815"/>
      <c r="P94" s="815"/>
      <c r="Q94" s="815"/>
      <c r="R94" s="839"/>
      <c r="AR94" s="406"/>
      <c r="BB94" s="406"/>
      <c r="BM94" s="407"/>
    </row>
    <row r="95" ht="38.25" customHeight="1">
      <c r="A95" s="815"/>
      <c r="B95" s="815"/>
      <c r="C95" s="815"/>
      <c r="D95" s="815"/>
      <c r="E95" s="815"/>
      <c r="F95" s="815"/>
      <c r="G95" s="815"/>
      <c r="H95" s="815"/>
      <c r="I95" s="815"/>
      <c r="J95" s="815"/>
      <c r="K95" s="815"/>
      <c r="L95" s="815"/>
      <c r="M95" s="815"/>
      <c r="N95" s="815"/>
      <c r="O95" s="815"/>
      <c r="P95" s="815"/>
      <c r="Q95" s="815"/>
      <c r="R95" s="839"/>
      <c r="AR95" s="406"/>
      <c r="BB95" s="406"/>
      <c r="BM95" s="407"/>
    </row>
    <row r="96" ht="38.25" customHeight="1">
      <c r="A96" s="815"/>
      <c r="B96" s="815"/>
      <c r="C96" s="815"/>
      <c r="D96" s="815"/>
      <c r="E96" s="815"/>
      <c r="F96" s="815"/>
      <c r="G96" s="815"/>
      <c r="H96" s="815"/>
      <c r="I96" s="815"/>
      <c r="J96" s="815"/>
      <c r="K96" s="815"/>
      <c r="L96" s="815"/>
      <c r="M96" s="815"/>
      <c r="N96" s="815"/>
      <c r="O96" s="815"/>
      <c r="P96" s="815"/>
      <c r="Q96" s="815"/>
      <c r="R96" s="839"/>
      <c r="AR96" s="406"/>
      <c r="BB96" s="406"/>
      <c r="BM96" s="407"/>
    </row>
    <row r="97" ht="39" customHeight="1">
      <c r="A97" s="815"/>
      <c r="B97" s="815"/>
      <c r="C97" s="815"/>
      <c r="D97" s="815"/>
      <c r="E97" s="815"/>
      <c r="F97" s="815"/>
      <c r="G97" s="815"/>
      <c r="H97" s="815"/>
      <c r="I97" s="815"/>
      <c r="J97" s="815"/>
      <c r="K97" s="815"/>
      <c r="L97" s="815"/>
      <c r="M97" s="815"/>
      <c r="N97" s="815"/>
      <c r="O97" s="815"/>
      <c r="P97" s="815"/>
      <c r="Q97" s="815"/>
      <c r="R97" s="839"/>
      <c r="AR97" s="406"/>
      <c r="BB97" s="406"/>
      <c r="BM97" s="407"/>
    </row>
    <row r="98" ht="39" customHeight="1">
      <c r="A98" s="815" t="s">
        <v>694</v>
      </c>
      <c r="B98" s="815"/>
      <c r="C98" s="815"/>
      <c r="D98" s="815"/>
      <c r="E98" s="815"/>
      <c r="F98" s="815"/>
      <c r="G98" s="815"/>
      <c r="H98" s="815"/>
      <c r="I98" s="815"/>
      <c r="J98" s="815"/>
      <c r="K98" s="815"/>
      <c r="L98" s="815"/>
      <c r="M98" s="815"/>
      <c r="N98" s="815"/>
      <c r="O98" s="815"/>
      <c r="P98" s="815"/>
      <c r="Q98" s="815"/>
      <c r="R98" s="839"/>
      <c r="AR98" s="406"/>
      <c r="BN98" s="407"/>
    </row>
    <row r="99" ht="39" customHeight="1">
      <c r="A99" s="815"/>
      <c r="B99" s="815"/>
      <c r="C99" s="815"/>
      <c r="D99" s="815"/>
      <c r="E99" s="815"/>
      <c r="F99" s="815"/>
      <c r="G99" s="815"/>
      <c r="H99" s="815"/>
      <c r="I99" s="815"/>
      <c r="J99" s="815"/>
      <c r="K99" s="815"/>
      <c r="L99" s="815"/>
      <c r="M99" s="815"/>
      <c r="N99" s="815"/>
      <c r="O99" s="815"/>
      <c r="P99" s="815"/>
      <c r="Q99" s="815"/>
      <c r="R99" s="839"/>
      <c r="AR99" s="406"/>
      <c r="BN99" s="407"/>
    </row>
    <row r="100" ht="39" customHeight="1">
      <c r="A100" s="815"/>
      <c r="B100" s="815"/>
      <c r="C100" s="815"/>
      <c r="D100" s="815"/>
      <c r="E100" s="815"/>
      <c r="F100" s="815"/>
      <c r="G100" s="815"/>
      <c r="H100" s="815"/>
      <c r="I100" s="815"/>
      <c r="J100" s="815"/>
      <c r="K100" s="815"/>
      <c r="L100" s="815"/>
      <c r="M100" s="815"/>
      <c r="N100" s="815"/>
      <c r="O100" s="815"/>
      <c r="P100" s="815"/>
      <c r="Q100" s="815"/>
      <c r="R100" s="839"/>
      <c r="AR100" s="406"/>
      <c r="BN100" s="407"/>
    </row>
    <row r="101" ht="39" customHeight="1">
      <c r="A101" s="815"/>
      <c r="B101" s="815"/>
      <c r="C101" s="815"/>
      <c r="D101" s="815"/>
      <c r="E101" s="815"/>
      <c r="F101" s="815"/>
      <c r="G101" s="815"/>
      <c r="H101" s="815"/>
      <c r="I101" s="815"/>
      <c r="J101" s="815"/>
      <c r="K101" s="815"/>
      <c r="L101" s="815"/>
      <c r="M101" s="815"/>
      <c r="N101" s="815"/>
      <c r="O101" s="815"/>
      <c r="P101" s="815"/>
      <c r="Q101" s="815"/>
      <c r="R101" s="839"/>
      <c r="AR101" s="406"/>
      <c r="BN101" s="407"/>
    </row>
    <row r="102" ht="39" customHeight="1">
      <c r="A102" s="815"/>
      <c r="B102" s="815"/>
      <c r="C102" s="815"/>
      <c r="D102" s="815"/>
      <c r="E102" s="815"/>
      <c r="F102" s="815"/>
      <c r="G102" s="815"/>
      <c r="H102" s="815"/>
      <c r="I102" s="815"/>
      <c r="J102" s="815"/>
      <c r="K102" s="815"/>
      <c r="L102" s="815"/>
      <c r="M102" s="815"/>
      <c r="N102" s="815"/>
      <c r="O102" s="815"/>
      <c r="P102" s="815"/>
      <c r="Q102" s="815"/>
      <c r="R102" s="839"/>
      <c r="AR102" s="406"/>
      <c r="BN102" s="407"/>
    </row>
    <row r="103" ht="39" customHeight="1">
      <c r="A103" s="815"/>
      <c r="B103" s="815"/>
      <c r="C103" s="815"/>
      <c r="D103" s="815"/>
      <c r="E103" s="815"/>
      <c r="F103" s="815"/>
      <c r="G103" s="815"/>
      <c r="H103" s="815"/>
      <c r="I103" s="815"/>
      <c r="J103" s="815"/>
      <c r="K103" s="815"/>
      <c r="L103" s="815"/>
      <c r="M103" s="815"/>
      <c r="N103" s="815"/>
      <c r="O103" s="815"/>
      <c r="P103" s="815"/>
      <c r="Q103" s="815"/>
      <c r="R103" s="839"/>
      <c r="AR103" s="406"/>
      <c r="BN103" s="407"/>
    </row>
    <row r="104" ht="39" customHeight="1">
      <c r="A104" s="815"/>
      <c r="B104" s="815"/>
      <c r="C104" s="815"/>
      <c r="D104" s="815"/>
      <c r="E104" s="815"/>
      <c r="F104" s="815"/>
      <c r="G104" s="815"/>
      <c r="H104" s="815"/>
      <c r="I104" s="815"/>
      <c r="J104" s="815"/>
      <c r="K104" s="815"/>
      <c r="L104" s="815"/>
      <c r="M104" s="815"/>
      <c r="N104" s="815"/>
      <c r="O104" s="815"/>
      <c r="P104" s="815"/>
      <c r="Q104" s="815"/>
      <c r="R104" s="839"/>
      <c r="AR104" s="406"/>
      <c r="BN104" s="407"/>
    </row>
    <row r="105" ht="39" customHeight="1">
      <c r="A105" s="815"/>
      <c r="B105" s="815"/>
      <c r="C105" s="815"/>
      <c r="D105" s="815"/>
      <c r="E105" s="815"/>
      <c r="F105" s="815"/>
      <c r="G105" s="815"/>
      <c r="H105" s="815"/>
      <c r="I105" s="815"/>
      <c r="J105" s="815"/>
      <c r="K105" s="815"/>
      <c r="L105" s="815"/>
      <c r="M105" s="815"/>
      <c r="N105" s="815"/>
      <c r="O105" s="815"/>
      <c r="P105" s="815"/>
      <c r="Q105" s="815"/>
      <c r="R105" s="839"/>
      <c r="AR105" s="406"/>
      <c r="BN105" s="407"/>
    </row>
    <row r="106" ht="39" customHeight="1">
      <c r="A106" s="815"/>
      <c r="B106" s="815"/>
      <c r="C106" s="815"/>
      <c r="D106" s="815"/>
      <c r="E106" s="815"/>
      <c r="F106" s="815"/>
      <c r="G106" s="815"/>
      <c r="H106" s="815"/>
      <c r="I106" s="815"/>
      <c r="J106" s="815"/>
      <c r="K106" s="815"/>
      <c r="L106" s="815"/>
      <c r="M106" s="815"/>
      <c r="N106" s="815"/>
      <c r="O106" s="815"/>
      <c r="P106" s="815"/>
      <c r="Q106" s="815"/>
      <c r="R106" s="839"/>
      <c r="AR106" s="406"/>
      <c r="BN106" s="407"/>
    </row>
    <row r="107" ht="39" customHeight="1">
      <c r="A107" s="815"/>
      <c r="B107" s="815"/>
      <c r="C107" s="815"/>
      <c r="D107" s="815"/>
      <c r="E107" s="815"/>
      <c r="F107" s="815"/>
      <c r="G107" s="815"/>
      <c r="H107" s="815"/>
      <c r="I107" s="815"/>
      <c r="J107" s="815"/>
      <c r="K107" s="815"/>
      <c r="L107" s="815"/>
      <c r="M107" s="815"/>
      <c r="N107" s="815"/>
      <c r="O107" s="815"/>
      <c r="P107" s="815"/>
      <c r="Q107" s="815"/>
      <c r="R107" s="839"/>
      <c r="AR107" s="406"/>
      <c r="BN107" s="407"/>
    </row>
    <row r="108" ht="39" customHeight="1">
      <c r="A108" s="815"/>
      <c r="B108" s="815"/>
      <c r="C108" s="815"/>
      <c r="D108" s="815"/>
      <c r="E108" s="815"/>
      <c r="F108" s="815"/>
      <c r="G108" s="815"/>
      <c r="H108" s="815"/>
      <c r="I108" s="815"/>
      <c r="J108" s="815"/>
      <c r="K108" s="815"/>
      <c r="L108" s="815"/>
      <c r="M108" s="815"/>
      <c r="N108" s="815"/>
      <c r="O108" s="815"/>
      <c r="P108" s="815"/>
      <c r="Q108" s="815"/>
      <c r="R108" s="839"/>
      <c r="AR108" s="406"/>
      <c r="BN108" s="407"/>
    </row>
    <row r="109" ht="39" customHeight="1">
      <c r="A109" s="815"/>
      <c r="B109" s="815"/>
      <c r="C109" s="815"/>
      <c r="D109" s="815"/>
      <c r="E109" s="815"/>
      <c r="F109" s="815"/>
      <c r="G109" s="815"/>
      <c r="H109" s="815"/>
      <c r="I109" s="815"/>
      <c r="J109" s="815"/>
      <c r="K109" s="815"/>
      <c r="L109" s="815"/>
      <c r="M109" s="815"/>
      <c r="N109" s="815"/>
      <c r="O109" s="815"/>
      <c r="P109" s="815"/>
      <c r="Q109" s="815"/>
      <c r="R109" s="839"/>
      <c r="AR109" s="406"/>
      <c r="BN109" s="407"/>
    </row>
    <row r="110" ht="39" customHeight="1">
      <c r="A110" s="815"/>
      <c r="B110" s="815"/>
      <c r="C110" s="815"/>
      <c r="D110" s="815"/>
      <c r="E110" s="815"/>
      <c r="F110" s="815"/>
      <c r="G110" s="815"/>
      <c r="H110" s="815"/>
      <c r="I110" s="815"/>
      <c r="J110" s="815"/>
      <c r="K110" s="815"/>
      <c r="L110" s="815"/>
      <c r="M110" s="815"/>
      <c r="N110" s="815"/>
      <c r="O110" s="815"/>
      <c r="P110" s="815"/>
      <c r="Q110" s="815"/>
      <c r="R110" s="839"/>
      <c r="AR110" s="406"/>
      <c r="BN110" s="407"/>
    </row>
    <row r="111" ht="39" customHeight="1">
      <c r="A111" s="815"/>
      <c r="B111" s="815"/>
      <c r="C111" s="815"/>
      <c r="D111" s="815"/>
      <c r="E111" s="815"/>
      <c r="F111" s="815"/>
      <c r="G111" s="815"/>
      <c r="H111" s="815"/>
      <c r="I111" s="815"/>
      <c r="J111" s="815"/>
      <c r="K111" s="815"/>
      <c r="L111" s="815"/>
      <c r="M111" s="815"/>
      <c r="N111" s="815"/>
      <c r="O111" s="815"/>
      <c r="P111" s="815"/>
      <c r="Q111" s="815"/>
      <c r="R111" s="839"/>
      <c r="AR111" s="406"/>
      <c r="BN111" s="407"/>
    </row>
    <row r="112" ht="39" customHeight="1">
      <c r="A112" s="815"/>
      <c r="B112" s="815"/>
      <c r="C112" s="815"/>
      <c r="D112" s="815"/>
      <c r="E112" s="815"/>
      <c r="F112" s="815"/>
      <c r="G112" s="815"/>
      <c r="H112" s="815"/>
      <c r="I112" s="815"/>
      <c r="J112" s="815"/>
      <c r="K112" s="815"/>
      <c r="L112" s="815"/>
      <c r="M112" s="815"/>
      <c r="N112" s="815"/>
      <c r="O112" s="815"/>
      <c r="P112" s="815"/>
      <c r="Q112" s="815"/>
      <c r="R112" s="839"/>
      <c r="AR112" s="406"/>
      <c r="BN112" s="407"/>
    </row>
    <row r="113" ht="39" customHeight="1">
      <c r="A113" s="815"/>
      <c r="B113" s="815"/>
      <c r="C113" s="815"/>
      <c r="D113" s="815"/>
      <c r="E113" s="815"/>
      <c r="F113" s="815"/>
      <c r="G113" s="815"/>
      <c r="H113" s="815"/>
      <c r="I113" s="815"/>
      <c r="J113" s="815"/>
      <c r="K113" s="815"/>
      <c r="L113" s="815"/>
      <c r="M113" s="815"/>
      <c r="N113" s="815"/>
      <c r="O113" s="815"/>
      <c r="P113" s="815"/>
      <c r="Q113" s="815"/>
      <c r="R113" s="839"/>
      <c r="AR113" s="406"/>
      <c r="BN113" s="407"/>
    </row>
    <row r="114" ht="39" customHeight="1">
      <c r="A114" s="815"/>
      <c r="B114" s="815"/>
      <c r="C114" s="815"/>
      <c r="D114" s="815"/>
      <c r="E114" s="815"/>
      <c r="F114" s="815"/>
      <c r="G114" s="815"/>
      <c r="H114" s="815"/>
      <c r="I114" s="815"/>
      <c r="J114" s="815"/>
      <c r="K114" s="815"/>
      <c r="L114" s="815"/>
      <c r="M114" s="815"/>
      <c r="N114" s="815"/>
      <c r="O114" s="815"/>
      <c r="P114" s="815"/>
      <c r="Q114" s="815"/>
      <c r="R114" s="839"/>
      <c r="AR114" s="406"/>
      <c r="BN114" s="407"/>
    </row>
    <row r="115" ht="39" customHeight="1">
      <c r="A115" s="815"/>
      <c r="B115" s="815"/>
      <c r="C115" s="815"/>
      <c r="D115" s="815"/>
      <c r="E115" s="815"/>
      <c r="F115" s="815"/>
      <c r="G115" s="815"/>
      <c r="H115" s="815"/>
      <c r="I115" s="815"/>
      <c r="J115" s="815"/>
      <c r="K115" s="815"/>
      <c r="L115" s="815"/>
      <c r="M115" s="815"/>
      <c r="N115" s="815"/>
      <c r="O115" s="815"/>
      <c r="P115" s="815"/>
      <c r="Q115" s="815"/>
      <c r="R115" s="839"/>
      <c r="AR115" s="406"/>
      <c r="BN115" s="407"/>
    </row>
    <row r="116">
      <c r="AR116" s="406"/>
      <c r="BN116" s="407"/>
    </row>
    <row r="117">
      <c r="AR117" s="406"/>
      <c r="BN117" s="407"/>
    </row>
    <row r="118">
      <c r="AR118" s="406"/>
      <c r="BN118" s="407"/>
    </row>
    <row r="119">
      <c r="AR119" s="406"/>
      <c r="BN119" s="407"/>
    </row>
    <row r="120">
      <c r="AR120" s="406"/>
      <c r="BN120" s="407"/>
    </row>
    <row r="121">
      <c r="AR121" s="406"/>
      <c r="BN121" s="407"/>
    </row>
    <row r="122">
      <c r="AR122" s="406"/>
      <c r="BN122" s="407"/>
    </row>
    <row r="123">
      <c r="AR123" s="406"/>
      <c r="BN123" s="407"/>
    </row>
    <row r="124">
      <c r="AR124" s="406"/>
      <c r="BN124" s="407"/>
    </row>
    <row r="125">
      <c r="AR125" s="406"/>
      <c r="BN125" s="407"/>
    </row>
    <row r="126">
      <c r="AR126" s="406"/>
      <c r="BN126" s="407"/>
    </row>
    <row r="127">
      <c r="AR127" s="406"/>
      <c r="BN127" s="407"/>
    </row>
    <row r="128">
      <c r="AR128" s="406"/>
      <c r="BN128" s="407"/>
    </row>
    <row r="129">
      <c r="AR129" s="406"/>
      <c r="BN129" s="407"/>
    </row>
    <row r="130">
      <c r="AR130" s="406"/>
      <c r="BN130" s="407"/>
    </row>
    <row r="131">
      <c r="AR131" s="406"/>
      <c r="BN131" s="407"/>
    </row>
    <row r="132">
      <c r="AR132" s="406"/>
      <c r="BN132" s="407"/>
    </row>
    <row r="133">
      <c r="AR133" s="406"/>
      <c r="BN133" s="407"/>
    </row>
    <row r="134">
      <c r="AR134" s="406"/>
      <c r="BN134" s="407"/>
    </row>
    <row r="135">
      <c r="AR135" s="406"/>
      <c r="BN135" s="407"/>
    </row>
    <row r="136">
      <c r="AR136" s="406"/>
      <c r="BN136" s="407"/>
    </row>
    <row r="137">
      <c r="AR137" s="406"/>
      <c r="BN137" s="407"/>
    </row>
    <row r="138">
      <c r="AR138" s="406"/>
      <c r="BN138" s="407"/>
    </row>
    <row r="139">
      <c r="AR139" s="406"/>
      <c r="BN139" s="407"/>
    </row>
    <row r="140">
      <c r="AR140" s="406"/>
      <c r="BN140" s="407"/>
    </row>
    <row r="141">
      <c r="AR141" s="406"/>
      <c r="BN141" s="407"/>
    </row>
    <row r="142">
      <c r="AR142" s="406"/>
      <c r="BN142" s="407"/>
    </row>
    <row r="143">
      <c r="AR143" s="406"/>
      <c r="BN143" s="407"/>
    </row>
    <row r="144">
      <c r="AR144" s="406"/>
      <c r="BN144" s="407"/>
    </row>
    <row r="145">
      <c r="AR145" s="406"/>
      <c r="BN145" s="407"/>
    </row>
    <row r="146">
      <c r="AR146" s="406"/>
      <c r="BN146" s="407"/>
    </row>
    <row r="147">
      <c r="AR147" s="406"/>
      <c r="BN147" s="407"/>
    </row>
    <row r="148">
      <c r="AR148" s="406"/>
      <c r="BN148" s="407"/>
    </row>
    <row r="149">
      <c r="AR149" s="406"/>
      <c r="BN149" s="407"/>
    </row>
    <row r="150">
      <c r="AR150" s="406"/>
      <c r="BN150" s="407"/>
    </row>
    <row r="151">
      <c r="AR151" s="406"/>
      <c r="BN151" s="407"/>
    </row>
    <row r="152">
      <c r="AR152" s="406"/>
      <c r="BN152" s="407"/>
    </row>
    <row r="153">
      <c r="AR153" s="406"/>
      <c r="BN153" s="407"/>
    </row>
    <row r="154">
      <c r="AR154" s="406"/>
      <c r="BN154" s="407"/>
    </row>
    <row r="155">
      <c r="AR155" s="406"/>
      <c r="BN155" s="407"/>
    </row>
    <row r="156">
      <c r="AR156" s="406"/>
      <c r="BN156" s="407"/>
    </row>
    <row r="157">
      <c r="AR157" s="406"/>
      <c r="BN157" s="407"/>
    </row>
    <row r="158">
      <c r="AR158" s="406"/>
      <c r="BN158" s="407"/>
    </row>
    <row r="159">
      <c r="AR159" s="406"/>
      <c r="BN159" s="407"/>
    </row>
    <row r="160">
      <c r="AR160" s="406"/>
      <c r="BN160" s="407"/>
    </row>
    <row r="161">
      <c r="AR161" s="406"/>
      <c r="BN161" s="407"/>
    </row>
    <row r="162">
      <c r="AR162" s="406"/>
      <c r="BN162" s="407"/>
    </row>
    <row r="163">
      <c r="AR163" s="406"/>
      <c r="BN163" s="407"/>
    </row>
    <row r="164">
      <c r="AR164" s="406"/>
      <c r="BN164" s="407"/>
    </row>
    <row r="165">
      <c r="AR165" s="406"/>
      <c r="BN165" s="407"/>
    </row>
    <row r="166">
      <c r="AR166" s="406"/>
      <c r="BN166" s="407"/>
    </row>
    <row r="167">
      <c r="AR167" s="406"/>
      <c r="BN167" s="407"/>
    </row>
    <row r="168">
      <c r="AR168" s="406"/>
      <c r="BN168" s="407"/>
    </row>
    <row r="169">
      <c r="AR169" s="406"/>
      <c r="BN169" s="407"/>
    </row>
    <row r="170">
      <c r="AR170" s="406"/>
      <c r="BN170" s="407"/>
    </row>
    <row r="171">
      <c r="BN171" s="407"/>
    </row>
    <row r="172">
      <c r="BN172" s="407"/>
    </row>
    <row r="173">
      <c r="BN173" s="407"/>
    </row>
    <row r="174">
      <c r="BN174" s="407"/>
    </row>
    <row r="175">
      <c r="BN175" s="407"/>
    </row>
    <row r="176">
      <c r="BN176" s="407"/>
    </row>
    <row r="177">
      <c r="BN177" s="407"/>
    </row>
    <row r="178">
      <c r="BN178" s="407"/>
    </row>
    <row r="179">
      <c r="BN179" s="407"/>
    </row>
    <row r="180">
      <c r="BN180" s="407"/>
    </row>
    <row r="181">
      <c r="BN181" s="407"/>
    </row>
    <row r="182">
      <c r="BN182" s="407"/>
    </row>
    <row r="183">
      <c r="BN183" s="407"/>
    </row>
    <row r="184">
      <c r="BN184" s="407"/>
    </row>
    <row r="185">
      <c r="BN185" s="407"/>
    </row>
  </sheetData>
  <sheetProtection autoFilter="0"/>
  <mergeCells>
    <mergeCell ref="AK40:AK41"/>
    <mergeCell ref="AH62:AL62"/>
    <mergeCell ref="AM62:AN62"/>
    <mergeCell ref="AH63:AL63"/>
    <mergeCell ref="AM63:AN65"/>
    <mergeCell ref="AH64:AL64"/>
    <mergeCell ref="AH65:AL65"/>
    <mergeCell ref="AM50:AM51"/>
    <mergeCell ref="AM52:AM53"/>
    <mergeCell ref="AL50:AL51"/>
    <mergeCell ref="AL52:AL53"/>
    <mergeCell ref="AE55:AP55"/>
    <mergeCell ref="AG52:AG53"/>
    <mergeCell ref="AH52:AH53"/>
    <mergeCell ref="AI52:AI53"/>
    <mergeCell ref="AJ52:AJ53"/>
    <mergeCell ref="AK52:AK53"/>
    <mergeCell ref="AE47:AF48"/>
    <mergeCell ref="AG47:AH48"/>
    <mergeCell ref="AG50:AG51"/>
    <mergeCell ref="AH50:AH51"/>
    <mergeCell ref="AI50:AI51"/>
    <mergeCell ref="BN4:BN13"/>
    <mergeCell ref="AG2:AH4"/>
    <mergeCell ref="BF1:BN3"/>
    <mergeCell ref="BF4:BM5"/>
    <mergeCell ref="AV14:BB14"/>
    <mergeCell ref="AO6:AP6"/>
    <mergeCell ref="AO8:AP8"/>
    <mergeCell ref="BG14:BM14"/>
    <mergeCell ref="AE10:AQ10"/>
    <mergeCell ref="AG13:AH14"/>
    <mergeCell ref="AF13:AF14"/>
    <mergeCell ref="BK54:BM54"/>
    <mergeCell ref="AS57:AT57"/>
    <mergeCell ref="BD57:BE57"/>
    <mergeCell ref="BK34:BM34"/>
    <mergeCell ref="AS37:AT37"/>
    <mergeCell ref="BD37:BE37"/>
    <mergeCell ref="AS38:AT38"/>
    <mergeCell ref="BD38:BE38"/>
    <mergeCell ref="AZ34:BB34"/>
    <mergeCell ref="AS41:AU41"/>
    <mergeCell ref="AS58:AT58"/>
    <mergeCell ref="BD58:BE58"/>
    <mergeCell ref="S60:T60"/>
    <mergeCell ref="R1:R115"/>
    <mergeCell ref="AF2:AF4"/>
    <mergeCell ref="AG26:AG27"/>
    <mergeCell ref="AG28:AG29"/>
    <mergeCell ref="AH26:AH27"/>
    <mergeCell ref="AH28:AH29"/>
    <mergeCell ref="AI26:AI27"/>
    <mergeCell ref="AI28:AI29"/>
    <mergeCell ref="AJ26:AJ27"/>
    <mergeCell ref="S42:T42"/>
    <mergeCell ref="AZ54:BB54"/>
    <mergeCell ref="AK28:AK29"/>
    <mergeCell ref="V14:AC14"/>
    <mergeCell ref="AL13:AN14"/>
    <mergeCell ref="AE35:AF36"/>
    <mergeCell ref="AG35:AH36"/>
    <mergeCell ref="AG38:AG39"/>
    <mergeCell ref="AH38:AH39"/>
    <mergeCell ref="AI38:AI39"/>
    <mergeCell ref="AJ50:AJ51"/>
    <mergeCell ref="AK50:AK51"/>
    <mergeCell ref="A98:Q115"/>
    <mergeCell ref="A78:Q97"/>
    <mergeCell ref="Y62:Z64"/>
    <mergeCell ref="A21:Q37"/>
    <mergeCell ref="A38:Q42"/>
    <mergeCell ref="AL28:AM29"/>
    <mergeCell ref="AL26:AM27"/>
    <mergeCell ref="A43:Q59"/>
    <mergeCell ref="Y44:Z46"/>
    <mergeCell ref="S39:AC41"/>
    <mergeCell ref="A60:Q76"/>
    <mergeCell ref="S21:T21"/>
    <mergeCell ref="U37:AC37"/>
    <mergeCell ref="AE31:AP31"/>
    <mergeCell ref="V33:W33"/>
    <mergeCell ref="AJ28:AJ29"/>
    <mergeCell ref="AK26:AK27"/>
    <mergeCell ref="AE23:AF24"/>
    <mergeCell ref="AG23:AH24"/>
    <mergeCell ref="AE20:AQ21"/>
    <mergeCell ref="AF59:AG61"/>
    <mergeCell ref="AE43:AL43"/>
    <mergeCell ref="AI36:AK37"/>
    <mergeCell ref="AI48:AK49"/>
    <mergeCell ref="AO64:AP64"/>
    <mergeCell ref="AO60:AP63"/>
    <mergeCell ref="A1:Q7"/>
    <mergeCell ref="J8:L10"/>
    <mergeCell ref="B8:D10"/>
    <mergeCell ref="N8:P10"/>
    <mergeCell ref="F8:H10"/>
    <mergeCell ref="I8:I10"/>
    <mergeCell ref="M8:M10"/>
    <mergeCell ref="S8:T9"/>
    <mergeCell ref="A16:Q20"/>
    <mergeCell ref="B12:D14"/>
    <mergeCell ref="N12:P14"/>
    <mergeCell ref="F12:H14"/>
    <mergeCell ref="J12:L14"/>
    <mergeCell ref="B15:P15"/>
    <mergeCell ref="I12:I14"/>
    <mergeCell ref="M12:M14"/>
    <mergeCell ref="AJ38:AJ39"/>
    <mergeCell ref="AK38:AK39"/>
    <mergeCell ref="AG40:AG41"/>
    <mergeCell ref="AH40:AH41"/>
    <mergeCell ref="AI40:AI41"/>
    <mergeCell ref="AJ40:AJ41"/>
  </mergeCells>
  <hyperlinks>
    <hyperlink ref="S12" location="تسعير!X14" display="التثبيت"/>
    <hyperlink ref="AS12" location="تسعير!BB14" display="التثبيت"/>
    <hyperlink ref="BD12" location="تسعير!BF14" display="التثبيت"/>
    <hyperlink ref="S13" location="تسعير!AA10" display="العرض cm"/>
    <hyperlink ref="AS13" location="تسعير!AV10" display="العرض cm"/>
    <hyperlink ref="BD13" location="تسعير!BG10" display="العرض cm"/>
    <hyperlink ref="S14" location="تسعير!X8" display="الامتداد cm"/>
    <hyperlink ref="AS14" location="تسعير!BA12" display="الامتداد cm"/>
    <hyperlink ref="BD14" location="تسعير!BL12" display="الامتداد cm"/>
    <hyperlink ref="S30" location="تسعير!AF31" display="الارتفاع الخلفي"/>
    <hyperlink ref="S32" location="تسعير!X37" display="التثبيت"/>
    <hyperlink ref="AS32" location="تسعير!BB14" display="التثبيت"/>
    <hyperlink ref="BD32" location="تسعير!BB14" display="التثبيت"/>
    <hyperlink ref="S33" location="تسعير!AA33" display="العرض cm"/>
    <hyperlink ref="AS33" location="تسعير!BA36" display="العرض cm"/>
    <hyperlink ref="BD33" location="تسعير!AV10" display="العرض cm"/>
    <hyperlink ref="S34" location="تسعير!X31" display="الامتداد cm"/>
    <hyperlink ref="AS34" location="تسعير!AW25" display="الامتداد cm"/>
    <hyperlink ref="BD34" location="تسعير!BA12" display="الامتداد cm"/>
    <hyperlink ref="AS52" location="تسعير!BB14" display="التثبيت"/>
    <hyperlink ref="BD52" location="تسعير!BB14" display="التثبيت"/>
    <hyperlink ref="AS53" location="تسعير!AV10" display="العرض cm"/>
    <hyperlink ref="BD53" location="تسعير!AV10" display="العرض cm"/>
    <hyperlink ref="AS54" location="تسعير!BA12" display="الامتداد cm"/>
    <hyperlink ref="BD54" location="تسعير!BA12" display="الامتداد cm"/>
  </hyperlinks>
  <printOptions horizontalCentered="1" verticalCentered="1"/>
  <pageMargins left="0.196850393700787" right="0.196850393700787" top="0.23622047244094499" bottom="0.23622047244094499" header="0" footer="0"/>
  <pageSetup paperSize="9" scale="41" orientation="landscape"/>
  <headerFooter/>
  <rowBreaks count="3" manualBreakCount="3">
    <brk id="11" max="1048575" man="1"/>
    <brk id="24" max="1048575" man="1"/>
    <brk id="40" max="1048575" man="1"/>
  </rowBreaks>
  <colBreaks count="1" manualBreakCount="1">
    <brk id="9" max="16383" man="1"/>
  </colBreak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33">
        <x14:dataValidation type="list" allowBlank="1" showInputMessage="1" showErrorMessage="1" xr:uid="{00000000-0002-0000-0100-000000000000}">
          <x14:formula1>
            <xm:f>Royal!$N$2:$N$20</xm:f>
          </x14:formula1>
          <xm:sqref>T4 AT4 BE4 T24 AT24 BE24 AT44 BE44 T45 T63</xm:sqref>
        </x14:dataValidation>
        <x14:dataValidation type="list" allowBlank="1" showInputMessage="1" showErrorMessage="1" xr:uid="{00000000-0002-0000-0100-000001000000}">
          <x14:formula1>
            <xm:f>'شماسي و كانتليفر'!$A$6:$A$7</xm:f>
          </x14:formula1>
          <xm:sqref>AJ8</xm:sqref>
        </x14:dataValidation>
        <x14:dataValidation type="list" allowBlank="1" showInputMessage="1" showErrorMessage="1" xr:uid="{00000000-0002-0000-0100-000002000000}">
          <x14:formula1>
            <xm:f>Sheet2!$B$2:$B$4</xm:f>
          </x14:formula1>
          <xm:sqref>T5 AT5 BE5 AT25 BE25 AT45 BE45</xm:sqref>
        </x14:dataValidation>
        <x14:dataValidation type="list" allowBlank="1" showInputMessage="1" showErrorMessage="1" xr:uid="{00000000-0002-0000-0100-000003000000}">
          <x14:formula1>
            <xm:f>'شماسي و كانتليفر'!$B$4:$B$10</xm:f>
          </x14:formula1>
          <xm:sqref>AK8</xm:sqref>
        </x14:dataValidation>
        <x14:dataValidation type="list" allowBlank="1" showInputMessage="1" showErrorMessage="1" xr:uid="{00000000-0002-0000-0100-000004000000}">
          <x14:formula1>
            <xm:f>Sheet2!$C$2:$C$4</xm:f>
          </x14:formula1>
          <xm:sqref>T6 AT6 BE6 AT26 BE26 AT46 BE46</xm:sqref>
        </x14:dataValidation>
        <x14:dataValidation type="list" allowBlank="1" showInputMessage="1" showErrorMessage="1" xr:uid="{00000000-0002-0000-0100-000005000000}">
          <x14:formula1>
            <xm:f>'شماسي و كانتليفر'!$E$17:$E$19</xm:f>
          </x14:formula1>
          <xm:sqref>AI8 AI18</xm:sqref>
        </x14:dataValidation>
        <x14:dataValidation type="list" allowBlank="1" showInputMessage="1" showErrorMessage="1" xr:uid="{00000000-0002-0000-0100-000006000000}">
          <x14:formula1>
            <xm:f>'شماسي كانتليفر'!$K$6:$K$8</xm:f>
          </x14:formula1>
          <xm:sqref>AM8 AJ28:AJ29 AM18</xm:sqref>
        </x14:dataValidation>
        <x14:dataValidation type="list" allowBlank="1" showInputMessage="1" showErrorMessage="1" xr:uid="{00000000-0002-0000-0100-000007000000}">
          <x14:formula1>
            <xm:f>'شماسي و كانتليفر'!$E$8:$E$9</xm:f>
          </x14:formula1>
          <xm:sqref>AL8 AL18</xm:sqref>
        </x14:dataValidation>
        <x14:dataValidation type="list" allowBlank="1" showInputMessage="1" showErrorMessage="1" xr:uid="{00000000-0002-0000-0100-000008000000}">
          <x14:formula1>
            <xm:f>'شماسي و كانتليفر'!$F$17:$F$20</xm:f>
          </x14:formula1>
          <xm:sqref>AN8</xm:sqref>
        </x14:dataValidation>
        <x14:dataValidation type="list" allowBlank="1" showInputMessage="1" showErrorMessage="1" xr:uid="{00000000-0002-0000-0100-00000A000000}">
          <x14:formula1>
            <xm:f>wavy2!$A$19:$A$20</xm:f>
          </x14:formula1>
          <xm:sqref>BE9</xm:sqref>
        </x14:dataValidation>
        <x14:dataValidation type="list" allowBlank="1" showInputMessage="1" showErrorMessage="1" xr:uid="{00000000-0002-0000-0100-00000B000000}">
          <x14:formula1>
            <xm:f>wavy1!$A$19:$A$20</xm:f>
          </x14:formula1>
          <xm:sqref>AT9</xm:sqref>
        </x14:dataValidation>
        <x14:dataValidation type="list" allowBlank="1" showInputMessage="1" showErrorMessage="1" xr:uid="{00000000-0002-0000-0100-00000C000000}">
          <x14:formula1>
            <xm:f>Sheet2!$B$5:$B$7</xm:f>
          </x14:formula1>
          <xm:sqref>T25 T46 T64</xm:sqref>
        </x14:dataValidation>
        <x14:dataValidation type="list" allowBlank="1" showInputMessage="1" showErrorMessage="1" xr:uid="{00000000-0002-0000-0100-00000D000000}">
          <x14:formula1>
            <xm:f>Sheet2!$A$2:$A$4</xm:f>
          </x14:formula1>
          <xm:sqref>T10 AT10 BE10 AT30 BE30 AT50 BE50</xm:sqref>
        </x14:dataValidation>
        <x14:dataValidation type="list" allowBlank="1" showInputMessage="1" showErrorMessage="1" xr:uid="{00000000-0002-0000-0100-00000E000000}">
          <x14:formula1>
            <xm:f>Sheet2!$D$2:$D$4</xm:f>
          </x14:formula1>
          <xm:sqref>U14 AU14 BF14 AT32 BE32 AU34 BF34 AT52 BE52 AU54 BF54</xm:sqref>
        </x14:dataValidation>
        <x14:dataValidation type="list" allowBlank="1" showInputMessage="1" showErrorMessage="1" xr:uid="{00000000-0002-0000-0100-00000F000000}">
          <x14:formula1>
            <xm:f>Sheet2!$C$5:$C$6</xm:f>
          </x14:formula1>
          <xm:sqref>T26</xm:sqref>
        </x14:dataValidation>
        <x14:dataValidation type="list" allowBlank="1" showInputMessage="1" showErrorMessage="1" xr:uid="{00000000-0002-0000-0100-000010000000}">
          <x14:formula1>
            <xm:f>Sheet2!$A$5</xm:f>
          </x14:formula1>
          <xm:sqref>U31</xm:sqref>
        </x14:dataValidation>
        <x14:dataValidation type="list" allowBlank="1" showInputMessage="1" showErrorMessage="1" xr:uid="{00000000-0002-0000-0100-000011000000}">
          <x14:formula1>
            <xm:f>'شماسي و كانتليفر'!$V$18:$V$19</xm:f>
          </x14:formula1>
          <xm:sqref>AG28 AG40 AG52</xm:sqref>
        </x14:dataValidation>
        <x14:dataValidation type="list" allowBlank="1" showInputMessage="1" showErrorMessage="1" xr:uid="{00000000-0002-0000-0100-000012000000}">
          <x14:formula1>
            <xm:f>'شماسي و كانتليفر'!$S$3:$S$4</xm:f>
          </x14:formula1>
          <xm:sqref>AH28</xm:sqref>
        </x14:dataValidation>
        <x14:dataValidation type="list" allowBlank="1" showInputMessage="1" showErrorMessage="1" xr:uid="{00000000-0002-0000-0100-000013000000}">
          <x14:formula1>
            <xm:f>'شماسي و كانتليفر'!$V$8:$V$10</xm:f>
          </x14:formula1>
          <xm:sqref>AI28 AI40 AI52</xm:sqref>
        </x14:dataValidation>
        <x14:dataValidation type="list" allowBlank="1" showInputMessage="1" showErrorMessage="1" xr:uid="{00000000-0002-0000-0100-000014000000}">
          <x14:formula1>
            <xm:f>'شماسي و كانتليفر'!$W$18:$W$21</xm:f>
          </x14:formula1>
          <xm:sqref>AK28</xm:sqref>
        </x14:dataValidation>
        <x14:dataValidation type="list" allowBlank="1" showInputMessage="1" showErrorMessage="1" xr:uid="{00000000-0002-0000-0100-000015000000}">
          <x14:formula1>
            <xm:f>Sheet2!$D$5:$D$6</xm:f>
          </x14:formula1>
          <xm:sqref>T32 T53 T71</xm:sqref>
        </x14:dataValidation>
        <x14:dataValidation type="list" allowBlank="1" showInputMessage="1" showErrorMessage="1" xr:uid="{00000000-0002-0000-0100-000016000000}">
          <x14:formula1>
            <xm:f>Sheet2!$A$6</xm:f>
          </x14:formula1>
          <xm:sqref>AC36</xm:sqref>
        </x14:dataValidation>
        <x14:dataValidation type="list" allowBlank="1" showInputMessage="1" showErrorMessage="1" xr:uid="{00000000-0002-0000-0100-000017000000}">
          <x14:formula1>
            <xm:f>'شماسي و كانتليفر'!$F$18:$F$19</xm:f>
          </x14:formula1>
          <xm:sqref>T52 T70</xm:sqref>
        </x14:dataValidation>
        <x14:dataValidation type="list" allowBlank="1" showInputMessage="1" showErrorMessage="1" xr:uid="{47049520-1169-424C-BE83-1D0E570550FA}">
          <x14:formula1>
            <xm:f>Sheet2!$A$5:$A$6</xm:f>
          </x14:formula1>
          <xm:sqref>T31</xm:sqref>
        </x14:dataValidation>
        <x14:dataValidation type="list" allowBlank="1" showInputMessage="1" showErrorMessage="1" xr:uid="{6F9AA71D-03D6-413F-AAE5-263651DD50CD}">
          <x14:formula1>
            <xm:f>'شماسي كانتليفر'!$K$10:$K$11</xm:f>
          </x14:formula1>
          <xm:sqref>AJ18</xm:sqref>
        </x14:dataValidation>
        <x14:dataValidation type="list" allowBlank="1" showInputMessage="1" showErrorMessage="1" xr:uid="{B6D95778-7A05-44F4-A02E-439DCAEAD019}">
          <x14:formula1>
            <xm:f>'شماسي كانتليفر'!$M$7:$M$8</xm:f>
          </x14:formula1>
          <xm:sqref>AK18</xm:sqref>
        </x14:dataValidation>
        <x14:dataValidation type="list" allowBlank="1" showInputMessage="1" showErrorMessage="1" xr:uid="{B3E34DE5-F662-4B8F-89D7-812DC03A57AD}">
          <x14:formula1>
            <xm:f>'شماسي كانتليفر'!$F$27:$F$29</xm:f>
          </x14:formula1>
          <xm:sqref>AJ52:AJ53 AJ40:AJ41</xm:sqref>
        </x14:dataValidation>
        <x14:dataValidation type="list" allowBlank="1" showInputMessage="1" showErrorMessage="1" xr:uid="{1367DDDD-B9CB-4BD2-B1AB-917503FB1AD0}">
          <x14:formula1>
            <xm:f>'شماسي كانتليفر'!$F$30:$F$31</xm:f>
          </x14:formula1>
          <xm:sqref>AK52:AK53</xm:sqref>
        </x14:dataValidation>
        <x14:dataValidation type="list" allowBlank="1" showInputMessage="1" showErrorMessage="1" xr:uid="{8B6513AA-263E-4368-985A-19C0D2538149}">
          <x14:formula1>
            <xm:f>'شماسي كانتليفر'!$F$25:$F$26</xm:f>
          </x14:formula1>
          <xm:sqref>AL52:AL53</xm:sqref>
        </x14:dataValidation>
        <x14:dataValidation type="list" allowBlank="1" showInputMessage="1" showErrorMessage="1" xr:uid="{FFAAAC79-5080-4EBB-8D09-0E52286FDA01}">
          <x14:formula1>
            <xm:f>'شماسي كانتليفر'!$U$32:$U$33</xm:f>
          </x14:formula1>
          <xm:sqref>AH40:AH41</xm:sqref>
        </x14:dataValidation>
        <x14:dataValidation type="list" allowBlank="1" showInputMessage="1" showErrorMessage="1" xr:uid="{F9323624-2CCA-4F8A-987F-4E657DDC1563}">
          <x14:formula1>
            <xm:f>'PERG. CS.'!$AF$1:$AF$8</xm:f>
          </x14:formula1>
          <xm:sqref>AH60</xm:sqref>
        </x14:dataValidation>
        <x14:dataValidation type="list" allowBlank="1" showInputMessage="1" showErrorMessage="1" xr:uid="{D854BE91-C371-4488-827F-B34A1770C618}">
          <x14:formula1>
            <xm:f>'PERG. CS.'!$AG$1:$AG$9</xm:f>
          </x14:formula1>
          <xm:sqref>AI60:AJ60</xm:sqref>
        </x14:dataValidation>
        <x14:dataValidation type="list" allowBlank="1" showInputMessage="1" showErrorMessage="1" xr:uid="{F28600F3-165C-4927-881B-168B89EB9918}">
          <x14:formula1>
            <xm:f>'PERG. CS.'!$AI$1:$AI$2</xm:f>
          </x14:formula1>
          <xm:sqref>AK60:AL60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9"/>
  <dimension ref="A1:R25"/>
  <sheetViews>
    <sheetView topLeftCell="A10" workbookViewId="0">
      <selection activeCell="AF16" sqref="AF16"/>
    </sheetView>
  </sheetViews>
  <sheetFormatPr defaultColWidth="9.109375" defaultRowHeight="14.4"/>
  <cols>
    <col min="1" max="2" width="9.109375" customWidth="1" style="10"/>
    <col min="3" max="3" width="25.88671875" customWidth="1" style="10"/>
    <col min="4" max="4" width="11.44140625" customWidth="1" style="1"/>
    <col min="5" max="5" width="11.6640625" customWidth="1" style="1"/>
    <col min="6" max="6" width="12" customWidth="1" style="1"/>
    <col min="7" max="7" width="10.5546875" customWidth="1" style="1"/>
    <col min="8" max="9" width="9.109375" customWidth="1" style="10"/>
    <col min="10" max="10" width="12" customWidth="1" style="10"/>
    <col min="11" max="11" width="9.109375" customWidth="1" style="1"/>
    <col min="12" max="16384" width="9.109375" customWidth="1" style="10"/>
  </cols>
  <sheetData>
    <row r="1">
      <c r="A1" s="1119" t="s">
        <v>572</v>
      </c>
      <c r="B1" s="1120"/>
      <c r="C1" s="17"/>
      <c r="D1" s="3" t="s">
        <v>573</v>
      </c>
      <c r="E1" s="3" t="s">
        <v>574</v>
      </c>
      <c r="F1" s="3" t="s">
        <v>575</v>
      </c>
      <c r="G1" s="3" t="s">
        <v>576</v>
      </c>
      <c r="H1" s="7" t="s">
        <v>577</v>
      </c>
    </row>
    <row r="2">
      <c r="A2" s="1121"/>
      <c r="B2" s="1122"/>
      <c r="C2" s="10" t="s">
        <v>578</v>
      </c>
      <c r="D2" s="1">
        <f>تسجيل1!E7</f>
        <v>400</v>
      </c>
      <c r="E2" s="1">
        <f>تسجيل1!E7</f>
        <v>400</v>
      </c>
      <c r="F2" s="1">
        <f>تسجيل1!E7</f>
        <v>400</v>
      </c>
      <c r="G2" s="1">
        <f>تسجيل1!E7</f>
        <v>400</v>
      </c>
      <c r="H2" s="8">
        <f>تسجيل1!E7</f>
        <v>400</v>
      </c>
    </row>
    <row r="3">
      <c r="A3" s="1121"/>
      <c r="B3" s="1122"/>
      <c r="C3" s="10" t="s">
        <v>579</v>
      </c>
      <c r="D3" s="1">
        <f>IF(تسجيل1!R25=0,0,تسجيل1!R25)</f>
        <v>0</v>
      </c>
      <c r="E3" s="1">
        <f>IF(تسجيل1!R25=0,0,تسجيل1!R25)</f>
        <v>0</v>
      </c>
      <c r="F3" s="1">
        <f>IF(تسجيل1!R25=0,0,تسجيل1!R25)</f>
        <v>0</v>
      </c>
      <c r="G3" s="1">
        <f>IF(تسجيل1!R25=0,0,تسجيل1!R25)</f>
        <v>0</v>
      </c>
      <c r="H3" s="8">
        <f>IF(تسجيل1!R25=0,0,تسجيل1!R25)</f>
        <v>0</v>
      </c>
    </row>
    <row r="4">
      <c r="A4" s="1121"/>
      <c r="B4" s="1122"/>
      <c r="C4" s="10" t="s">
        <v>580</v>
      </c>
      <c r="D4" s="1">
        <v>8</v>
      </c>
      <c r="E4" s="1">
        <v>14</v>
      </c>
      <c r="F4" s="1">
        <v>12</v>
      </c>
      <c r="G4" s="1">
        <v>10</v>
      </c>
      <c r="H4" s="8">
        <f>تسجيل1!M29</f>
        <v>0</v>
      </c>
    </row>
    <row r="5">
      <c r="A5" s="1121"/>
      <c r="B5" s="1122"/>
      <c r="H5" s="18"/>
      <c r="K5" s="1" t="s">
        <v>581</v>
      </c>
      <c r="L5" s="10" t="s">
        <v>582</v>
      </c>
    </row>
    <row r="6">
      <c r="A6" s="1121"/>
      <c r="B6" s="1122"/>
      <c r="C6" s="10" t="s">
        <v>583</v>
      </c>
      <c r="D6" s="1">
        <f>IF(D3=0,D2,D2-D3-D4+10)</f>
        <v>400</v>
      </c>
      <c r="E6" s="1">
        <f>IF(E3=0,E2,E2-E3-E4+10)</f>
        <v>400</v>
      </c>
      <c r="F6" s="1">
        <f>IF(F3=0,F2,F2-F3-F4+10)</f>
        <v>400</v>
      </c>
      <c r="G6" s="1">
        <f>IF(G3=0,G2,G2-G3-G4+10)</f>
        <v>400</v>
      </c>
      <c r="H6" s="8">
        <f>IF(H3=0,H2,H2-H3-H4+10)</f>
        <v>400</v>
      </c>
      <c r="J6" s="10" t="s">
        <v>584</v>
      </c>
      <c r="K6" s="1">
        <f>IF(Format!E8=1,تسجيل1!E7,IF(Format!E8=2,'Format Οδηγων'!D6,IF(Format!E8=3,'Format Οδηγων'!E6,IF(Format!E8=4,'Format Οδηγων'!F6,IF(Format!E8=5,'Format Οδηγων'!G6,IF(Format!E8=6,'Format Οδηγων'!H6,"-----"))))))</f>
        <v>400</v>
      </c>
      <c r="L6" s="10">
        <f>IF(Format!E8=1,تسجيل1!E7-30,IF(Format!E8=2,D7,IF(Format!E8=3,E7,IF(Format!E8=4,F7,IF(Format!E8=5,G7,IF(Format!E8=6,H7,"-----"))))))</f>
        <v>370</v>
      </c>
    </row>
    <row r="7">
      <c r="A7" s="1123"/>
      <c r="B7" s="1124"/>
      <c r="C7" s="19" t="s">
        <v>585</v>
      </c>
      <c r="D7" s="6">
        <f>D6-30</f>
        <v>370</v>
      </c>
      <c r="E7" s="6">
        <f>E6-17</f>
        <v>383</v>
      </c>
      <c r="F7" s="6">
        <f>F6-30</f>
        <v>370</v>
      </c>
      <c r="G7" s="6">
        <f>G6-17</f>
        <v>383</v>
      </c>
      <c r="H7" s="9">
        <f>H6-30</f>
        <v>370</v>
      </c>
    </row>
    <row r="10">
      <c r="A10" s="1125" t="s">
        <v>586</v>
      </c>
      <c r="B10" s="1126"/>
      <c r="C10" s="17"/>
      <c r="D10" s="3" t="s">
        <v>573</v>
      </c>
      <c r="E10" s="3" t="s">
        <v>574</v>
      </c>
      <c r="F10" s="3" t="s">
        <v>575</v>
      </c>
      <c r="G10" s="3" t="s">
        <v>576</v>
      </c>
      <c r="H10" s="7" t="s">
        <v>577</v>
      </c>
    </row>
    <row r="11">
      <c r="A11" s="1127"/>
      <c r="B11" s="1128"/>
      <c r="C11" s="10" t="s">
        <v>578</v>
      </c>
      <c r="D11" s="1">
        <f>تسجيل1!E7</f>
        <v>400</v>
      </c>
      <c r="E11" s="1">
        <f>تسجيل1!E7</f>
        <v>400</v>
      </c>
      <c r="F11" s="1">
        <f>تسجيل1!E7</f>
        <v>400</v>
      </c>
      <c r="G11" s="1">
        <f>تسجيل1!E7</f>
        <v>400</v>
      </c>
      <c r="H11" s="8">
        <f>تسجيل1!E7</f>
        <v>400</v>
      </c>
    </row>
    <row r="12">
      <c r="A12" s="1127"/>
      <c r="B12" s="1128"/>
      <c r="C12" s="10" t="s">
        <v>579</v>
      </c>
      <c r="D12" s="1">
        <f>IF(تسجيل1!R25=0,0,تسجيل1!R25)</f>
        <v>0</v>
      </c>
      <c r="E12" s="1">
        <f>IF(تسجيل1!R25=0,0,تسجيل1!R25)</f>
        <v>0</v>
      </c>
      <c r="F12" s="1">
        <f>IF(تسجيل1!R25=0,0,تسجيل1!R25)</f>
        <v>0</v>
      </c>
      <c r="G12" s="1">
        <f>IF(تسجيل1!R25=0,0,تسجيل1!R25)</f>
        <v>0</v>
      </c>
      <c r="H12" s="8">
        <f>IF(تسجيل1!R25=0,0,تسجيل1!R25)</f>
        <v>0</v>
      </c>
    </row>
    <row r="13">
      <c r="A13" s="1127"/>
      <c r="B13" s="1128"/>
      <c r="C13" s="10" t="s">
        <v>580</v>
      </c>
      <c r="D13" s="1">
        <v>8</v>
      </c>
      <c r="E13" s="1">
        <v>14</v>
      </c>
      <c r="F13" s="1">
        <v>12</v>
      </c>
      <c r="G13" s="1">
        <v>10</v>
      </c>
      <c r="H13" s="8">
        <f>تسجيل1!M29</f>
        <v>0</v>
      </c>
      <c r="K13" s="1" t="s">
        <v>581</v>
      </c>
      <c r="L13" s="10" t="s">
        <v>582</v>
      </c>
    </row>
    <row r="14">
      <c r="A14" s="1127"/>
      <c r="B14" s="1128"/>
      <c r="H14" s="18"/>
      <c r="J14" s="10" t="s">
        <v>584</v>
      </c>
      <c r="K14" s="1">
        <f>IF(Format!E8=1,تسجيل1!E7,IF(Format!E8=2,'Format Οδηγων'!D15,IF(Format!E8=3,'Format Οδηγων'!E15,IF(Format!E8=4,'Format Οδηγων'!F15,IF(Format!E8=5,'Format Οδηγων'!G15,IF(Format!E8=6,'Format Οδηγων'!H15))))))</f>
        <v>400</v>
      </c>
      <c r="L14" s="10">
        <f>IF(Format!E8=1,تسجيل1!E7-30,IF(Format!E8=2,D16,IF(Format!E8=3,E16,IF(Format!E8=4,F16,IF(Format!E8=5,G16,IF(Format!E8=6,H16))))))</f>
        <v>370</v>
      </c>
    </row>
    <row r="15">
      <c r="A15" s="1127"/>
      <c r="B15" s="1128"/>
      <c r="C15" s="10" t="s">
        <v>583</v>
      </c>
      <c r="D15" s="1">
        <f>IF(D12=0,D11,D11-D12-D13+11)</f>
        <v>400</v>
      </c>
      <c r="E15" s="1">
        <f>IF(E12=0,E11,E11-E12-E13+11)</f>
        <v>400</v>
      </c>
      <c r="F15" s="1">
        <f>IF(F12=0,F11,F11-F12-F13+11)</f>
        <v>400</v>
      </c>
      <c r="G15" s="1">
        <f>IF(G12=0,G11,G11-G12-G13+11)</f>
        <v>400</v>
      </c>
      <c r="H15" s="8">
        <f>IF(H12=0,H11,H11-H12-H13+11)</f>
        <v>400</v>
      </c>
      <c r="Q15" s="1" t="s">
        <v>557</v>
      </c>
      <c r="R15" s="10" t="s">
        <v>587</v>
      </c>
    </row>
    <row r="16">
      <c r="A16" s="1129"/>
      <c r="B16" s="1130"/>
      <c r="C16" s="19" t="s">
        <v>585</v>
      </c>
      <c r="D16" s="6">
        <f>D15-30</f>
        <v>370</v>
      </c>
      <c r="E16" s="6">
        <f>E15-17</f>
        <v>383</v>
      </c>
      <c r="F16" s="6">
        <f>F15-30</f>
        <v>370</v>
      </c>
      <c r="G16" s="6">
        <f>G15-17</f>
        <v>383</v>
      </c>
      <c r="H16" s="9">
        <f>H15-30</f>
        <v>370</v>
      </c>
      <c r="Q16" s="10">
        <f>IF(Format!A7=1,K6,IF(Format!A7=3,K6,IF(Format!A7=4,K23,IF(Format!A7=2,K23,IF(Format!A7=5,K14,"------")))))</f>
        <v>400</v>
      </c>
      <c r="R16" s="10">
        <f>IF(Format!A7=1,L6,IF(Format!A7=3,L6,IF(Format!A7=4,L23,IF(Format!A7=2,L23+2,IF(Format!A7=5,L14,"------")))))</f>
        <v>372</v>
      </c>
    </row>
    <row r="19">
      <c r="A19" s="1131" t="s">
        <v>588</v>
      </c>
      <c r="B19" s="1132"/>
      <c r="C19" s="17"/>
      <c r="D19" s="3" t="s">
        <v>573</v>
      </c>
      <c r="E19" s="3" t="s">
        <v>574</v>
      </c>
      <c r="F19" s="3" t="s">
        <v>575</v>
      </c>
      <c r="G19" s="3" t="s">
        <v>576</v>
      </c>
      <c r="H19" s="7" t="s">
        <v>577</v>
      </c>
    </row>
    <row r="20">
      <c r="A20" s="1133"/>
      <c r="B20" s="1134"/>
      <c r="C20" s="10" t="s">
        <v>578</v>
      </c>
      <c r="D20" s="1">
        <f>تسجيل1!E7</f>
        <v>400</v>
      </c>
      <c r="E20" s="1">
        <f>تسجيل1!E7</f>
        <v>400</v>
      </c>
      <c r="F20" s="1">
        <f>تسجيل1!E7</f>
        <v>400</v>
      </c>
      <c r="G20" s="1">
        <f>تسجيل1!E7</f>
        <v>400</v>
      </c>
      <c r="H20" s="8">
        <f>تسجيل1!E7</f>
        <v>400</v>
      </c>
    </row>
    <row r="21">
      <c r="A21" s="1133"/>
      <c r="B21" s="1134"/>
      <c r="C21" s="10" t="s">
        <v>579</v>
      </c>
      <c r="D21" s="1">
        <f>IF(تسجيل1!R25=0,0,تسجيل1!R25)</f>
        <v>0</v>
      </c>
      <c r="E21" s="1">
        <f>IF(تسجيل1!R25=0,0,تسجيل1!R25)</f>
        <v>0</v>
      </c>
      <c r="F21" s="1">
        <f>IF(تسجيل1!R25=0,0,تسجيل1!R25)</f>
        <v>0</v>
      </c>
      <c r="G21" s="1">
        <f>IF(تسجيل1!R25=0,0,تسجيل1!R25)</f>
        <v>0</v>
      </c>
      <c r="H21" s="8">
        <f>IF(تسجيل1!R25=0,0,تسجيل1!R25)</f>
        <v>0</v>
      </c>
    </row>
    <row r="22">
      <c r="A22" s="1133"/>
      <c r="B22" s="1134"/>
      <c r="C22" s="10" t="s">
        <v>580</v>
      </c>
      <c r="D22" s="1">
        <v>8</v>
      </c>
      <c r="E22" s="1">
        <v>14</v>
      </c>
      <c r="F22" s="1">
        <v>12</v>
      </c>
      <c r="G22" s="1">
        <v>10</v>
      </c>
      <c r="H22" s="8">
        <f>تسجيل1!M38</f>
        <v>0</v>
      </c>
      <c r="K22" s="1" t="s">
        <v>581</v>
      </c>
      <c r="L22" s="10" t="s">
        <v>582</v>
      </c>
    </row>
    <row r="23">
      <c r="A23" s="1133"/>
      <c r="B23" s="1134"/>
      <c r="H23" s="18"/>
      <c r="J23" s="10" t="s">
        <v>584</v>
      </c>
      <c r="K23" s="1">
        <f>IF(Format!E8=1,تسجيل1!E7,IF(Format!E8=2,'Format Οδηγων'!D24,IF(Format!E8=3,'Format Οδηγων'!E24,IF(Format!E8=4,'Format Οδηγων'!F24,IF(Format!E8=5,'Format Οδηγων'!G24,IF(Format!E8=6,'Format Οδηγων'!H24))))))</f>
        <v>400</v>
      </c>
      <c r="L23" s="10">
        <f>IF(Format!E8=1,تسجيل1!E7-30,IF(Format!E8=2,D25,IF(Format!E8=3,E25,IF(Format!E8=4,F25,IF(Format!E8=5,G25,IF(Format!E8=6,H25))))))</f>
        <v>370</v>
      </c>
    </row>
    <row r="24">
      <c r="A24" s="1133"/>
      <c r="B24" s="1134"/>
      <c r="C24" s="10" t="s">
        <v>583</v>
      </c>
      <c r="D24" s="1">
        <f>IF(D21=0,D20,D20-D21-D22+11)</f>
        <v>400</v>
      </c>
      <c r="E24" s="1">
        <f>IF(E21=0,E20,E20-E21-E22+11)</f>
        <v>400</v>
      </c>
      <c r="F24" s="1">
        <f>IF(F21=0,F20,F20-F21-F22+11)</f>
        <v>400</v>
      </c>
      <c r="G24" s="1">
        <f>IF(G21=0,G20,G20-G21-G22+11)</f>
        <v>400</v>
      </c>
      <c r="H24" s="8">
        <f>IF(H21=0,H20,H20-H21-H22+11)</f>
        <v>400</v>
      </c>
    </row>
    <row r="25">
      <c r="A25" s="1135"/>
      <c r="B25" s="1136"/>
      <c r="C25" s="19" t="s">
        <v>585</v>
      </c>
      <c r="D25" s="6">
        <f>D24-30</f>
        <v>370</v>
      </c>
      <c r="E25" s="6">
        <f>E24-13</f>
        <v>387</v>
      </c>
      <c r="F25" s="6">
        <f>F24-30</f>
        <v>370</v>
      </c>
      <c r="G25" s="6">
        <f>G24-13</f>
        <v>387</v>
      </c>
      <c r="H25" s="9">
        <f>H24-30</f>
        <v>370</v>
      </c>
    </row>
  </sheetData>
  <sheetProtection password="C6E5" sheet="1" objects="1" scenarios="1" selectLockedCells="1" selectUnlockedCells="1"/>
  <mergeCells>
    <mergeCell ref="A1:B7"/>
    <mergeCell ref="A10:B16"/>
    <mergeCell ref="A19:B25"/>
  </mergeCells>
  <pageMargins left="0.7" right="0.7" top="0.75" bottom="0.75" header="0.3" footer="0.3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Sheet20"/>
  <dimension ref="A1:O20"/>
  <sheetViews>
    <sheetView workbookViewId="0">
      <selection activeCell="AF16" sqref="AF16"/>
    </sheetView>
  </sheetViews>
  <sheetFormatPr defaultColWidth="9.109375" defaultRowHeight="14.4"/>
  <cols>
    <col min="1" max="1" width="20.6640625" customWidth="1" style="10"/>
    <col min="2" max="2" width="12" customWidth="1" style="1"/>
    <col min="3" max="9" width="9.109375" customWidth="1" style="10"/>
    <col min="10" max="10" width="9.5546875" customWidth="1" style="10"/>
    <col min="11" max="11" width="20.5546875" customWidth="1" style="10"/>
    <col min="12" max="12" width="9.109375" customWidth="1" style="1"/>
    <col min="13" max="14" width="9.109375" customWidth="1" style="10"/>
    <col min="15" max="15" width="32.5546875" customWidth="1" style="10"/>
    <col min="16" max="16384" width="9.109375" customWidth="1" style="10"/>
  </cols>
  <sheetData>
    <row r="1">
      <c r="A1" s="1"/>
    </row>
    <row r="2">
      <c r="A2" s="1"/>
      <c r="J2" s="1" t="s">
        <v>390</v>
      </c>
      <c r="K2" s="1" t="s">
        <v>589</v>
      </c>
      <c r="O2" s="1" t="s">
        <v>590</v>
      </c>
    </row>
    <row r="3">
      <c r="A3" s="1" t="s">
        <v>371</v>
      </c>
      <c r="B3" s="1" t="str">
        <f>Format!B17</f>
        <v>EVO 150X70</v>
      </c>
      <c r="J3" s="15">
        <v>3</v>
      </c>
      <c r="K3" s="15">
        <v>2</v>
      </c>
    </row>
    <row r="4">
      <c r="A4" s="1" t="s">
        <v>591</v>
      </c>
      <c r="B4" s="1">
        <f>تسجيل1!C7</f>
        <v>400</v>
      </c>
      <c r="J4" s="15">
        <v>4</v>
      </c>
      <c r="K4" s="15">
        <v>2</v>
      </c>
    </row>
    <row r="5">
      <c r="A5" s="1" t="s">
        <v>581</v>
      </c>
      <c r="B5" s="1">
        <f>تسجيل1!E7</f>
        <v>400</v>
      </c>
      <c r="J5" s="15">
        <v>5</v>
      </c>
      <c r="K5" s="15">
        <v>3</v>
      </c>
      <c r="L5" s="1">
        <f>IF(B6&lt;3,2,IF(B6&lt;4,2,IF(B6&lt;5,2,IF(B6&lt;6,3,IF(B6&lt;7,3,IF(B6&lt;8,3,IF(B6&lt;8,4,L11)))))))</f>
        <v>3</v>
      </c>
    </row>
    <row r="6">
      <c r="A6" s="1" t="s">
        <v>390</v>
      </c>
      <c r="B6" s="1">
        <f>'Cutting Ro-1'!L14</f>
        <v>5</v>
      </c>
      <c r="C6" s="1" t="s">
        <v>392</v>
      </c>
      <c r="D6" s="11">
        <v>2</v>
      </c>
      <c r="J6" s="15">
        <v>6</v>
      </c>
      <c r="K6" s="15">
        <v>3</v>
      </c>
    </row>
    <row r="7">
      <c r="A7" s="1"/>
      <c r="J7" s="15">
        <v>7</v>
      </c>
      <c r="K7" s="15">
        <v>3</v>
      </c>
    </row>
    <row r="8">
      <c r="A8" s="1"/>
      <c r="J8" s="16">
        <v>8</v>
      </c>
      <c r="K8" s="16">
        <v>4</v>
      </c>
      <c r="O8" s="1">
        <f>IF(B6&lt;8,L5,IF(B6&lt;15,L11,IF(B6&lt;21,L17,"-------")))</f>
        <v>3</v>
      </c>
    </row>
    <row r="9">
      <c r="A9" s="1" t="s">
        <v>592</v>
      </c>
      <c r="B9" s="1">
        <f>O8</f>
        <v>3</v>
      </c>
      <c r="J9" s="15">
        <v>9</v>
      </c>
      <c r="K9" s="15">
        <v>4</v>
      </c>
    </row>
    <row r="10">
      <c r="A10" s="12" t="s">
        <v>593</v>
      </c>
      <c r="B10" s="13">
        <f>(((B4-(تسجيل1!C22*2))/200)+1)*B9</f>
        <v>7.5</v>
      </c>
      <c r="C10" s="896" t="s">
        <v>594</v>
      </c>
      <c r="D10" s="896"/>
      <c r="E10" s="14">
        <f>ROUND(B10,0)</f>
        <v>8</v>
      </c>
      <c r="J10" s="15">
        <v>10</v>
      </c>
      <c r="K10" s="15">
        <v>4</v>
      </c>
    </row>
    <row r="11">
      <c r="A11" s="12" t="s">
        <v>595</v>
      </c>
      <c r="B11" s="13">
        <f>E10/B9</f>
        <v>2.6666666666666665</v>
      </c>
      <c r="C11" s="896" t="s">
        <v>594</v>
      </c>
      <c r="D11" s="896"/>
      <c r="E11" s="14">
        <f>ROUND(B11,0)</f>
        <v>3</v>
      </c>
      <c r="J11" s="15">
        <v>11</v>
      </c>
      <c r="K11" s="15">
        <v>5</v>
      </c>
      <c r="L11" s="1">
        <f>IF(B6&lt;9,4,IF(B6&lt;10,4,IF(B6&lt;11,4,IF(B6&lt;12,5,IF(B6&lt;13,5,IF(B6&lt;14,5,IF(B6&lt;15,5,L17)))))))</f>
        <v>4</v>
      </c>
    </row>
    <row r="12">
      <c r="A12" s="12" t="s">
        <v>596</v>
      </c>
      <c r="B12" s="14">
        <f>E11*B9</f>
        <v>9</v>
      </c>
      <c r="J12" s="15">
        <v>12</v>
      </c>
      <c r="K12" s="15">
        <v>5</v>
      </c>
    </row>
    <row r="13">
      <c r="J13" s="15">
        <v>13</v>
      </c>
      <c r="K13" s="15">
        <v>5</v>
      </c>
    </row>
    <row r="14">
      <c r="J14" s="16">
        <v>14</v>
      </c>
      <c r="K14" s="16">
        <v>5</v>
      </c>
    </row>
    <row r="15">
      <c r="J15" s="15">
        <v>15</v>
      </c>
      <c r="K15" s="15">
        <v>5</v>
      </c>
    </row>
    <row r="16">
      <c r="J16" s="15">
        <v>16</v>
      </c>
      <c r="K16" s="15">
        <v>6</v>
      </c>
    </row>
    <row r="17">
      <c r="J17" s="15">
        <v>17</v>
      </c>
      <c r="K17" s="15">
        <v>6</v>
      </c>
      <c r="L17" s="1">
        <f>IF(B6&lt;16,5,IF(B6&lt;17,6,IF(B6&lt;18,6,IF(B6&lt;19,6,IF(B6&lt;20,6,IF(B6&lt;21,6,"-------"))))))</f>
        <v>5</v>
      </c>
    </row>
    <row r="18">
      <c r="J18" s="15">
        <v>18</v>
      </c>
      <c r="K18" s="15">
        <v>6</v>
      </c>
    </row>
    <row r="19">
      <c r="J19" s="15">
        <v>19</v>
      </c>
      <c r="K19" s="15">
        <v>6</v>
      </c>
    </row>
    <row r="20">
      <c r="J20" s="15">
        <v>20</v>
      </c>
      <c r="K20" s="15">
        <v>6</v>
      </c>
    </row>
  </sheetData>
  <sheetProtection password="C6E5" sheet="1" objects="1" scenarios="1" selectLockedCells="1" selectUnlockedCells="1"/>
  <mergeCells>
    <mergeCell ref="C10:D10"/>
    <mergeCell ref="C11:D11"/>
  </mergeCells>
  <pageMargins left="0.7" right="0.7" top="0.75" bottom="0.75" header="0.3" footer="0.3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Sheet21"/>
  <dimension ref="A1:K19"/>
  <sheetViews>
    <sheetView workbookViewId="0">
      <selection activeCell="AF16" sqref="AF16"/>
    </sheetView>
  </sheetViews>
  <sheetFormatPr defaultColWidth="9.109375" defaultRowHeight="14.4"/>
  <cols>
    <col min="1" max="1" width="15.109375" customWidth="1" style="1"/>
    <col min="2" max="2" width="12.109375" customWidth="1" style="1"/>
    <col min="3" max="3" width="23.33203125" customWidth="1" style="1"/>
    <col min="4" max="16384" width="9.109375" customWidth="1" style="1"/>
  </cols>
  <sheetData>
    <row r="1">
      <c r="A1" s="1" t="s">
        <v>371</v>
      </c>
      <c r="B1" s="1" t="s">
        <v>581</v>
      </c>
      <c r="C1" s="1" t="s">
        <v>597</v>
      </c>
    </row>
    <row r="2">
      <c r="A2" s="1" t="str">
        <f>IF(Format!A7=1,Format!A2,IF(Format!A7=2,Format!A3,IF(Format!A7=3,Format!A4,IF(Format!A7=4,Format!A5,IF(Format!A7=5,Format!A6)))))</f>
        <v>EVO 150X70</v>
      </c>
      <c r="B2" s="1">
        <f>تسجيل1!E7</f>
        <v>400</v>
      </c>
      <c r="C2" s="1" t="str">
        <f>IF(Format!N8=1,Format!N2,IF(Format!N8=2,Format!N3,IF(Format!N8=3,Format!N4,IF(Format!N8=4,Format!N5,IF(Format!N8=5,Format!N6,IF(Format!N8=6,Format!N7,"--------"))))))</f>
        <v>13cm</v>
      </c>
    </row>
    <row r="5">
      <c r="A5" s="2"/>
      <c r="B5" s="3"/>
      <c r="C5" s="3"/>
      <c r="D5" s="3"/>
      <c r="E5" s="3"/>
      <c r="F5" s="3"/>
      <c r="G5" s="3"/>
      <c r="H5" s="3"/>
      <c r="I5" s="3"/>
      <c r="J5" s="3"/>
      <c r="K5" s="7"/>
    </row>
    <row r="6">
      <c r="A6" s="4" t="s">
        <v>598</v>
      </c>
      <c r="C6" s="1">
        <f>IF(Format!N8=1,'Format διαστασης οδηγου'!B2-32,IF(Format!N8=2,'Format διαστασης οδηγου'!B2-43,"-------"))</f>
        <v>368</v>
      </c>
      <c r="K6" s="8"/>
    </row>
    <row r="7">
      <c r="A7" s="4" t="s">
        <v>599</v>
      </c>
      <c r="C7" s="1">
        <f>IF(Format!N8=1,'Format διαστασης οδηγου'!B2-35,IF(Format!N8=3,'Format διαστασης οδηγου'!B2-36,IF(Format!N8=4,'Format διαστασης οδηγου'!B2-32,"-------")))</f>
        <v>365</v>
      </c>
      <c r="H7" s="1137" t="s">
        <v>600</v>
      </c>
      <c r="I7" s="1137"/>
      <c r="J7" s="1137"/>
      <c r="K7" s="1138"/>
    </row>
    <row r="8">
      <c r="A8" s="4" t="s">
        <v>601</v>
      </c>
      <c r="C8" s="1">
        <f>IF(Format!N8=1,'Format διαστασης οδηγου'!B2-32,"-------")</f>
        <v>368</v>
      </c>
      <c r="F8" s="1">
        <f>IF(Format!A7=1,C6,IF(Format!A7=2,C7,IF(Format!A7=3,C8,IF(Format!A7=4,C9,IF(Format!A7=5,C10)))))</f>
        <v>365</v>
      </c>
      <c r="H8" s="1137"/>
      <c r="I8" s="1137"/>
      <c r="J8" s="1137"/>
      <c r="K8" s="1138"/>
    </row>
    <row r="9">
      <c r="A9" s="4" t="s">
        <v>602</v>
      </c>
      <c r="C9" s="1" t="str">
        <f>IF(Format!N8=5,'Format διαστασης οδηγου'!B2-35,IF(Format!N8=6,'Format διαστασης οδηγου'!B2-31,"-------"))</f>
        <v>-------</v>
      </c>
      <c r="H9" s="1137"/>
      <c r="I9" s="1137"/>
      <c r="J9" s="1137"/>
      <c r="K9" s="1138"/>
    </row>
    <row r="10">
      <c r="A10" s="4" t="s">
        <v>603</v>
      </c>
      <c r="C10" s="1">
        <f>B2-32</f>
        <v>368</v>
      </c>
      <c r="K10" s="8"/>
    </row>
    <row r="11">
      <c r="A11" s="5"/>
      <c r="B11" s="6"/>
      <c r="C11" s="6"/>
      <c r="D11" s="6"/>
      <c r="E11" s="6"/>
      <c r="F11" s="6"/>
      <c r="G11" s="6"/>
      <c r="H11" s="6"/>
      <c r="I11" s="6"/>
      <c r="J11" s="6"/>
      <c r="K11" s="9"/>
    </row>
    <row r="13">
      <c r="A13" s="2"/>
      <c r="B13" s="3"/>
      <c r="C13" s="3"/>
      <c r="D13" s="3"/>
      <c r="E13" s="3"/>
      <c r="F13" s="3"/>
      <c r="G13" s="3"/>
      <c r="H13" s="3"/>
      <c r="I13" s="3"/>
      <c r="J13" s="3"/>
      <c r="K13" s="7"/>
    </row>
    <row r="14">
      <c r="A14" s="4" t="s">
        <v>598</v>
      </c>
      <c r="C14" s="1">
        <f>IF(Format!N8=1,B2,IF(Format!N8=2,'Format διαστασης οδηγου'!B2-11,"-------"))</f>
        <v>400</v>
      </c>
      <c r="K14" s="8"/>
    </row>
    <row r="15">
      <c r="A15" s="4" t="s">
        <v>599</v>
      </c>
      <c r="C15" s="1">
        <f>IF(Format!N8=3,'Format διαστασης οδηγου'!B2-5,IF(Format!N8=1,'Format διαστασης οδηγου'!B2,IF(Format!N8=4,'Format διαστασης οδηγου'!B2,"-------")))</f>
        <v>400</v>
      </c>
      <c r="H15" s="1137" t="s">
        <v>604</v>
      </c>
      <c r="I15" s="1137"/>
      <c r="J15" s="1137"/>
      <c r="K15" s="1138"/>
    </row>
    <row r="16">
      <c r="A16" s="4" t="s">
        <v>601</v>
      </c>
      <c r="C16" s="1">
        <f>IF(Format!N8=1,'Format διαστασης οδηγου'!B2,"-------")</f>
        <v>400</v>
      </c>
      <c r="F16" s="1">
        <f>IF(Format!A7=1,C14,IF(Format!A7=2,C15,IF(Format!A7=3,C16,IF(Format!A7=4,C17,IF(Format!A7=5,C118)))))</f>
        <v>400</v>
      </c>
      <c r="H16" s="1137"/>
      <c r="I16" s="1137"/>
      <c r="J16" s="1137"/>
      <c r="K16" s="1138"/>
    </row>
    <row r="17">
      <c r="A17" s="4" t="s">
        <v>602</v>
      </c>
      <c r="C17" s="1" t="str">
        <f>IF(Format!N8=5,'Format διαστασης οδηγου'!B2-6,IF(Format!N8=6,'Format διαστασης οδηγου'!B2-2,"-------"))</f>
        <v>-------</v>
      </c>
      <c r="H17" s="1137"/>
      <c r="I17" s="1137"/>
      <c r="J17" s="1137"/>
      <c r="K17" s="1138"/>
    </row>
    <row r="18">
      <c r="A18" s="4" t="s">
        <v>603</v>
      </c>
      <c r="C18" s="1">
        <f>B2</f>
        <v>400</v>
      </c>
      <c r="K18" s="8"/>
    </row>
    <row r="19">
      <c r="A19" s="5"/>
      <c r="B19" s="6"/>
      <c r="C19" s="6"/>
      <c r="D19" s="6"/>
      <c r="E19" s="6"/>
      <c r="F19" s="6"/>
      <c r="G19" s="6"/>
      <c r="H19" s="6"/>
      <c r="I19" s="6"/>
      <c r="J19" s="6"/>
      <c r="K19" s="9"/>
    </row>
  </sheetData>
  <sheetProtection password="C6E5" sheet="1" objects="1" scenarios="1" selectLockedCells="1" selectUnlockedCells="1"/>
  <mergeCells>
    <mergeCell ref="H7:K9"/>
    <mergeCell ref="H15:K17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4EFF1-99DA-47D1-B4DE-5552718A294E}">
  <dimension ref="A1:AA39"/>
  <sheetViews>
    <sheetView rightToLeft="1" zoomScale="70" zoomScaleNormal="70" workbookViewId="0">
      <selection activeCell="D2" sqref="D2"/>
    </sheetView>
  </sheetViews>
  <sheetFormatPr defaultRowHeight="27" customHeight="1"/>
  <cols>
    <col min="1" max="1" width="29.109375" customWidth="1"/>
    <col min="2" max="2" width="38.5546875" customWidth="1"/>
    <col min="3" max="3" width="30.88671875" customWidth="1"/>
    <col min="4" max="4" width="18.33203125" customWidth="1"/>
    <col min="5" max="5" width="12.6640625" customWidth="1"/>
    <col min="6" max="6" width="10.88671875" customWidth="1"/>
    <col min="7" max="7" width="15.33203125" customWidth="1"/>
    <col min="8" max="8" width="18.44140625" customWidth="1"/>
    <col min="9" max="9" width="17.44140625" customWidth="1"/>
    <col min="12" max="12" hidden="1" width="19" customWidth="1"/>
    <col min="16" max="16" width="60" customWidth="1"/>
    <col min="17" max="17" width="18.44140625" customWidth="1"/>
    <col min="18" max="18" width="16.109375" customWidth="1"/>
    <col min="19" max="19" width="20.88671875" customWidth="1"/>
    <col min="20" max="23" width="16.109375" customWidth="1"/>
  </cols>
  <sheetData>
    <row r="1" ht="27" customHeight="1">
      <c r="A1" s="878" t="s">
        <v>695</v>
      </c>
      <c r="B1" s="878"/>
      <c r="C1" s="600" t="s">
        <v>696</v>
      </c>
      <c r="D1" s="599" t="str">
        <f>تسعير!AM18</f>
        <v>تركي</v>
      </c>
      <c r="E1" s="600" t="s">
        <v>697</v>
      </c>
      <c r="F1" s="599" t="str">
        <f>تسعير!AL18</f>
        <v>خشبي</v>
      </c>
      <c r="G1" s="600" t="s">
        <v>248</v>
      </c>
      <c r="H1" s="599" t="s">
        <v>698</v>
      </c>
      <c r="I1" s="598">
        <f>IF(تسعير!AI18="قطاعي",Table1381[[#Totals],[التكلفة]]*1.35,IF(تسعير!AI18="جملة",Table1381[[#Totals],[التكلفة]]*1.25,IF(تسعير!AI18="نصف جملة",Table1381[[#Totals],[التكلفة]]*1.3,0)))</f>
        <v>25957.7025</v>
      </c>
      <c r="O1" s="619"/>
      <c r="P1" s="0" t="s">
        <v>665</v>
      </c>
      <c r="Q1" s="604">
        <f>تسعير!AK18</f>
        <v>3</v>
      </c>
      <c r="R1" s="605" t="s">
        <v>699</v>
      </c>
      <c r="S1" s="604" t="str">
        <f>تسعير!AM18</f>
        <v>تركي</v>
      </c>
      <c r="T1" s="606">
        <f>IF(Q1=3,Table1102[[#Totals],[3]]*1.3,IF(Q1=2.5,Table1102[[#Totals],[2.5]]*1.3,0))</f>
        <v>11822.2</v>
      </c>
      <c r="U1" s="607"/>
      <c r="V1" s="607"/>
      <c r="W1" s="608"/>
      <c r="X1" s="609"/>
      <c r="Y1" s="609"/>
      <c r="Z1" s="609"/>
      <c r="AA1" s="609"/>
    </row>
    <row r="2" ht="27" customHeight="1">
      <c r="A2" s="597" t="s">
        <v>448</v>
      </c>
      <c r="B2" s="597" t="s">
        <v>298</v>
      </c>
      <c r="C2" s="597" t="s">
        <v>700</v>
      </c>
      <c r="D2" s="597" t="s">
        <v>385</v>
      </c>
      <c r="E2" s="597" t="s">
        <v>450</v>
      </c>
      <c r="F2" s="597" t="s">
        <v>33</v>
      </c>
      <c r="G2" s="597" t="s">
        <v>386</v>
      </c>
      <c r="H2" s="597" t="s">
        <v>701</v>
      </c>
      <c r="O2" s="609"/>
      <c r="P2" s="609"/>
      <c r="Q2" s="609"/>
      <c r="R2" s="609"/>
      <c r="S2" s="609"/>
      <c r="T2" s="609"/>
      <c r="U2" s="609"/>
      <c r="V2" s="609"/>
      <c r="W2" s="609"/>
      <c r="X2" s="609"/>
      <c r="Y2" s="609"/>
      <c r="Z2" s="609"/>
      <c r="AA2" s="609"/>
    </row>
    <row r="3" ht="27" customHeight="1">
      <c r="A3" s="593" t="s">
        <v>237</v>
      </c>
      <c r="B3" s="593" t="s">
        <v>702</v>
      </c>
      <c r="C3" s="592" t="s">
        <v>703</v>
      </c>
      <c r="D3" s="591">
        <v>3.7</v>
      </c>
      <c r="E3" s="591">
        <v>3.05</v>
      </c>
      <c r="F3" s="591">
        <f>Table1381[[#This Row],[الطول]]*Table1381[[#This Row],[وزن المتر]]</f>
        <v>11.285</v>
      </c>
      <c r="G3" s="591">
        <f>Sheet2!$B$14/1000</f>
        <v>252</v>
      </c>
      <c r="H3" s="594">
        <f>Table1381[[#This Row],[السعر]]*Table1381[[#This Row],[الوزن]]</f>
        <v>2843.82</v>
      </c>
      <c r="J3" s="0">
        <v>60</v>
      </c>
      <c r="K3" s="361" t="s">
        <v>704</v>
      </c>
      <c r="L3" s="0">
        <f>Table1381[[#This Row],[الوزن]]</f>
        <v>11.285</v>
      </c>
      <c r="M3" s="0">
        <f>L3*J3</f>
        <v>677.1</v>
      </c>
      <c r="O3" s="595" t="s">
        <v>27</v>
      </c>
      <c r="P3" s="595" t="s">
        <v>705</v>
      </c>
      <c r="Q3" s="595" t="s">
        <v>32</v>
      </c>
      <c r="R3" s="610" t="s">
        <v>706</v>
      </c>
      <c r="S3" s="610" t="s">
        <v>707</v>
      </c>
      <c r="T3" s="610" t="s">
        <v>708</v>
      </c>
      <c r="U3" s="610" t="s">
        <v>270</v>
      </c>
      <c r="V3" s="610" t="s">
        <v>501</v>
      </c>
      <c r="W3" s="610" t="s">
        <v>709</v>
      </c>
    </row>
    <row r="4" ht="27" customHeight="1">
      <c r="A4" s="593" t="s">
        <v>237</v>
      </c>
      <c r="B4" s="593" t="s">
        <v>710</v>
      </c>
      <c r="C4" s="592" t="s">
        <v>711</v>
      </c>
      <c r="D4" s="591">
        <v>1.8</v>
      </c>
      <c r="E4" s="591">
        <v>2.6</v>
      </c>
      <c r="F4" s="591">
        <f>Table1381[[#This Row],[الطول]]*Table1381[[#This Row],[وزن المتر]]</f>
        <v>4.6800000000000006</v>
      </c>
      <c r="G4" s="591">
        <f>Sheet2!$B$14/1000</f>
        <v>252</v>
      </c>
      <c r="H4" s="594">
        <f>Table1381[[#This Row],[السعر]]*Table1381[[#This Row],[الوزن]]</f>
        <v>1179.3600000000001</v>
      </c>
      <c r="J4" s="0">
        <v>60</v>
      </c>
      <c r="K4" s="361" t="s">
        <v>712</v>
      </c>
      <c r="L4" s="0">
        <f>Table1381[[#This Row],[الوزن]]</f>
        <v>4.6800000000000006</v>
      </c>
      <c r="M4" s="0">
        <f>L4*J4</f>
        <v>280.8</v>
      </c>
      <c r="O4" s="592">
        <v>1</v>
      </c>
      <c r="P4" s="611" t="s">
        <v>713</v>
      </c>
      <c r="Q4" s="611" t="s">
        <v>28</v>
      </c>
      <c r="R4" s="592">
        <v>0.5</v>
      </c>
      <c r="S4" s="592">
        <v>1</v>
      </c>
      <c r="T4" s="610" t="s">
        <v>714</v>
      </c>
      <c r="U4" s="609">
        <f>IF(تسعير!$AL$18="سادة",2.39*((Sheet2!$B$14/1000)+Sheet2!$B$41),IF(تسعير!AL18="سادة",2.39*((Sheet2!$B$14/1000)+(Sheet2!$B$15/1000)),0))</f>
        <v>0</v>
      </c>
      <c r="V4" s="609">
        <f ref="V4:V21" t="shared" si="0">U4*S4</f>
        <v>0</v>
      </c>
      <c r="W4" s="609">
        <f>Table1102[[#This Row],[متطلبات انتاج الشمسيه 2.5]]*Table1102[[#This Row],[سعر]]</f>
        <v>0</v>
      </c>
    </row>
    <row r="5" ht="27" customHeight="1">
      <c r="A5" s="593" t="s">
        <v>237</v>
      </c>
      <c r="B5" s="593" t="s">
        <v>715</v>
      </c>
      <c r="C5" s="592" t="s">
        <v>716</v>
      </c>
      <c r="D5" s="591">
        <v>1.15</v>
      </c>
      <c r="E5" s="591">
        <v>0.8</v>
      </c>
      <c r="F5" s="591">
        <f>Table1381[[#This Row],[الطول]]*Table1381[[#This Row],[وزن المتر]]</f>
        <v>0.91999999999999993</v>
      </c>
      <c r="G5" s="591">
        <f>Sheet2!$B$14/1000</f>
        <v>252</v>
      </c>
      <c r="H5" s="591">
        <f>Table1381[[#This Row],[السعر]]*Table1381[[#This Row],[الوزن]]</f>
        <v>231.83999999999998</v>
      </c>
      <c r="K5" s="361" t="s">
        <v>229</v>
      </c>
      <c r="O5" s="592">
        <v>2</v>
      </c>
      <c r="P5" s="611" t="s">
        <v>717</v>
      </c>
      <c r="Q5" s="611" t="s">
        <v>28</v>
      </c>
      <c r="R5" s="592">
        <v>2</v>
      </c>
      <c r="S5" s="592">
        <v>2</v>
      </c>
      <c r="T5" s="610" t="s">
        <v>714</v>
      </c>
      <c r="U5" s="609">
        <f>IF(تسعير!$AL$18="سادة",4.39*((Sheet2!$B$14/1000)+Sheet2!$B$41),IF(تسعير!AL19="سادة",2.39*((Sheet2!$B$14/1000)+(Sheet2!$B$15/1000)),0))</f>
        <v>0</v>
      </c>
      <c r="V5" s="609">
        <f t="shared" si="0"/>
        <v>0</v>
      </c>
      <c r="W5" s="609">
        <f>Table1102[[#This Row],[متطلبات انتاج الشمسيه 2.5]]*Table1102[[#This Row],[سعر]]</f>
        <v>0</v>
      </c>
    </row>
    <row r="6" ht="27" customHeight="1">
      <c r="A6" s="593" t="s">
        <v>237</v>
      </c>
      <c r="B6" s="593" t="s">
        <v>718</v>
      </c>
      <c r="C6" s="592" t="s">
        <v>714</v>
      </c>
      <c r="D6" s="591">
        <v>0.43</v>
      </c>
      <c r="E6" s="591">
        <v>25.2</v>
      </c>
      <c r="F6" s="591">
        <f>Table1381[[#This Row],[الطول]]*Table1381[[#This Row],[وزن المتر]]</f>
        <v>10.836</v>
      </c>
      <c r="G6" s="591">
        <f>Sheet2!$B$14/1000</f>
        <v>252</v>
      </c>
      <c r="H6" s="594">
        <f>Table1381[[#This Row],[السعر]]*Table1381[[#This Row],[الوزن]]</f>
        <v>2730.672</v>
      </c>
      <c r="K6" s="627" t="s">
        <v>223</v>
      </c>
      <c r="O6" s="592">
        <v>3</v>
      </c>
      <c r="P6" s="611" t="s">
        <v>719</v>
      </c>
      <c r="Q6" s="611" t="s">
        <v>28</v>
      </c>
      <c r="R6" s="592">
        <v>1</v>
      </c>
      <c r="S6" s="592">
        <v>1</v>
      </c>
      <c r="T6" s="610" t="s">
        <v>714</v>
      </c>
      <c r="U6" s="609">
        <f>IF(تسعير!$AL$18="سادة",3.39*((Sheet2!$B$14/1000)+Sheet2!$B$41),IF(تسعير!AL20="سادة",2.39*((Sheet2!$B$14/1000)+(Sheet2!$B$15/1000)),0))</f>
        <v>0</v>
      </c>
      <c r="V6" s="609">
        <f t="shared" si="0"/>
        <v>0</v>
      </c>
      <c r="W6" s="609">
        <f>Table1102[[#This Row],[متطلبات انتاج الشمسيه 2.5]]*Table1102[[#This Row],[سعر]]</f>
        <v>0</v>
      </c>
    </row>
    <row r="7" ht="34.5" customHeight="1">
      <c r="A7" s="593" t="s">
        <v>720</v>
      </c>
      <c r="B7" s="596" t="s">
        <v>721</v>
      </c>
      <c r="C7" s="595" t="s">
        <v>722</v>
      </c>
      <c r="D7" s="591">
        <v>1</v>
      </c>
      <c r="E7" s="591">
        <v>1</v>
      </c>
      <c r="F7" s="591">
        <f>Table1381[[#This Row],[الطول]]*Table1381[[#This Row],[وزن المتر]]</f>
        <v>1</v>
      </c>
      <c r="G7" s="591">
        <v>1200</v>
      </c>
      <c r="H7" s="591">
        <f>Table1381[[#This Row],[السعر]]*Table1381[[#This Row],[الوزن]]</f>
        <v>1200</v>
      </c>
      <c r="K7" s="627" t="s">
        <v>216</v>
      </c>
      <c r="M7" s="0">
        <v>3</v>
      </c>
      <c r="O7" s="592">
        <v>4</v>
      </c>
      <c r="P7" s="611" t="s">
        <v>723</v>
      </c>
      <c r="Q7" s="611" t="s">
        <v>28</v>
      </c>
      <c r="R7" s="592">
        <v>1</v>
      </c>
      <c r="S7" s="592">
        <v>1</v>
      </c>
      <c r="T7" s="610" t="s">
        <v>724</v>
      </c>
      <c r="U7" s="609">
        <v>100</v>
      </c>
      <c r="V7" s="609">
        <f t="shared" si="0"/>
        <v>100</v>
      </c>
      <c r="W7" s="609">
        <f>Table1102[[#This Row],[متطلبات انتاج الشمسيه 2.5]]*Table1102[[#This Row],[سعر]]</f>
        <v>100</v>
      </c>
    </row>
    <row r="8" ht="27" customHeight="1">
      <c r="A8" s="593"/>
      <c r="B8" s="593" t="s">
        <v>725</v>
      </c>
      <c r="C8" s="592" t="s">
        <v>726</v>
      </c>
      <c r="D8" s="591">
        <v>1</v>
      </c>
      <c r="E8" s="591">
        <v>1</v>
      </c>
      <c r="F8" s="591">
        <f>Table1381[[#This Row],[الطول]]*Table1381[[#This Row],[وزن المتر]]</f>
        <v>1</v>
      </c>
      <c r="G8" s="591">
        <v>2200</v>
      </c>
      <c r="H8" s="591">
        <f>Table1381[[#This Row],[السعر]]*Table1381[[#This Row],[الوزن]]</f>
        <v>2200</v>
      </c>
      <c r="K8" s="627" t="s">
        <v>208</v>
      </c>
      <c r="M8" s="0">
        <v>2.5</v>
      </c>
      <c r="O8" s="592">
        <v>5</v>
      </c>
      <c r="P8" s="611" t="s">
        <v>727</v>
      </c>
      <c r="Q8" s="611" t="s">
        <v>28</v>
      </c>
      <c r="R8" s="592">
        <v>1</v>
      </c>
      <c r="S8" s="592">
        <v>1</v>
      </c>
      <c r="T8" s="610" t="s">
        <v>724</v>
      </c>
      <c r="U8" s="609">
        <v>100</v>
      </c>
      <c r="V8" s="609">
        <f t="shared" si="0"/>
        <v>100</v>
      </c>
      <c r="W8" s="609">
        <f>Table1102[[#This Row],[متطلبات انتاج الشمسيه 2.5]]*Table1102[[#This Row],[سعر]]</f>
        <v>100</v>
      </c>
    </row>
    <row r="9" ht="27" customHeight="1">
      <c r="A9" s="593" t="s">
        <v>728</v>
      </c>
      <c r="B9" s="593" t="str">
        <f>F1</f>
        <v>خشبي</v>
      </c>
      <c r="C9" s="592" t="s">
        <v>729</v>
      </c>
      <c r="D9" s="591">
        <v>1</v>
      </c>
      <c r="E9" s="591">
        <f>F3+F4+F5+F6</f>
        <v>27.720999999999997</v>
      </c>
      <c r="F9" s="591">
        <f>Table1381[[#This Row],[الطول]]*Table1381[[#This Row],[وزن المتر]]</f>
        <v>27.720999999999997</v>
      </c>
      <c r="G9" s="591">
        <f>IF(F1="سادة",Sheet2!B41,IF(F1="خشبي",Sheet2!B15/1000,IF(F1="ذهبي",Sheet2!B40,0)))</f>
        <v>70</v>
      </c>
      <c r="H9" s="591">
        <f>Table1381[[#This Row],[السعر]]*Table1381[[#This Row],[الوزن]]</f>
        <v>1940.4699999999998</v>
      </c>
      <c r="K9" s="361"/>
      <c r="O9" s="592">
        <v>6</v>
      </c>
      <c r="P9" s="611" t="s">
        <v>730</v>
      </c>
      <c r="Q9" s="611" t="s">
        <v>28</v>
      </c>
      <c r="R9" s="592">
        <v>1</v>
      </c>
      <c r="S9" s="592">
        <v>1</v>
      </c>
      <c r="T9" s="609" t="s">
        <v>731</v>
      </c>
      <c r="U9" s="609">
        <v>35</v>
      </c>
      <c r="V9" s="609">
        <f t="shared" si="0"/>
        <v>35</v>
      </c>
      <c r="W9" s="609">
        <f>Table1102[[#This Row],[متطلبات انتاج الشمسيه 2.5]]*Table1102[[#This Row],[سعر]]</f>
        <v>35</v>
      </c>
    </row>
    <row r="10" ht="27" customHeight="1">
      <c r="A10" s="593" t="s">
        <v>732</v>
      </c>
      <c r="B10" s="593" t="str">
        <f>D1</f>
        <v>تركي</v>
      </c>
      <c r="C10" s="592"/>
      <c r="D10" s="591">
        <v>1</v>
      </c>
      <c r="E10" s="591">
        <v>9</v>
      </c>
      <c r="F10" s="591">
        <f>Table1381[[#This Row],[الطول]]*Table1381[[#This Row],[وزن المتر]]</f>
        <v>9</v>
      </c>
      <c r="G10" s="591">
        <f>IF(D1=$K$6,Sheet2!$B$59,IF(D1=$K$7,Sheet2!$B$44,IF(D1=$K$8,Sheet2!$B$42,0)))</f>
        <v>400</v>
      </c>
      <c r="H10" s="594">
        <f>Table1381[[#This Row],[السعر]]*Table1381[[#This Row],[الوزن]]</f>
        <v>3600</v>
      </c>
      <c r="K10" s="0" t="s">
        <v>665</v>
      </c>
      <c r="O10" s="592">
        <v>7</v>
      </c>
      <c r="P10" s="611" t="s">
        <v>733</v>
      </c>
      <c r="Q10" s="611" t="s">
        <v>28</v>
      </c>
      <c r="R10" s="592">
        <v>12</v>
      </c>
      <c r="S10" s="592">
        <v>12</v>
      </c>
      <c r="T10" s="609" t="s">
        <v>731</v>
      </c>
      <c r="U10" s="609">
        <v>30</v>
      </c>
      <c r="V10" s="609">
        <f t="shared" si="0"/>
        <v>360</v>
      </c>
      <c r="W10" s="609">
        <f>Table1102[[#This Row],[متطلبات انتاج الشمسيه 2.5]]*Table1102[[#This Row],[سعر]]</f>
        <v>360</v>
      </c>
    </row>
    <row r="11" ht="27" customHeight="1">
      <c r="A11" s="593" t="s">
        <v>734</v>
      </c>
      <c r="B11" s="593" t="s">
        <v>735</v>
      </c>
      <c r="C11" s="592" t="s">
        <v>726</v>
      </c>
      <c r="D11" s="591">
        <v>1</v>
      </c>
      <c r="E11" s="591">
        <v>2</v>
      </c>
      <c r="F11" s="591">
        <f>Table1381[[#This Row],[الطول]]*Table1381[[#This Row],[وزن المتر]]</f>
        <v>2</v>
      </c>
      <c r="G11" s="591">
        <v>125</v>
      </c>
      <c r="H11" s="591">
        <f>Table1381[[#This Row],[السعر]]*Table1381[[#This Row],[الوزن]]</f>
        <v>250</v>
      </c>
      <c r="K11" s="0" t="s">
        <v>695</v>
      </c>
      <c r="O11" s="592">
        <v>8</v>
      </c>
      <c r="P11" s="611" t="s">
        <v>736</v>
      </c>
      <c r="Q11" s="611" t="s">
        <v>28</v>
      </c>
      <c r="R11" s="592">
        <v>1</v>
      </c>
      <c r="S11" s="592">
        <v>1</v>
      </c>
      <c r="T11" s="609" t="s">
        <v>731</v>
      </c>
      <c r="U11" s="609">
        <v>70</v>
      </c>
      <c r="V11" s="609">
        <f t="shared" si="0"/>
        <v>70</v>
      </c>
      <c r="W11" s="609">
        <f>Table1102[[#This Row],[متطلبات انتاج الشمسيه 2.5]]*Table1102[[#This Row],[سعر]]</f>
        <v>70</v>
      </c>
    </row>
    <row r="12" ht="27" customHeight="1">
      <c r="A12" s="593" t="s">
        <v>734</v>
      </c>
      <c r="B12" s="593" t="s">
        <v>737</v>
      </c>
      <c r="C12" s="592" t="s">
        <v>726</v>
      </c>
      <c r="D12" s="591">
        <v>1</v>
      </c>
      <c r="E12" s="591">
        <v>2</v>
      </c>
      <c r="F12" s="591">
        <f>Table1381[[#This Row],[الطول]]*Table1381[[#This Row],[وزن المتر]]</f>
        <v>2</v>
      </c>
      <c r="G12" s="591">
        <v>150</v>
      </c>
      <c r="H12" s="594">
        <f>Table1381[[#This Row],[السعر]]*Table1381[[#This Row],[الوزن]]</f>
        <v>300</v>
      </c>
      <c r="O12" s="592">
        <v>9</v>
      </c>
      <c r="P12" s="611" t="s">
        <v>738</v>
      </c>
      <c r="Q12" s="611" t="s">
        <v>28</v>
      </c>
      <c r="R12" s="592">
        <v>1</v>
      </c>
      <c r="S12" s="592">
        <v>1</v>
      </c>
      <c r="T12" s="609" t="s">
        <v>731</v>
      </c>
      <c r="U12" s="609">
        <v>80</v>
      </c>
      <c r="V12" s="609">
        <f t="shared" si="0"/>
        <v>80</v>
      </c>
      <c r="W12" s="609">
        <f>Table1102[[#This Row],[متطلبات انتاج الشمسيه 2.5]]*Table1102[[#This Row],[سعر]]</f>
        <v>80</v>
      </c>
    </row>
    <row r="13" ht="27" customHeight="1">
      <c r="A13" s="593" t="s">
        <v>739</v>
      </c>
      <c r="B13" s="593" t="s">
        <v>740</v>
      </c>
      <c r="C13" s="592" t="s">
        <v>726</v>
      </c>
      <c r="D13" s="591">
        <v>1</v>
      </c>
      <c r="E13" s="591">
        <v>1</v>
      </c>
      <c r="F13" s="591">
        <f>Table1381[[#This Row],[الطول]]*Table1381[[#This Row],[وزن المتر]]</f>
        <v>1</v>
      </c>
      <c r="G13" s="591">
        <v>250</v>
      </c>
      <c r="H13" s="594">
        <f>Table1381[[#This Row],[السعر]]*Table1381[[#This Row],[الوزن]]</f>
        <v>250</v>
      </c>
      <c r="O13" s="592">
        <v>10</v>
      </c>
      <c r="P13" s="611" t="s">
        <v>741</v>
      </c>
      <c r="Q13" s="611" t="s">
        <v>28</v>
      </c>
      <c r="R13" s="592">
        <v>20</v>
      </c>
      <c r="S13" s="592">
        <v>20</v>
      </c>
      <c r="T13" s="609" t="s">
        <v>742</v>
      </c>
      <c r="U13" s="609">
        <v>5</v>
      </c>
      <c r="V13" s="609">
        <f t="shared" si="0"/>
        <v>100</v>
      </c>
      <c r="W13" s="609">
        <f>Table1102[[#This Row],[متطلبات انتاج الشمسيه 2.5]]*Table1102[[#This Row],[سعر]]</f>
        <v>100</v>
      </c>
    </row>
    <row r="14" ht="27" customHeight="1">
      <c r="A14" s="593" t="s">
        <v>739</v>
      </c>
      <c r="B14" s="593" t="s">
        <v>743</v>
      </c>
      <c r="C14" s="592" t="s">
        <v>726</v>
      </c>
      <c r="D14" s="591">
        <v>1</v>
      </c>
      <c r="E14" s="591">
        <v>2</v>
      </c>
      <c r="F14" s="591">
        <f>Table1381[[#This Row],[الطول]]*Table1381[[#This Row],[وزن المتر]]</f>
        <v>2</v>
      </c>
      <c r="G14" s="591">
        <v>150</v>
      </c>
      <c r="H14" s="594">
        <f>Table1381[[#This Row],[السعر]]*Table1381[[#This Row],[الوزن]]</f>
        <v>300</v>
      </c>
      <c r="O14" s="592">
        <v>11</v>
      </c>
      <c r="P14" s="611" t="s">
        <v>744</v>
      </c>
      <c r="Q14" s="611" t="s">
        <v>28</v>
      </c>
      <c r="R14" s="592">
        <v>1</v>
      </c>
      <c r="S14" s="592">
        <v>1</v>
      </c>
      <c r="T14" s="609" t="s">
        <v>731</v>
      </c>
      <c r="U14" s="609">
        <v>250</v>
      </c>
      <c r="V14" s="609">
        <f t="shared" si="0"/>
        <v>250</v>
      </c>
      <c r="W14" s="609">
        <f>Table1102[[#This Row],[متطلبات انتاج الشمسيه 2.5]]*Table1102[[#This Row],[سعر]]</f>
        <v>250</v>
      </c>
    </row>
    <row r="15" ht="27" customHeight="1">
      <c r="A15" s="593" t="s">
        <v>739</v>
      </c>
      <c r="B15" s="593" t="s">
        <v>745</v>
      </c>
      <c r="C15" s="592" t="s">
        <v>726</v>
      </c>
      <c r="D15" s="591">
        <v>1</v>
      </c>
      <c r="E15" s="591">
        <v>2</v>
      </c>
      <c r="F15" s="591">
        <f>Table1381[[#This Row],[الطول]]*Table1381[[#This Row],[وزن المتر]]</f>
        <v>2</v>
      </c>
      <c r="G15" s="591">
        <v>100</v>
      </c>
      <c r="H15" s="594">
        <f>Table1381[[#This Row],[السعر]]*Table1381[[#This Row],[الوزن]]</f>
        <v>200</v>
      </c>
      <c r="O15" s="592">
        <v>12</v>
      </c>
      <c r="P15" s="611" t="s">
        <v>746</v>
      </c>
      <c r="Q15" s="611" t="s">
        <v>28</v>
      </c>
      <c r="R15" s="592">
        <v>1</v>
      </c>
      <c r="S15" s="592">
        <v>1</v>
      </c>
      <c r="T15" s="609" t="s">
        <v>724</v>
      </c>
      <c r="U15" s="609">
        <v>80</v>
      </c>
      <c r="V15" s="609">
        <f t="shared" si="0"/>
        <v>80</v>
      </c>
      <c r="W15" s="609">
        <f>Table1102[[#This Row],[متطلبات انتاج الشمسيه 2.5]]*Table1102[[#This Row],[سعر]]</f>
        <v>80</v>
      </c>
    </row>
    <row r="16" ht="27" customHeight="1">
      <c r="A16" s="593" t="s">
        <v>747</v>
      </c>
      <c r="B16" s="593" t="s">
        <v>748</v>
      </c>
      <c r="C16" s="592" t="s">
        <v>749</v>
      </c>
      <c r="D16" s="591">
        <v>1</v>
      </c>
      <c r="E16" s="591">
        <v>1</v>
      </c>
      <c r="F16" s="591">
        <f>Table1381[[#This Row],[الطول]]*Table1381[[#This Row],[وزن المتر]]</f>
        <v>1</v>
      </c>
      <c r="G16" s="591">
        <v>100</v>
      </c>
      <c r="H16" s="591">
        <f>Table1381[[#This Row],[السعر]]*Table1381[[#This Row],[الوزن]]</f>
        <v>100</v>
      </c>
      <c r="O16" s="592">
        <v>13</v>
      </c>
      <c r="P16" s="611" t="s">
        <v>750</v>
      </c>
      <c r="Q16" s="611" t="s">
        <v>28</v>
      </c>
      <c r="R16" s="592">
        <v>1</v>
      </c>
      <c r="S16" s="592">
        <v>1</v>
      </c>
      <c r="T16" s="609" t="s">
        <v>731</v>
      </c>
      <c r="U16" s="609">
        <v>55</v>
      </c>
      <c r="V16" s="609">
        <f t="shared" si="0"/>
        <v>55</v>
      </c>
      <c r="W16" s="609">
        <f>Table1102[[#This Row],[متطلبات انتاج الشمسيه 2.5]]*Table1102[[#This Row],[سعر]]</f>
        <v>55</v>
      </c>
    </row>
    <row r="17" ht="27" customHeight="1">
      <c r="A17" s="593" t="s">
        <v>751</v>
      </c>
      <c r="B17" s="593" t="s">
        <v>752</v>
      </c>
      <c r="C17" s="592" t="s">
        <v>749</v>
      </c>
      <c r="D17" s="591">
        <v>1</v>
      </c>
      <c r="E17" s="591">
        <v>2</v>
      </c>
      <c r="F17" s="591">
        <f>Table1381[[#This Row],[الطول]]*Table1381[[#This Row],[وزن المتر]]</f>
        <v>2</v>
      </c>
      <c r="G17" s="591">
        <v>50</v>
      </c>
      <c r="H17" s="591">
        <f>Table1381[[#This Row],[السعر]]*Table1381[[#This Row],[الوزن]]</f>
        <v>100</v>
      </c>
      <c r="O17" s="592">
        <v>14</v>
      </c>
      <c r="P17" s="611" t="s">
        <v>753</v>
      </c>
      <c r="Q17" s="611" t="s">
        <v>28</v>
      </c>
      <c r="R17" s="592">
        <v>1</v>
      </c>
      <c r="S17" s="592">
        <v>1</v>
      </c>
      <c r="T17" s="609" t="s">
        <v>742</v>
      </c>
      <c r="U17" s="609">
        <v>100</v>
      </c>
      <c r="V17" s="609">
        <f t="shared" si="0"/>
        <v>100</v>
      </c>
      <c r="W17" s="609">
        <f>Table1102[[#This Row],[متطلبات انتاج الشمسيه 2.5]]*Table1102[[#This Row],[سعر]]</f>
        <v>100</v>
      </c>
    </row>
    <row r="18" ht="27" customHeight="1">
      <c r="A18" s="593"/>
      <c r="B18" s="593" t="s">
        <v>754</v>
      </c>
      <c r="C18" s="592" t="s">
        <v>749</v>
      </c>
      <c r="D18" s="591">
        <v>1</v>
      </c>
      <c r="E18" s="591">
        <v>1</v>
      </c>
      <c r="F18" s="591">
        <f>Table1381[[#This Row],[الطول]]*Table1381[[#This Row],[وزن المتر]]</f>
        <v>1</v>
      </c>
      <c r="G18" s="591">
        <v>20</v>
      </c>
      <c r="H18" s="591">
        <f>Table1381[[#This Row],[السعر]]*Table1381[[#This Row],[الوزن]]</f>
        <v>20</v>
      </c>
      <c r="O18" s="592">
        <v>15</v>
      </c>
      <c r="P18" s="611" t="s">
        <v>755</v>
      </c>
      <c r="Q18" s="611" t="s">
        <v>28</v>
      </c>
      <c r="R18" s="592">
        <v>1</v>
      </c>
      <c r="S18" s="592">
        <v>5</v>
      </c>
      <c r="T18" s="609" t="s">
        <v>756</v>
      </c>
      <c r="U18" s="609">
        <v>20</v>
      </c>
      <c r="V18" s="609">
        <f t="shared" si="0"/>
        <v>100</v>
      </c>
      <c r="W18" s="609">
        <f>Table1102[[#This Row],[متطلبات انتاج الشمسيه 2.5]]*Table1102[[#This Row],[سعر]]</f>
        <v>20</v>
      </c>
    </row>
    <row r="19" ht="27" customHeight="1">
      <c r="A19" s="593" t="s">
        <v>757</v>
      </c>
      <c r="B19" s="593" t="s">
        <v>758</v>
      </c>
      <c r="C19" s="592"/>
      <c r="D19" s="591">
        <v>1</v>
      </c>
      <c r="E19" s="591">
        <v>10</v>
      </c>
      <c r="F19" s="591">
        <f>Table1381[[#This Row],[الطول]]*Table1381[[#This Row],[وزن المتر]]</f>
        <v>10</v>
      </c>
      <c r="G19" s="591">
        <v>50</v>
      </c>
      <c r="H19" s="591">
        <f>Table1381[[#This Row],[السعر]]*Table1381[[#This Row],[الوزن]]</f>
        <v>500</v>
      </c>
      <c r="O19" s="592">
        <v>16</v>
      </c>
      <c r="P19" s="611" t="s">
        <v>759</v>
      </c>
      <c r="Q19" s="611" t="s">
        <v>301</v>
      </c>
      <c r="R19" s="592">
        <v>8</v>
      </c>
      <c r="S19" s="592">
        <v>8</v>
      </c>
      <c r="T19" s="609" t="s">
        <v>731</v>
      </c>
      <c r="U19" s="609">
        <v>8</v>
      </c>
      <c r="V19" s="609">
        <f t="shared" si="0"/>
        <v>64</v>
      </c>
      <c r="W19" s="609">
        <f>Table1102[[#This Row],[متطلبات انتاج الشمسيه 2.5]]*Table1102[[#This Row],[سعر]]</f>
        <v>64</v>
      </c>
    </row>
    <row r="20" ht="27" customHeight="1">
      <c r="A20" s="593" t="s">
        <v>747</v>
      </c>
      <c r="B20" s="593" t="s">
        <v>760</v>
      </c>
      <c r="C20" s="592" t="s">
        <v>749</v>
      </c>
      <c r="D20" s="591">
        <v>1</v>
      </c>
      <c r="E20" s="591">
        <v>24</v>
      </c>
      <c r="F20" s="591">
        <f>Table1381[[#This Row],[الطول]]*Table1381[[#This Row],[وزن المتر]]</f>
        <v>24</v>
      </c>
      <c r="G20" s="591">
        <v>5</v>
      </c>
      <c r="H20" s="591">
        <f>Table1381[[#This Row],[السعر]]*Table1381[[#This Row],[الوزن]]</f>
        <v>120</v>
      </c>
      <c r="O20" s="592">
        <v>17</v>
      </c>
      <c r="P20" s="611" t="s">
        <v>732</v>
      </c>
      <c r="Q20" s="611" t="s">
        <v>761</v>
      </c>
      <c r="R20" s="592">
        <v>7</v>
      </c>
      <c r="S20" s="592">
        <v>9</v>
      </c>
      <c r="T20" s="609"/>
      <c r="U20" s="612">
        <f>IF(S1=$K$6,Sheet2!$B$59,IF(S1=$K$7,Sheet2!$B$44,IF(S1=$K$8,Sheet2!$B$42,0)))</f>
        <v>400</v>
      </c>
      <c r="V20" s="609">
        <f t="shared" si="0"/>
        <v>3600</v>
      </c>
      <c r="W20" s="609">
        <f>Table1102[[#This Row],[متطلبات انتاج الشمسيه 2.5]]*Table1102[[#This Row],[سعر]]</f>
        <v>2800</v>
      </c>
    </row>
    <row r="21" ht="27" customHeight="1">
      <c r="A21" s="593" t="s">
        <v>762</v>
      </c>
      <c r="B21" s="593" t="s">
        <v>763</v>
      </c>
      <c r="C21" s="592" t="s">
        <v>764</v>
      </c>
      <c r="D21" s="591">
        <v>3</v>
      </c>
      <c r="E21" s="591">
        <v>3</v>
      </c>
      <c r="F21" s="591">
        <f>Table1381[[#This Row],[الطول]]*Table1381[[#This Row],[وزن المتر]]</f>
        <v>9</v>
      </c>
      <c r="G21" s="591">
        <v>300</v>
      </c>
      <c r="H21" s="591">
        <f>Table1381[[#This Row],[السعر]]*Table1381[[#This Row],[الوزن]]</f>
        <v>2700</v>
      </c>
      <c r="O21" s="613"/>
      <c r="P21" s="614" t="s">
        <v>765</v>
      </c>
      <c r="Q21" s="614"/>
      <c r="R21" s="613">
        <v>1</v>
      </c>
      <c r="S21" s="613">
        <v>1</v>
      </c>
      <c r="T21" s="612"/>
      <c r="U21" s="612">
        <v>4000</v>
      </c>
      <c r="V21" s="612">
        <f t="shared" si="0"/>
        <v>4000</v>
      </c>
      <c r="W21" s="609">
        <f>Table1102[[#This Row],[متطلبات انتاج الشمسيه 2.5]]*Table1102[[#This Row],[سعر]]</f>
        <v>4000</v>
      </c>
    </row>
    <row r="22" ht="27" customHeight="1">
      <c r="H22" s="622">
        <f>SUBTOTAL(109,Table1381[التكلفة])</f>
        <v>20766.162</v>
      </c>
      <c r="O22" s="615" t="s">
        <v>54</v>
      </c>
      <c r="P22" s="616"/>
      <c r="Q22" s="616"/>
      <c r="R22" s="617"/>
      <c r="S22" s="617"/>
      <c r="T22" s="618"/>
      <c r="U22" s="609"/>
      <c r="V22" s="591">
        <f>SUBTOTAL(109,Table1102[3])</f>
        <v>9094</v>
      </c>
      <c r="W22" s="574">
        <f>SUBTOTAL(109,Table1102[2.5])</f>
        <v>8214</v>
      </c>
    </row>
    <row r="23" ht="27" customHeight="1">
      <c r="V23" s="620">
        <f>IF(تسعير!AI18="قطاعي",Table1102[[#Totals],[3]]*1.35,IF(تسعير!AI18="جملة",Table1102[[#Totals],[3]]*1.25,IF(تسعير!AI18="نصف جملة",Table1102[[#Totals],[3]]*1.3,0)))</f>
        <v>11367.5</v>
      </c>
      <c r="W23" s="620">
        <f>IF(تسعير!AI18="قطاعي",Table1102[[#Totals],[2.5]]*1.35,IF(تسعير!AI18="جملة",Table1102[[#Totals],[2.5]]*1.25,IF(تسعير!AI18="نصف جملة",Table1102[[#Totals],[2.5]]*1.3,0)))</f>
        <v>10267.5</v>
      </c>
    </row>
    <row r="24" ht="27" customHeight="1">
      <c r="A24" s="622" t="s">
        <v>766</v>
      </c>
      <c r="B24" s="622" t="str">
        <f>تسعير!AL52</f>
        <v>متحركة</v>
      </c>
      <c r="C24" s="622" t="str">
        <f>تسعير!AJ52</f>
        <v>مصري</v>
      </c>
      <c r="D24" s="623">
        <f>IF(تسعير!AG52="جملة",Table17118[[#Totals],[Column4]]*1.25,Table17118[[#Totals],[Column4]]*1.3)</f>
        <v>7050.231325</v>
      </c>
    </row>
    <row r="25" ht="27" customHeight="1">
      <c r="A25" s="0" t="s">
        <v>298</v>
      </c>
      <c r="B25" s="0" t="s">
        <v>449</v>
      </c>
      <c r="C25" s="0" t="s">
        <v>452</v>
      </c>
      <c r="D25" s="0" t="s">
        <v>26</v>
      </c>
      <c r="F25" s="624" t="s">
        <v>685</v>
      </c>
      <c r="P25" s="622" t="s">
        <v>767</v>
      </c>
      <c r="Q25" s="622" t="str">
        <f>تسعير!AH40</f>
        <v>4.00 * 4.00</v>
      </c>
      <c r="R25" s="622" t="str">
        <f>تسعير!AI40</f>
        <v>خشبي</v>
      </c>
      <c r="S25" s="622" t="str">
        <f>تسعير!AJ40</f>
        <v>مصري</v>
      </c>
      <c r="T25" s="623">
        <f>IF(تسعير!AG40="جملة",Table1718[[#Totals],[Column4]]*1.25,Table1718[[#Totals],[Column4]]*1.3)</f>
        <v>20454.52</v>
      </c>
    </row>
    <row r="26" ht="27" customHeight="1">
      <c r="A26" s="0" t="s">
        <v>768</v>
      </c>
      <c r="B26" s="0">
        <v>2.67</v>
      </c>
      <c r="C26" s="625">
        <f>IF(تسعير!AI52='شماسي كانتليفر'!F33,6.3*0.23*((Sheet2!B14/1000)+(Sheet2!B15/1000)),6.3*0.23*((Sheet2!B14/1000)+Sheet2!B41))</f>
        <v>408.618</v>
      </c>
      <c r="D26" s="626">
        <f>Table17118[[#This Row],[القيمة]]*Table17118[[#This Row],[العدد]]</f>
        <v>1091.01006</v>
      </c>
      <c r="F26" s="624" t="s">
        <v>769</v>
      </c>
      <c r="P26" s="0" t="s">
        <v>298</v>
      </c>
      <c r="Q26" s="0" t="s">
        <v>449</v>
      </c>
      <c r="R26" s="0" t="s">
        <v>452</v>
      </c>
      <c r="S26" s="0" t="s">
        <v>26</v>
      </c>
    </row>
    <row r="27" ht="27" customHeight="1">
      <c r="A27" s="0" t="s">
        <v>770</v>
      </c>
      <c r="B27" s="0">
        <f>IF(B24=F25,0.5,0)</f>
        <v>0.5</v>
      </c>
      <c r="C27" s="625">
        <f>IF('شماسي كانتليفر'!AI52='شماسي كانتليفر'!F33,5.5*0.85*((Sheet2!B14/1000)+(Sheet2!B15/1000)),5.5*0.85*((Sheet2!B14/1000)+Sheet2!B41))</f>
        <v>1318.35</v>
      </c>
      <c r="D27" s="626">
        <f>Table17118[[#This Row],[القيمة]]*Table17118[[#This Row],[العدد]]</f>
        <v>659.175</v>
      </c>
      <c r="F27" s="624" t="s">
        <v>223</v>
      </c>
      <c r="H27" s="624"/>
      <c r="P27" s="0" t="s">
        <v>771</v>
      </c>
      <c r="Q27" s="0">
        <f>IF(Q25=U33,4.5,IF(Q25=U32,3.75,0))</f>
        <v>4.5</v>
      </c>
      <c r="R27" s="625">
        <f>IF(تسعير!$AI$40='شماسي كانتليفر'!U31,6.8*0.68*((Sheet2!$B$14/1000)+(Sheet2!$B$15/1000)),6.8*0.68*(Sheet2!$B$14/1000)+Sheet2!$B$41)</f>
        <v>1488.928</v>
      </c>
      <c r="S27" s="626">
        <f>Table1718[[#This Row],[القيمة]]*Table1718[[#This Row],[العدد]]</f>
        <v>6700.176</v>
      </c>
      <c r="U27" s="0" t="s">
        <v>223</v>
      </c>
    </row>
    <row r="28" ht="27" customHeight="1">
      <c r="A28" s="0" t="s">
        <v>772</v>
      </c>
      <c r="B28" s="0">
        <f>IF($B$24=F26,0.5,0)</f>
        <v>0</v>
      </c>
      <c r="C28" s="625">
        <f>IF('شماسي كانتليفر'!AI52='شماسي كانتليفر'!F33,6.25*0.85*((Sheet2!B14/1000)+(Sheet2!B15/1000)),6.25*0.85*((Sheet2!B14/1000)+Sheet2!B41))</f>
        <v>1498.125</v>
      </c>
      <c r="D28" s="626">
        <f>Table17118[[#This Row],[القيمة]]*Table17118[[#This Row],[العدد]]</f>
        <v>0</v>
      </c>
      <c r="F28" s="624" t="s">
        <v>216</v>
      </c>
      <c r="P28" s="0" t="s">
        <v>773</v>
      </c>
      <c r="Q28" s="0">
        <v>1</v>
      </c>
      <c r="R28" s="625">
        <f>IF(تسعير!$AI$40='شماسي كانتليفر'!U31,1.1*3.2*((Sheet2!$B$14/1000)+(Sheet2!$B$15/1000)),1.1*3.2*(Sheet2!$B$14/1000)+Sheet2!$B$41)</f>
        <v>1133.44</v>
      </c>
      <c r="S28" s="626">
        <f>Table1718[[#This Row],[القيمة]]*Table1718[[#This Row],[العدد]]</f>
        <v>1133.44</v>
      </c>
      <c r="U28" s="624" t="s">
        <v>216</v>
      </c>
    </row>
    <row r="29" ht="27" customHeight="1">
      <c r="A29" s="0" t="s">
        <v>774</v>
      </c>
      <c r="B29" s="0">
        <v>1</v>
      </c>
      <c r="C29" s="0">
        <v>890</v>
      </c>
      <c r="D29" s="626">
        <f>Table17118[[#This Row],[القيمة]]*Table17118[[#This Row],[العدد]]</f>
        <v>890</v>
      </c>
      <c r="F29" s="624" t="s">
        <v>208</v>
      </c>
      <c r="P29" s="0" t="s">
        <v>775</v>
      </c>
      <c r="Q29" s="0">
        <v>2</v>
      </c>
      <c r="R29" s="0">
        <v>250</v>
      </c>
      <c r="S29" s="626">
        <f>Table1718[[#This Row],[القيمة]]*Table1718[[#This Row],[العدد]]</f>
        <v>500</v>
      </c>
      <c r="U29" s="624" t="s">
        <v>208</v>
      </c>
    </row>
    <row r="30" ht="27" customHeight="1">
      <c r="A30" s="628" t="s">
        <v>776</v>
      </c>
      <c r="B30" s="0">
        <v>1</v>
      </c>
      <c r="C30" s="0">
        <f>IF(تسعير!AL52='شماسي كانتليفر'!F25,1200,500)</f>
        <v>1200</v>
      </c>
      <c r="D30" s="626">
        <f>Table17118[[#This Row],[القيمة]]*Table17118[[#This Row],[العدد]]</f>
        <v>1200</v>
      </c>
      <c r="F30" s="624" t="s">
        <v>684</v>
      </c>
      <c r="P30" s="0" t="s">
        <v>777</v>
      </c>
      <c r="Q30" s="0">
        <v>16</v>
      </c>
      <c r="R30" s="0">
        <v>20</v>
      </c>
      <c r="S30" s="626">
        <f>Table1718[[#This Row],[القيمة]]*Table1718[[#This Row],[العدد]]</f>
        <v>320</v>
      </c>
      <c r="U30" s="624" t="s">
        <v>233</v>
      </c>
    </row>
    <row r="31" ht="27" customHeight="1">
      <c r="A31" s="628" t="s">
        <v>732</v>
      </c>
      <c r="B31" s="0">
        <f>IF($C$24=F27,7,0)</f>
        <v>7</v>
      </c>
      <c r="C31" s="0">
        <f>IF(تسعير!AJ52='شماسي كانتليفر'!F27,200,IF(تسعير!AJ52='شماسي كانتليفر'!F28,400,IF(تسعير!AJ52='شماسي كانتليفر'!F29,750)))</f>
        <v>200</v>
      </c>
      <c r="D31" s="626">
        <f>Table17118[[#This Row],[القيمة]]*Table17118[[#This Row],[العدد]]</f>
        <v>1400</v>
      </c>
      <c r="F31" s="624" t="s">
        <v>778</v>
      </c>
      <c r="I31" s="624">
        <f>3.25*2</f>
        <v>6.5</v>
      </c>
      <c r="P31" s="0" t="s">
        <v>779</v>
      </c>
      <c r="Q31" s="0">
        <v>7</v>
      </c>
      <c r="R31" s="0">
        <v>10</v>
      </c>
      <c r="S31" s="626">
        <f>Table1718[[#This Row],[القيمة]]*Table1718[[#This Row],[العدد]]</f>
        <v>70</v>
      </c>
      <c r="U31" s="624" t="s">
        <v>229</v>
      </c>
    </row>
    <row r="32" ht="27" customHeight="1">
      <c r="A32" s="628" t="s">
        <v>780</v>
      </c>
      <c r="B32" s="0">
        <f>IF(تسعير!AK52='شماسي كانتليفر'!F31,4,0)</f>
        <v>0</v>
      </c>
      <c r="C32" s="0">
        <v>75</v>
      </c>
      <c r="D32" s="626">
        <f>Table17118[[#This Row],[القيمة]]*Table17118[[#This Row],[العدد]]</f>
        <v>0</v>
      </c>
      <c r="F32" s="624" t="s">
        <v>233</v>
      </c>
      <c r="I32" s="0">
        <f>I31*170</f>
        <v>1105</v>
      </c>
      <c r="P32" s="0" t="s">
        <v>781</v>
      </c>
      <c r="Q32" s="0">
        <v>3</v>
      </c>
      <c r="R32" s="0">
        <v>30</v>
      </c>
      <c r="S32" s="626">
        <f>Table1718[[#This Row],[القيمة]]*Table1718[[#This Row],[العدد]]</f>
        <v>90</v>
      </c>
      <c r="U32" s="627" t="s">
        <v>782</v>
      </c>
    </row>
    <row r="33" ht="27" customHeight="1">
      <c r="A33" s="0" t="s">
        <v>783</v>
      </c>
      <c r="D33" s="625">
        <v>400</v>
      </c>
      <c r="F33" s="624" t="s">
        <v>229</v>
      </c>
      <c r="P33" s="0" t="s">
        <v>784</v>
      </c>
      <c r="Q33" s="0">
        <v>1</v>
      </c>
      <c r="R33" s="0">
        <v>200</v>
      </c>
      <c r="S33" s="626">
        <f>Table1718[[#This Row],[القيمة]]*Table1718[[#This Row],[العدد]]</f>
        <v>200</v>
      </c>
      <c r="U33" s="627" t="s">
        <v>673</v>
      </c>
    </row>
    <row r="34" ht="27" customHeight="1">
      <c r="A34" s="0" t="s">
        <v>54</v>
      </c>
      <c r="D34" s="625">
        <f>SUBTOTAL(109,Table17118[Column4])</f>
        <v>5640.18506</v>
      </c>
      <c r="P34" s="628" t="s">
        <v>785</v>
      </c>
      <c r="Q34" s="0">
        <v>1</v>
      </c>
      <c r="R34" s="0">
        <v>150</v>
      </c>
      <c r="S34" s="626">
        <f>Table1718[[#This Row],[القيمة]]*Table1718[[#This Row],[العدد]]</f>
        <v>150</v>
      </c>
    </row>
    <row r="35" ht="27" customHeight="1">
      <c r="P35" s="0" t="s">
        <v>786</v>
      </c>
      <c r="Q35" s="0">
        <v>1</v>
      </c>
      <c r="R35" s="0">
        <v>200</v>
      </c>
      <c r="S35" s="626">
        <f>Table1718[[#This Row],[القيمة]]*Table1718[[#This Row],[العدد]]</f>
        <v>200</v>
      </c>
    </row>
    <row r="36" ht="27" customHeight="1">
      <c r="P36" s="0" t="s">
        <v>787</v>
      </c>
      <c r="Q36" s="0">
        <v>1</v>
      </c>
      <c r="R36" s="0">
        <v>2000</v>
      </c>
      <c r="S36" s="626">
        <f>Table1718[[#This Row],[القيمة]]*Table1718[[#This Row],[العدد]]</f>
        <v>2000</v>
      </c>
    </row>
    <row r="37" ht="27" customHeight="1">
      <c r="P37" s="0" t="s">
        <v>788</v>
      </c>
      <c r="Q37" s="0">
        <f>IF($Q$25=U33,20,IF(Q25=U32,18,0))</f>
        <v>20</v>
      </c>
      <c r="R37" s="0">
        <f>IF(تسعير!AJ40='شماسي كانتليفر'!F27,200,IF(تسعير!AJ40='شماسي كانتليفر'!F28,400,IF(تسعير!AJ40='شماسي كانتليفر'!F29,750)))</f>
        <v>200</v>
      </c>
      <c r="S37" s="626">
        <f>Table1718[[#This Row],[القيمة]]*Table1718[[#This Row],[العدد]]</f>
        <v>4000</v>
      </c>
    </row>
    <row r="38" ht="27" customHeight="1">
      <c r="P38" s="0" t="s">
        <v>783</v>
      </c>
      <c r="S38" s="625">
        <v>1000</v>
      </c>
    </row>
    <row r="39" ht="27" customHeight="1">
      <c r="P39" s="0" t="s">
        <v>54</v>
      </c>
      <c r="S39" s="625">
        <f>SUBTOTAL(109,Table1718[Column4])</f>
        <v>16363.616</v>
      </c>
    </row>
  </sheetData>
  <mergeCells>
    <mergeCell ref="A1:B1"/>
  </mergeCells>
  <phoneticPr fontId="118" type="noConversion"/>
  <dataValidations disablePrompts="1" count="1">
    <dataValidation type="list" allowBlank="1" showInputMessage="1" showErrorMessage="1" sqref="Q1" xr:uid="{396669DA-9608-4278-9D64-8EA9FFD24C60}">
      <formula1>$N$6:$O$6</formula1>
    </dataValidation>
  </dataValidations>
  <pageMargins left="0.7" right="0.7" top="0.75" bottom="0.75" header="0.3" footer="0.3"/>
  <headerFooter/>
  <tableParts count="4">
    <tablePart r:id="rId1"/>
    <tablePart r:id="rId2"/>
    <tablePart r:id="rId3"/>
    <tablePart r:id="rId4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8" tint="-0.249977111117893"/>
    <pageSetUpPr fitToPage="1"/>
  </sheetPr>
  <dimension ref="A1:Y85"/>
  <sheetViews>
    <sheetView rightToLeft="1" view="pageBreakPreview" topLeftCell="L4" zoomScale="130" zoomScaleNormal="90" zoomScaleSheetLayoutView="130" zoomScalePageLayoutView="90" workbookViewId="0">
      <selection activeCell="W11" sqref="W11"/>
    </sheetView>
  </sheetViews>
  <sheetFormatPr defaultColWidth="9.109375" defaultRowHeight="14.4"/>
  <cols>
    <col min="1" max="1" width="8.44140625" customWidth="1" style="207"/>
    <col min="2" max="2" width="10.5546875" customWidth="1" style="207"/>
    <col min="3" max="3" width="45.33203125" customWidth="1" style="361"/>
    <col min="4" max="4" width="14" customWidth="1" style="207"/>
    <col min="5" max="5" width="12.6640625" customWidth="1" style="207"/>
    <col min="6" max="6" width="13.6640625" customWidth="1" style="207"/>
    <col min="7" max="7" width="15.33203125" customWidth="1" style="233"/>
    <col min="8" max="8" width="15.33203125" customWidth="1" style="396"/>
    <col min="9" max="9" width="9.88671875" customWidth="1" style="233"/>
    <col min="10" max="10" width="15" customWidth="1" style="233"/>
    <col min="11" max="11" width="15.88671875" customWidth="1" style="233"/>
    <col min="12" max="12" width="8" customWidth="1" style="233"/>
    <col min="13" max="13" width="9.109375" customWidth="1" style="207"/>
    <col min="14" max="14" width="17.88671875" customWidth="1" style="207"/>
    <col min="15" max="21" width="9.109375" customWidth="1" style="207"/>
    <col min="22" max="22" width="22.109375" customWidth="1" style="207"/>
    <col min="23" max="23" width="9.109375" customWidth="1" style="207"/>
    <col min="24" max="24" width="15" customWidth="1" style="207"/>
    <col min="25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G84/F2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46132.450658564812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V4" s="207" t="s">
        <v>23</v>
      </c>
      <c r="W4" s="207" t="s">
        <v>24</v>
      </c>
      <c r="X4" s="207" t="s">
        <v>25</v>
      </c>
      <c r="Y4" s="207" t="s">
        <v>26</v>
      </c>
    </row>
    <row r="5" ht="24.7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34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V5" s="233" t="s">
        <v>40</v>
      </c>
      <c r="W5" s="233">
        <v>1.4</v>
      </c>
      <c r="X5" s="237" t="s">
        <v>41</v>
      </c>
      <c r="Y5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6" ht="24.75" customHeight="1" s="216" customFormat="1">
      <c r="A6" s="211">
        <v>1</v>
      </c>
      <c r="B6" s="212">
        <f>IF((Sheet2!H3="A1"),2,IF((Sheet2!H3="A2"),4,IF((Sheet2!H3="A3"),5,IF((Sheet2!H3="B1"),5,IF((Sheet2!H3="B2"),8,IF((Sheet2!H3="B3"),10,IF((Sheet2!H3="C1"),2,IF((Sheet2!H3="C2"),3,IF((Sheet2!H3="C3"),4,IF((Sheet2!H3="D1"),5,IF((Sheet2!H3="D2"),8,IF((Sheet2!H3="D3"),10,0))))))))))))</f>
        <v>5</v>
      </c>
      <c r="C6" s="215" t="s">
        <v>42</v>
      </c>
      <c r="D6" s="214">
        <v>0.03</v>
      </c>
      <c r="E6" s="214">
        <v>0.03</v>
      </c>
      <c r="F6" s="214">
        <f>(Table1[[#This Row],[Column1]]+Table1[[#This Row],[Column2]])*12*Table1[[#This Row],[عدد]]</f>
        <v>3.5999999999999996</v>
      </c>
      <c r="G6" s="242" t="s">
        <v>43</v>
      </c>
      <c r="H6" s="211">
        <v>8.5</v>
      </c>
      <c r="I6" s="211"/>
      <c r="J6" s="243">
        <f>H6*$H$2/1000</f>
        <v>382.5</v>
      </c>
      <c r="K6" s="240">
        <f>B6*J6</f>
        <v>1912.5</v>
      </c>
      <c r="L6" s="241">
        <f>(K6)/$G$83</f>
        <v>0.013183386323658992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V6" s="216" t="s">
        <v>45</v>
      </c>
      <c r="W6" s="216">
        <v>0.25</v>
      </c>
      <c r="X6" s="216" t="s">
        <v>46</v>
      </c>
      <c r="Y6" s="216">
        <f>Y5*Table6[[#This Row],[المعدل]]+4</f>
        <v>6.1071428571428577</v>
      </c>
    </row>
    <row r="7" ht="24.75" customHeight="1" s="216" customFormat="1">
      <c r="A7" s="211">
        <v>2</v>
      </c>
      <c r="B7" s="212">
        <f>IF((Sheet2!H3="A1"),2,IF((Sheet2!H3="A2"),3,IF((Sheet2!H3="A3"),4,IF((Sheet2!H3="B1"),2,IF((Sheet2!H3="B2"),3.5,IF((Sheet2!H3="B3"),5,IF((Sheet2!H3="C1"),4,IF((Sheet2!H3="C2"),5,IF((Sheet2!H3="C3"),6,IF((Sheet2!H3="D1"),4,IF((Sheet2!H3="D2"),5.5,IF((Sheet2!H3="D3"),7,0))))))))))))</f>
        <v>2</v>
      </c>
      <c r="C7" s="215" t="s">
        <v>47</v>
      </c>
      <c r="D7" s="391">
        <v>0.1</v>
      </c>
      <c r="E7" s="391">
        <v>0.1</v>
      </c>
      <c r="F7" s="216">
        <f>(Table1[[#This Row],[Column1]]+Table1[[#This Row],[Column2]])*12*Table1[[#This Row],[عدد]]</f>
        <v>4.8000000000000007</v>
      </c>
      <c r="G7" s="242" t="s">
        <v>43</v>
      </c>
      <c r="H7" s="211">
        <v>46.75</v>
      </c>
      <c r="I7" s="211"/>
      <c r="J7" s="243">
        <f>H7*$H$2/1000</f>
        <v>2103.75</v>
      </c>
      <c r="K7" s="240">
        <f>B7*J7</f>
        <v>4207.5</v>
      </c>
      <c r="L7" s="241">
        <f>(K7)/$G$83</f>
        <v>0.02900344991204978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V7" s="216" t="s">
        <v>49</v>
      </c>
      <c r="W7" s="216">
        <v>2</v>
      </c>
      <c r="X7" s="211" t="s">
        <v>50</v>
      </c>
      <c r="Y7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5.9</v>
      </c>
    </row>
    <row r="8" ht="24.75" customHeight="1" s="216" customFormat="1">
      <c r="A8" s="211">
        <v>3</v>
      </c>
      <c r="B8" s="212">
        <f>IF((Sheet2!H3="A1"),1,IF((Sheet2!H3="A2"),1.5,IF((Sheet2!H3="A3"),2,IF((Sheet2!H3="B1"),1,IF((Sheet2!H3="B2"),1.5,IF((Sheet2!H3="B3"),2,IF((Sheet2!H3="C1"),1,IF((Sheet2!H3="C2"),1.5,IF((Sheet2!H3="C3"),2,IF((Sheet2!H3="D1"),1,IF((Sheet2!H3="D2"),1.5,IF((Sheet2!H3="D3"),2,0))))))))))))</f>
        <v>1</v>
      </c>
      <c r="C8" s="215" t="s">
        <v>51</v>
      </c>
      <c r="D8" s="391">
        <v>0.15</v>
      </c>
      <c r="E8" s="391">
        <v>0.05</v>
      </c>
      <c r="F8" s="216">
        <f>(Table1[[#This Row],[Column1]]+Table1[[#This Row],[Column2]])*12*Table1[[#This Row],[عدد]]</f>
        <v>2.4000000000000004</v>
      </c>
      <c r="G8" s="211" t="s">
        <v>43</v>
      </c>
      <c r="H8" s="211">
        <v>56</v>
      </c>
      <c r="I8" s="211"/>
      <c r="J8" s="243">
        <f>H8*$H$2/1000</f>
        <v>2520</v>
      </c>
      <c r="K8" s="240">
        <f>B8*J8</f>
        <v>2520</v>
      </c>
      <c r="L8" s="241">
        <f>(K8)/$G$83</f>
        <v>0.017371050214703612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V8" s="216" t="s">
        <v>53</v>
      </c>
      <c r="W8" s="216">
        <v>1.4</v>
      </c>
      <c r="X8" s="211" t="s">
        <v>50</v>
      </c>
      <c r="Y8" s="216">
        <f>IF((تسعير!T5="A"),IF(((Table1[[#Totals],[المسطح]]+Table14[[#Totals],[Column12]]+Table16[[#Totals],[Column12]])&gt;0),(Table1[[#Totals],[المسطح]]+Table14[[#Totals],[Column12]]+Table16[[#Totals],[Column12]]+1)/Table6[[#This Row],[المعدل]]),0)</f>
        <v>8.4285714285714288</v>
      </c>
    </row>
    <row r="9" ht="24.75" customHeight="1" s="216" customFormat="1">
      <c r="A9" s="211"/>
      <c r="B9" s="212"/>
      <c r="C9" s="213" t="s">
        <v>54</v>
      </c>
      <c r="D9" s="214"/>
      <c r="E9" s="214"/>
      <c r="F9" s="216">
        <f>SUBTOTAL(109,Table1[المسطح])</f>
        <v>10.8</v>
      </c>
      <c r="G9" s="211"/>
      <c r="H9" s="211">
        <f>(H6*B6)+(H8*B8)+(H7*B7)</f>
        <v>192</v>
      </c>
      <c r="I9" s="211"/>
      <c r="J9" s="242"/>
      <c r="K9" s="240">
        <f>SUBTOTAL(109,Table1[اجمالي])</f>
        <v>8640</v>
      </c>
      <c r="L9" s="244">
        <f>Table1[[#Totals],[اجمالي]]/$G$83</f>
        <v>0.059557886450412385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V9" s="216" t="s">
        <v>56</v>
      </c>
      <c r="X9" s="216" t="s">
        <v>57</v>
      </c>
    </row>
    <row r="10" ht="21" customHeight="1" s="216" customFormat="1">
      <c r="C10" s="217"/>
      <c r="D10" s="885" t="s">
        <v>58</v>
      </c>
      <c r="E10" s="885"/>
      <c r="F10" s="885"/>
      <c r="G10" s="885"/>
      <c r="H10" s="885"/>
      <c r="I10" s="885"/>
      <c r="L10" s="402"/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  <c r="V10" s="213" t="s">
        <v>60</v>
      </c>
      <c r="W10" s="216">
        <v>1.6</v>
      </c>
      <c r="Y10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1" ht="21" customHeight="1" s="216" customFormat="1">
      <c r="A11" s="211" t="s">
        <v>27</v>
      </c>
      <c r="B11" s="211" t="s">
        <v>28</v>
      </c>
      <c r="C11" s="218" t="s">
        <v>29</v>
      </c>
      <c r="D11" s="211" t="s">
        <v>30</v>
      </c>
      <c r="E11" s="211" t="s">
        <v>9</v>
      </c>
      <c r="F11" s="211" t="s">
        <v>61</v>
      </c>
      <c r="G11" s="211" t="s">
        <v>32</v>
      </c>
      <c r="H11" s="211" t="s">
        <v>33</v>
      </c>
      <c r="I11" s="237" t="s">
        <v>34</v>
      </c>
      <c r="J11" s="211" t="s">
        <v>35</v>
      </c>
      <c r="K11" s="245" t="s">
        <v>36</v>
      </c>
      <c r="L11" s="211" t="s">
        <v>37</v>
      </c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V11" s="218" t="s">
        <v>63</v>
      </c>
      <c r="W11" s="216">
        <v>1.6</v>
      </c>
      <c r="Y11" s="216">
        <f>IF(AND((تسعير!$T$5="B"),(Table1[[#Totals],[المسطح]]+Table14[[#Totals],[Column12]]+Table16[[#Totals],[Column12]])&gt;0),(((Table1[[#Totals],[المسطح]]+Table14[[#Totals],[Column12]]+Table16[[#Totals],[Column12]])+1)/Table6[[#This Row],[المعدل]]),0)</f>
        <v>0</v>
      </c>
    </row>
    <row r="12" ht="21" customHeight="1" s="216" customFormat="1">
      <c r="A12" s="211">
        <v>5</v>
      </c>
      <c r="B12" s="212">
        <f>IF((تسعير!X8&lt;800),0,IF(AND((تسعير!X8&gt;800),(600&lt;تسعير!AA10)),1,0))</f>
        <v>0</v>
      </c>
      <c r="C12" s="213" t="s">
        <v>64</v>
      </c>
      <c r="D12" s="214">
        <v>0.14</v>
      </c>
      <c r="E12" s="214">
        <v>0.14</v>
      </c>
      <c r="F12" s="214">
        <f>(Table14[[#This Row],[Column1]]+Table14[[#This Row],[Column2]])*24*Table14[[#This Row],[عدد]]</f>
        <v>0</v>
      </c>
      <c r="G12" s="211" t="s">
        <v>65</v>
      </c>
      <c r="H12" s="211">
        <v>202</v>
      </c>
      <c r="I12" s="211">
        <f>Table14[[#This Row],[Column12]]*Table14[[#This Row],[عدد]]</f>
        <v>0</v>
      </c>
      <c r="J12" s="243">
        <f ref="J12:J13" t="shared" si="0">H12*$I$2/1000</f>
        <v>10100</v>
      </c>
      <c r="K12" s="240">
        <f ref="K12:K13" t="shared" si="1">B12*J12</f>
        <v>0</v>
      </c>
      <c r="L12" s="241">
        <f>(K12)/$G$83</f>
        <v>0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V12" s="218" t="s">
        <v>67</v>
      </c>
      <c r="W12" s="216">
        <v>0.1</v>
      </c>
      <c r="Y12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3" ht="21" customHeight="1" s="216" customFormat="1">
      <c r="A13" s="211">
        <v>6</v>
      </c>
      <c r="B13" s="212">
        <f>IF((تسعير!X8&lt;800),0,IF(AND((تسعير!X8&gt;800),(600&gt;=تسعير!AA10)),1,0))</f>
        <v>0</v>
      </c>
      <c r="C13" s="213" t="s">
        <v>68</v>
      </c>
      <c r="D13" s="214">
        <v>0.14</v>
      </c>
      <c r="E13" s="214">
        <v>0.14</v>
      </c>
      <c r="F13" s="214">
        <f>(Table14[[#This Row],[Column1]]+Table14[[#This Row],[Column2]])*12*Table14[[#This Row],[عدد]]</f>
        <v>0</v>
      </c>
      <c r="G13" s="211" t="s">
        <v>43</v>
      </c>
      <c r="H13" s="211">
        <v>101</v>
      </c>
      <c r="I13" s="211">
        <f>Table14[[#This Row],[Column12]]*Table14[[#This Row],[عدد]]</f>
        <v>0</v>
      </c>
      <c r="J13" s="243">
        <f t="shared" si="0"/>
        <v>5050</v>
      </c>
      <c r="K13" s="240">
        <f t="shared" si="1"/>
        <v>0</v>
      </c>
      <c r="L13" s="241">
        <f>(K13)/$G$83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V13" s="218" t="s">
        <v>70</v>
      </c>
      <c r="W13" s="216">
        <v>0.1</v>
      </c>
      <c r="Y13" s="216">
        <f>IF(AND((تسعير!$T$5="B"),(Table1[[#Totals],[المسطح]]+Table14[[#Totals],[Column12]]+Table16[[#Totals],[Column12]])&gt;0),(((Table1[[#Totals],[المسطح]]+Table14[[#Totals],[Column12]]+Table16[[#Totals],[Column12]])+1)*Table6[[#This Row],[المعدل]]),0)</f>
        <v>0</v>
      </c>
    </row>
    <row r="14" ht="21" customHeight="1" s="216" customFormat="1">
      <c r="A14" s="211" t="s">
        <v>54</v>
      </c>
      <c r="B14" s="212"/>
      <c r="C14" s="213" t="s">
        <v>54</v>
      </c>
      <c r="D14" s="214"/>
      <c r="E14" s="214"/>
      <c r="F14" s="214">
        <f>SUBTOTAL(109,Table14[Column12])</f>
        <v>0</v>
      </c>
      <c r="G14" s="211"/>
      <c r="H14" s="211">
        <f>H12*B12+H13*B13</f>
        <v>0</v>
      </c>
      <c r="I14" s="211"/>
      <c r="J14" s="239"/>
      <c r="K14" s="240">
        <f>SUBTOTAL(109,Table14[اجمالي])</f>
        <v>0</v>
      </c>
      <c r="L14" s="244">
        <f>Table14[[#Totals],[اجمالي]]/$G$83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</row>
    <row r="15" ht="21" customHeight="1" s="216" customFormat="1">
      <c r="C15" s="217"/>
      <c r="D15" s="885" t="s">
        <v>72</v>
      </c>
      <c r="E15" s="885"/>
      <c r="F15" s="885"/>
      <c r="G15" s="885"/>
      <c r="H15" s="885"/>
      <c r="I15" s="885"/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</row>
    <row r="16" ht="21" customHeight="1" s="216" customFormat="1">
      <c r="A16" s="211" t="s">
        <v>27</v>
      </c>
      <c r="B16" s="211" t="s">
        <v>28</v>
      </c>
      <c r="C16" s="218" t="s">
        <v>29</v>
      </c>
      <c r="D16" s="211" t="s">
        <v>30</v>
      </c>
      <c r="E16" s="211" t="s">
        <v>9</v>
      </c>
      <c r="F16" s="211" t="s">
        <v>61</v>
      </c>
      <c r="G16" s="211" t="s">
        <v>32</v>
      </c>
      <c r="H16" s="211" t="s">
        <v>33</v>
      </c>
      <c r="I16" s="211" t="s">
        <v>74</v>
      </c>
      <c r="J16" s="211" t="s">
        <v>35</v>
      </c>
      <c r="K16" s="245" t="s">
        <v>36</v>
      </c>
      <c r="L16" s="211" t="s">
        <v>37</v>
      </c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</row>
    <row r="17" ht="21" customHeight="1" s="216" customFormat="1">
      <c r="A17" s="211">
        <v>1</v>
      </c>
      <c r="B17" s="212">
        <f>IF((Sheet2!H3="A1"),1,IF((Sheet2!H3="A2"),2,IF((Sheet2!H3="A3"),3,IF((Sheet2!H3="B1"),2,IF((Sheet2!H3="B2"),2,IF((Sheet2!H3="B3"),2,IF((Sheet2!H3="C1"),2,IF((Sheet2!H3="C2"),2,IF((Sheet2!H3="C3"),2,IF((Sheet2!H3="D1"),3,IF((Sheet2!H3="D2"),3,IF((Sheet2!H3="D3"),3,0))))))))))))</f>
        <v>2</v>
      </c>
      <c r="C17" s="213" t="s">
        <v>76</v>
      </c>
      <c r="D17" s="214"/>
      <c r="E17" s="214"/>
      <c r="F17" s="214"/>
      <c r="G17" s="211" t="s">
        <v>77</v>
      </c>
      <c r="H17" s="211"/>
      <c r="I17" s="242"/>
      <c r="J17" s="247">
        <f>Sheet2!B28</f>
        <v>400</v>
      </c>
      <c r="K17" s="240">
        <f ref="K17:K26" t="shared" si="2">B17*J17</f>
        <v>800</v>
      </c>
      <c r="L17" s="241">
        <f ref="L17:L26" t="shared" si="3">(K17)/$G$83</f>
        <v>0.0055146191157789248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</row>
    <row r="18" ht="21" customHeight="1" s="216" customFormat="1">
      <c r="A18" s="211">
        <v>2</v>
      </c>
      <c r="B18" s="219">
        <f>IF((Sheet2!H3="A1"),2,IF((Sheet2!H3="A2"),3,IF((Sheet2!H3="A3"),4,IF((Sheet2!H3="B1"),2,IF((Sheet2!H3="B2"),3,IF((Sheet2!H3="B3"),4,IF((Sheet2!H3="C1"),2,IF((Sheet2!H3="C2"),3,IF((Sheet2!H3="C3"),4,IF((Sheet2!H3="D1"),2,IF((Sheet2!H3="D2"),3,IF((Sheet2!H3="D3"),4,0))))))))))))</f>
        <v>2</v>
      </c>
      <c r="C18" s="213" t="s">
        <v>79</v>
      </c>
      <c r="D18" s="214"/>
      <c r="E18" s="214"/>
      <c r="F18" s="214"/>
      <c r="G18" s="211" t="s">
        <v>80</v>
      </c>
      <c r="H18" s="211"/>
      <c r="I18" s="242"/>
      <c r="J18" s="247">
        <v>250</v>
      </c>
      <c r="K18" s="240">
        <f t="shared" si="2"/>
        <v>500</v>
      </c>
      <c r="L18" s="241">
        <f t="shared" si="3"/>
        <v>0.0034466369473618278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21" customHeight="1" s="216" customFormat="1">
      <c r="A19" s="211">
        <v>3</v>
      </c>
      <c r="B19" s="212">
        <f>IF((Sheet2!H3="A1"),3,IF((Sheet2!H3="A2"),3,IF((Sheet2!H3="A3"),4,IF((Sheet2!H3="B1"),4,IF((Sheet2!H3="B2"),4,IF((Sheet2!H3="B3"),5,IF((Sheet2!H3="C1"),4,IF((Sheet2!H3="C2"),4,IF((Sheet2!H3="C3"),5,IF((Sheet2!H3="D1"),5,IF((Sheet2!H3="D2"),5,IF((Sheet2!H3="D3"),6,0))))))))))))</f>
        <v>4</v>
      </c>
      <c r="C19" s="213" t="s">
        <v>82</v>
      </c>
      <c r="D19" s="214"/>
      <c r="E19" s="214"/>
      <c r="F19" s="214"/>
      <c r="G19" s="211" t="s">
        <v>28</v>
      </c>
      <c r="H19" s="211"/>
      <c r="I19" s="242"/>
      <c r="J19" s="247">
        <v>110</v>
      </c>
      <c r="K19" s="240">
        <f t="shared" si="2"/>
        <v>440</v>
      </c>
      <c r="L19" s="241">
        <f t="shared" si="3"/>
        <v>0.0030330405136784083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21" customHeight="1" s="216" customFormat="1">
      <c r="A20" s="211">
        <v>4</v>
      </c>
      <c r="B20" s="219">
        <f>IF((Sheet2!H3="A1"),1,IF((Sheet2!H3="A2"),1,IF((Sheet2!H3="A3"),2,IF((Sheet2!H3="B1"),1,IF((Sheet2!H3="B2"),1,IF((Sheet2!H3="B3"),2,IF((Sheet2!H3="C1"),1,IF((Sheet2!H3="C2"),1,IF((Sheet2!H3="C3"),2,IF((Sheet2!H3="D1"),1,IF((Sheet2!H3="D2"),1,IF((Sheet2!H3="D3"),2,0))))))))))))</f>
        <v>1</v>
      </c>
      <c r="C20" s="213" t="s">
        <v>84</v>
      </c>
      <c r="D20" s="214"/>
      <c r="E20" s="214"/>
      <c r="F20" s="214"/>
      <c r="G20" s="211" t="s">
        <v>28</v>
      </c>
      <c r="H20" s="211"/>
      <c r="I20" s="242"/>
      <c r="J20" s="247">
        <v>130</v>
      </c>
      <c r="K20" s="240">
        <f t="shared" si="2"/>
        <v>130</v>
      </c>
      <c r="L20" s="241">
        <f t="shared" si="3"/>
        <v>0.00089612560631407523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21" customHeight="1" s="216" customFormat="1">
      <c r="A21" s="211">
        <v>5</v>
      </c>
      <c r="B21" s="212">
        <f>IF((Sheet2!H3="A1"),12,IF((Sheet2!H3="A2"),16,IF((Sheet2!H3="A3"),22,IF((Sheet2!H3="B1"),4,IF((Sheet2!H3="B2"),6,IF((Sheet2!H3="B3"),8,IF((Sheet2!H3="C1"),12,IF((Sheet2!H3="C2"),16,IF((Sheet2!H3="C3"),22,IF((Sheet2!H3="D1"),4,IF((Sheet2!H3="D2"),6,IF((Sheet2!H3="D3"),8,0))))))))))))</f>
        <v>4</v>
      </c>
      <c r="C21" s="213" t="s">
        <v>86</v>
      </c>
      <c r="D21" s="214"/>
      <c r="E21" s="214"/>
      <c r="F21" s="214"/>
      <c r="G21" s="247" t="s">
        <v>87</v>
      </c>
      <c r="H21" s="247"/>
      <c r="I21" s="242"/>
      <c r="J21" s="247">
        <v>50</v>
      </c>
      <c r="K21" s="240">
        <f t="shared" si="2"/>
        <v>200</v>
      </c>
      <c r="L21" s="241">
        <f t="shared" si="3"/>
        <v>0.0013786547789447312</v>
      </c>
    </row>
    <row r="22" ht="21" customHeight="1" s="216" customFormat="1">
      <c r="A22" s="211">
        <v>6</v>
      </c>
      <c r="B22" s="219">
        <f>IF((Sheet2!H3="A1"),6,IF((Sheet2!H3="A2"),9,IF((Sheet2!H3="A3"),12,IF((Sheet2!H3="B1"),6,IF((Sheet2!H3="B2"),9,IF((Sheet2!H3="B3"),12,IF((Sheet2!H3="C1"),6,IF((Sheet2!H3="C2"),9,IF((Sheet2!H3="C3"),12,IF((Sheet2!H3="D1"),6,IF((Sheet2!H3="D2"),9,IF((Sheet2!H3="D3"),12,0))))))))))))</f>
        <v>6</v>
      </c>
      <c r="C22" s="213" t="s">
        <v>88</v>
      </c>
      <c r="D22" s="214"/>
      <c r="E22" s="214"/>
      <c r="F22" s="214"/>
      <c r="G22" s="247" t="s">
        <v>89</v>
      </c>
      <c r="H22" s="247"/>
      <c r="I22" s="242"/>
      <c r="J22" s="247">
        <v>10</v>
      </c>
      <c r="K22" s="240">
        <f t="shared" si="2"/>
        <v>60</v>
      </c>
      <c r="L22" s="241">
        <f t="shared" si="3"/>
        <v>0.00041359643368341932</v>
      </c>
    </row>
    <row r="23" ht="21" customHeight="1" s="216" customFormat="1">
      <c r="A23" s="211">
        <v>7</v>
      </c>
      <c r="B23" s="585">
        <f>IF(تسعير!T10=Sheet2!A3,0,(تسعير!AA10/100))</f>
        <v>0</v>
      </c>
      <c r="C23" s="215" t="s">
        <v>90</v>
      </c>
      <c r="D23" s="391"/>
      <c r="E23" s="391"/>
      <c r="F23" s="391"/>
      <c r="G23" s="248" t="s">
        <v>89</v>
      </c>
      <c r="H23" s="248"/>
      <c r="I23" s="248"/>
      <c r="J23" s="248">
        <f>Sheet2!B29</f>
        <v>700</v>
      </c>
      <c r="K23" s="240">
        <f t="shared" si="2"/>
        <v>0</v>
      </c>
      <c r="L23" s="241">
        <f t="shared" si="3"/>
        <v>0</v>
      </c>
    </row>
    <row r="24" ht="21" customHeight="1" s="216" customFormat="1">
      <c r="A24" s="211">
        <v>8</v>
      </c>
      <c r="B24" s="219">
        <f>IF((Sheet2!H3="A1"),30,IF((Sheet2!H3="A2"),40,IF((Sheet2!H3="A3"),50,IF((Sheet2!H3="B1"),30,IF((Sheet2!H3="B2"),40,IF((Sheet2!H3="B3"),50,IF((Sheet2!H3="C1"),30,IF((Sheet2!H3="C2"),40,IF((Sheet2!H3="C3"),50,IF((Sheet2!H3="D1"),30,IF((Sheet2!H3="D2"),40,IF((Sheet2!H3="D3"),50,0))))))))))))</f>
        <v>30</v>
      </c>
      <c r="C24" s="215" t="s">
        <v>91</v>
      </c>
      <c r="D24" s="391"/>
      <c r="E24" s="391"/>
      <c r="F24" s="391"/>
      <c r="G24" s="248" t="s">
        <v>92</v>
      </c>
      <c r="H24" s="248"/>
      <c r="I24" s="248"/>
      <c r="J24" s="248">
        <v>1</v>
      </c>
      <c r="K24" s="240">
        <f t="shared" si="2"/>
        <v>30</v>
      </c>
      <c r="L24" s="241">
        <f t="shared" si="3"/>
        <v>0.00020679821684170966</v>
      </c>
    </row>
    <row r="25" ht="21" customHeight="1" s="216" customFormat="1">
      <c r="A25" s="211">
        <v>15</v>
      </c>
      <c r="B25" s="212">
        <f>IF((Sheet2!H3="A1"),0,IF((Sheet2!H3="A2"),0,IF((Sheet2!H3="A3"),0,IF((Sheet2!H3="B1"),2,IF((Sheet2!H3="B2"),3,IF((Sheet2!H3="B3"),4,IF((Sheet2!H3="C1"),0,IF((Sheet2!H3="C2"),0,IF((Sheet2!H3="C3"),0,IF((Sheet2!H3="D1"),2,IF((Sheet2!H3="D2"),3,IF((Sheet2!H3="D3"),4,0))))))))))))</f>
        <v>2</v>
      </c>
      <c r="C25" s="213" t="s">
        <v>93</v>
      </c>
      <c r="D25" s="214"/>
      <c r="E25" s="214"/>
      <c r="F25" s="214"/>
      <c r="G25" s="211" t="s">
        <v>87</v>
      </c>
      <c r="H25" s="211"/>
      <c r="I25" s="242"/>
      <c r="J25" s="243">
        <f>Sheet2!B30</f>
        <v>1200</v>
      </c>
      <c r="K25" s="240">
        <f t="shared" si="2"/>
        <v>2400</v>
      </c>
      <c r="L25" s="241">
        <f t="shared" si="3"/>
        <v>0.016543857347336773</v>
      </c>
    </row>
    <row r="26" ht="21" customHeight="1" s="216" customFormat="1">
      <c r="A26" s="211">
        <v>16</v>
      </c>
      <c r="B26" s="212">
        <f>IF((Sheet2!H3="A1"),2,IF((Sheet2!H3="A2"),3,IF((Sheet2!H3="A3"),5,IF((Sheet2!H3="B1"),1,IF((Sheet2!H3="B2"),2,IF((Sheet2!H3="B3"),3,IF((Sheet2!H3="C1"),1,IF((Sheet2!H3="C2"),2,IF((Sheet2!H3="C3"),3,IF((Sheet2!H3="D1"),1,IF((Sheet2!H3="D2"),2,IF((Sheet2!H3="D3"),3,0))))))))))))</f>
        <v>1</v>
      </c>
      <c r="C26" s="213" t="s">
        <v>94</v>
      </c>
      <c r="D26" s="214"/>
      <c r="E26" s="214"/>
      <c r="F26" s="214"/>
      <c r="G26" s="211" t="s">
        <v>87</v>
      </c>
      <c r="H26" s="211"/>
      <c r="I26" s="242"/>
      <c r="J26" s="243">
        <f>Sheet2!B31</f>
        <v>450</v>
      </c>
      <c r="K26" s="240">
        <f t="shared" si="2"/>
        <v>450</v>
      </c>
      <c r="L26" s="241">
        <f t="shared" si="3"/>
        <v>0.0031019732526256449</v>
      </c>
    </row>
    <row r="27" ht="21" customHeight="1" s="216" customFormat="1">
      <c r="A27" s="211" t="s">
        <v>54</v>
      </c>
      <c r="B27" s="212"/>
      <c r="C27" s="213" t="s">
        <v>54</v>
      </c>
      <c r="D27" s="214"/>
      <c r="E27" s="214"/>
      <c r="G27" s="211"/>
      <c r="H27" s="211"/>
      <c r="I27" s="211"/>
      <c r="J27" s="242"/>
      <c r="K27" s="240">
        <f>SUBTOTAL(109,Table15[اجمالي])</f>
        <v>5010</v>
      </c>
      <c r="L27" s="244">
        <f>Table15[[#Totals],[اجمالي]]/$G$83</f>
        <v>0.034535302212565518</v>
      </c>
    </row>
    <row r="28" ht="21" customHeight="1" s="216" customFormat="1">
      <c r="C28" s="217"/>
      <c r="D28" s="885" t="s">
        <v>95</v>
      </c>
      <c r="E28" s="885"/>
      <c r="F28" s="885"/>
      <c r="G28" s="885"/>
      <c r="H28" s="885"/>
      <c r="I28" s="885"/>
    </row>
    <row r="29" ht="21" customHeight="1" s="216" customFormat="1">
      <c r="A29" s="211" t="s">
        <v>27</v>
      </c>
      <c r="B29" s="211" t="s">
        <v>28</v>
      </c>
      <c r="C29" s="218" t="s">
        <v>29</v>
      </c>
      <c r="D29" s="211" t="s">
        <v>30</v>
      </c>
      <c r="E29" s="211" t="s">
        <v>9</v>
      </c>
      <c r="F29" s="211" t="s">
        <v>61</v>
      </c>
      <c r="G29" s="211" t="s">
        <v>32</v>
      </c>
      <c r="H29" s="211" t="s">
        <v>33</v>
      </c>
      <c r="I29" s="211" t="s">
        <v>96</v>
      </c>
      <c r="J29" s="211" t="s">
        <v>35</v>
      </c>
      <c r="K29" s="245" t="s">
        <v>36</v>
      </c>
      <c r="L29" s="211" t="s">
        <v>37</v>
      </c>
    </row>
    <row r="30" ht="21" customHeight="1" s="216" customFormat="1">
      <c r="A30" s="211">
        <v>5</v>
      </c>
      <c r="B30" s="212">
        <f>IF((Sheet2!H3="A1"),2,IF((Sheet2!H3="A2"),3,IF((Sheet2!H3="A3"),4,IF((Sheet2!H3="C1"),2,IF((Sheet2!H3="C2"),3,IF((Sheet2!H3="C3"),4,0))))))</f>
        <v>0</v>
      </c>
      <c r="C30" s="213" t="s">
        <v>97</v>
      </c>
      <c r="D30" s="214">
        <v>0.4</v>
      </c>
      <c r="E30" s="214">
        <v>0.4</v>
      </c>
      <c r="F30" s="221">
        <f>(Table16[[#This Row],[Column1]]*Table16[[#This Row],[Column2]])*2*Table16[[#This Row],[عدد]]</f>
        <v>0</v>
      </c>
      <c r="G30" s="250" t="s">
        <v>80</v>
      </c>
      <c r="H30" s="211">
        <v>14</v>
      </c>
      <c r="I30" s="211"/>
      <c r="J30" s="243">
        <f ref="J30:J31" t="shared" si="4">H30*$H$2/1000</f>
        <v>630</v>
      </c>
      <c r="K30" s="240">
        <f ref="K30:K31" t="shared" si="5">B30*J30</f>
        <v>0</v>
      </c>
      <c r="L30" s="241">
        <f>(K30)/$G$83</f>
        <v>0</v>
      </c>
    </row>
    <row r="31" ht="21" customHeight="1" s="216" customFormat="1">
      <c r="A31" s="211">
        <v>8</v>
      </c>
      <c r="B31" s="212">
        <f>B30*4</f>
        <v>0</v>
      </c>
      <c r="C31" s="213" t="s">
        <v>98</v>
      </c>
      <c r="D31" s="214">
        <v>0.1</v>
      </c>
      <c r="E31" s="214">
        <v>0.1</v>
      </c>
      <c r="F31" s="221">
        <f>(Table16[[#This Row],[Column1]]*Table16[[#This Row],[Column2]])*Table16[[#This Row],[عدد]]</f>
        <v>0</v>
      </c>
      <c r="G31" s="211" t="s">
        <v>80</v>
      </c>
      <c r="H31" s="211">
        <v>1</v>
      </c>
      <c r="I31" s="211"/>
      <c r="J31" s="243">
        <f t="shared" si="4"/>
        <v>45</v>
      </c>
      <c r="K31" s="240">
        <f t="shared" si="5"/>
        <v>0</v>
      </c>
      <c r="L31" s="251">
        <f>(K31)/$G$83</f>
        <v>0</v>
      </c>
    </row>
    <row r="32" ht="21" customHeight="1" s="216" customFormat="1">
      <c r="A32" s="211" t="s">
        <v>54</v>
      </c>
      <c r="B32" s="212">
        <f>SUBTOTAL(103,Table16[عدد])</f>
        <v>2</v>
      </c>
      <c r="C32" s="213" t="s">
        <v>54</v>
      </c>
      <c r="D32" s="214"/>
      <c r="E32" s="214"/>
      <c r="F32" s="216">
        <f>SUBTOTAL(109,Table16[Column12])</f>
        <v>0</v>
      </c>
      <c r="G32" s="211"/>
      <c r="H32" s="211">
        <f>H30*B30+H31*B31</f>
        <v>0</v>
      </c>
      <c r="I32" s="211"/>
      <c r="J32" s="242"/>
      <c r="K32" s="240">
        <f>SUBTOTAL(109,Table16[اجمالي])</f>
        <v>0</v>
      </c>
      <c r="L32" s="244">
        <f>Table16[[#Totals],[اجمالي]]/$G$83</f>
        <v>0</v>
      </c>
    </row>
    <row r="33" ht="21" customHeight="1" s="216" customFormat="1">
      <c r="C33" s="217"/>
      <c r="D33" s="885" t="s">
        <v>99</v>
      </c>
      <c r="E33" s="885"/>
      <c r="F33" s="885"/>
      <c r="G33" s="885"/>
      <c r="H33" s="885"/>
      <c r="I33" s="885"/>
    </row>
    <row r="34" ht="21" customHeight="1" s="216" customFormat="1">
      <c r="A34" s="211" t="s">
        <v>27</v>
      </c>
      <c r="B34" s="211" t="s">
        <v>28</v>
      </c>
      <c r="C34" s="218" t="s">
        <v>29</v>
      </c>
      <c r="D34" s="211" t="s">
        <v>30</v>
      </c>
      <c r="E34" s="211" t="s">
        <v>9</v>
      </c>
      <c r="F34" s="211" t="s">
        <v>61</v>
      </c>
      <c r="G34" s="211" t="s">
        <v>32</v>
      </c>
      <c r="H34" s="211" t="s">
        <v>33</v>
      </c>
      <c r="I34" s="211" t="s">
        <v>74</v>
      </c>
      <c r="J34" s="211" t="s">
        <v>35</v>
      </c>
      <c r="K34" s="245" t="s">
        <v>36</v>
      </c>
      <c r="L34" s="211" t="s">
        <v>37</v>
      </c>
    </row>
    <row r="35" ht="21" customHeight="1" s="216" customFormat="1">
      <c r="A35" s="211">
        <v>2</v>
      </c>
      <c r="B35" s="219">
        <v>5</v>
      </c>
      <c r="C35" s="218" t="s">
        <v>100</v>
      </c>
      <c r="D35" s="211"/>
      <c r="E35" s="211"/>
      <c r="F35" s="211"/>
      <c r="G35" s="211" t="s">
        <v>101</v>
      </c>
      <c r="H35" s="211"/>
      <c r="I35" s="211"/>
      <c r="J35" s="248">
        <v>15</v>
      </c>
      <c r="K35" s="240">
        <f ref="K35:K43" t="shared" si="6">B35*J35</f>
        <v>75</v>
      </c>
      <c r="L35" s="241">
        <f ref="L35:L48" t="shared" si="7">(K35)/$G$83</f>
        <v>0.00051699554210427414</v>
      </c>
    </row>
    <row r="36" ht="21" customHeight="1" s="216" customFormat="1">
      <c r="A36" s="211">
        <v>3</v>
      </c>
      <c r="B36" s="212">
        <v>5</v>
      </c>
      <c r="C36" s="218" t="s">
        <v>102</v>
      </c>
      <c r="D36" s="211"/>
      <c r="E36" s="211"/>
      <c r="F36" s="211"/>
      <c r="G36" s="211" t="s">
        <v>101</v>
      </c>
      <c r="H36" s="211"/>
      <c r="I36" s="211"/>
      <c r="J36" s="248">
        <v>15</v>
      </c>
      <c r="K36" s="240">
        <f t="shared" si="6"/>
        <v>75</v>
      </c>
      <c r="L36" s="241">
        <f t="shared" si="7"/>
        <v>0.00051699554210427414</v>
      </c>
    </row>
    <row r="37" ht="21" customHeight="1" s="216" customFormat="1">
      <c r="A37" s="211">
        <v>4</v>
      </c>
      <c r="B37" s="219">
        <v>5</v>
      </c>
      <c r="C37" s="213" t="s">
        <v>103</v>
      </c>
      <c r="D37" s="214"/>
      <c r="E37" s="214"/>
      <c r="F37" s="214"/>
      <c r="G37" s="211" t="s">
        <v>104</v>
      </c>
      <c r="H37" s="211"/>
      <c r="I37" s="211"/>
      <c r="J37" s="248">
        <v>25</v>
      </c>
      <c r="K37" s="240">
        <f t="shared" si="6"/>
        <v>125</v>
      </c>
      <c r="L37" s="241">
        <f t="shared" si="7"/>
        <v>0.00086165923684045694</v>
      </c>
    </row>
    <row r="38" ht="21" customHeight="1" s="216" customFormat="1">
      <c r="A38" s="211">
        <v>5</v>
      </c>
      <c r="B38" s="212">
        <v>5</v>
      </c>
      <c r="C38" s="213" t="s">
        <v>105</v>
      </c>
      <c r="D38" s="214"/>
      <c r="E38" s="214"/>
      <c r="F38" s="214"/>
      <c r="G38" s="211" t="s">
        <v>104</v>
      </c>
      <c r="H38" s="211"/>
      <c r="I38" s="211"/>
      <c r="J38" s="248">
        <v>150</v>
      </c>
      <c r="K38" s="240">
        <f t="shared" si="6"/>
        <v>750</v>
      </c>
      <c r="L38" s="241">
        <f t="shared" si="7"/>
        <v>0.0051699554210427419</v>
      </c>
    </row>
    <row r="39" ht="21" customHeight="1" s="216" customFormat="1">
      <c r="A39" s="211">
        <v>6</v>
      </c>
      <c r="B39" s="219">
        <v>5</v>
      </c>
      <c r="C39" s="213" t="s">
        <v>106</v>
      </c>
      <c r="D39" s="214"/>
      <c r="E39" s="214"/>
      <c r="F39" s="214"/>
      <c r="G39" s="211" t="s">
        <v>80</v>
      </c>
      <c r="H39" s="211"/>
      <c r="I39" s="211"/>
      <c r="J39" s="248">
        <v>40</v>
      </c>
      <c r="K39" s="240">
        <f t="shared" si="6"/>
        <v>200</v>
      </c>
      <c r="L39" s="241">
        <f t="shared" si="7"/>
        <v>0.0013786547789447312</v>
      </c>
    </row>
    <row r="40" ht="21" customHeight="1" s="216" customFormat="1">
      <c r="A40" s="211">
        <v>1</v>
      </c>
      <c r="B40" s="222">
        <f>Y7/3</f>
        <v>1.9666666666666668</v>
      </c>
      <c r="C40" s="213" t="s">
        <v>107</v>
      </c>
      <c r="D40" s="214"/>
      <c r="E40" s="214"/>
      <c r="F40" s="214"/>
      <c r="G40" s="211" t="s">
        <v>108</v>
      </c>
      <c r="H40" s="211"/>
      <c r="I40" s="211"/>
      <c r="J40" s="248">
        <f>Sheet2!B24</f>
        <v>400</v>
      </c>
      <c r="K40" s="240">
        <f t="shared" si="6"/>
        <v>786.66666666666674</v>
      </c>
      <c r="L40" s="241">
        <f t="shared" si="7"/>
        <v>0.00542270879718261</v>
      </c>
    </row>
    <row r="41" ht="21" customHeight="1" s="216" customFormat="1">
      <c r="A41" s="211">
        <v>7</v>
      </c>
      <c r="B41" s="222">
        <f>Y6/1.9</f>
        <v>3.2142857142857149</v>
      </c>
      <c r="C41" s="213" t="s">
        <v>45</v>
      </c>
      <c r="D41" s="214"/>
      <c r="E41" s="214"/>
      <c r="F41" s="214"/>
      <c r="G41" s="211" t="s">
        <v>109</v>
      </c>
      <c r="H41" s="211"/>
      <c r="I41" s="211"/>
      <c r="J41" s="248">
        <f>Sheet2!B25</f>
        <v>95</v>
      </c>
      <c r="K41" s="240">
        <f t="shared" si="6"/>
        <v>305.35714285714289</v>
      </c>
      <c r="L41" s="241">
        <f t="shared" si="7"/>
        <v>0.0021049104214245452</v>
      </c>
    </row>
    <row r="42" ht="21" customHeight="1" s="216" customFormat="1">
      <c r="A42" s="211">
        <v>8</v>
      </c>
      <c r="B42" s="222">
        <f>Y5</f>
        <v>8.4285714285714288</v>
      </c>
      <c r="C42" s="213" t="s">
        <v>110</v>
      </c>
      <c r="D42" s="214"/>
      <c r="E42" s="214"/>
      <c r="F42" s="214"/>
      <c r="G42" s="211" t="s">
        <v>80</v>
      </c>
      <c r="H42" s="211"/>
      <c r="I42" s="211"/>
      <c r="J42" s="248">
        <f>Sheet2!B26</f>
        <v>220</v>
      </c>
      <c r="K42" s="240">
        <f t="shared" si="6"/>
        <v>1854.2857142857145</v>
      </c>
      <c r="L42" s="241">
        <f t="shared" si="7"/>
        <v>0.012782099307644722</v>
      </c>
    </row>
    <row r="43" ht="21" customHeight="1" s="216" customFormat="1">
      <c r="A43" s="211">
        <v>9</v>
      </c>
      <c r="B43" s="222">
        <f>Y8</f>
        <v>8.4285714285714288</v>
      </c>
      <c r="C43" s="213" t="s">
        <v>111</v>
      </c>
      <c r="D43" s="214"/>
      <c r="E43" s="214"/>
      <c r="F43" s="214"/>
      <c r="G43" s="211" t="s">
        <v>80</v>
      </c>
      <c r="H43" s="211"/>
      <c r="I43" s="211"/>
      <c r="J43" s="248">
        <f>Sheet2!B27</f>
        <v>510</v>
      </c>
      <c r="K43" s="240">
        <f t="shared" si="6"/>
        <v>4298.5714285714284</v>
      </c>
      <c r="L43" s="241">
        <f t="shared" si="7"/>
        <v>0.029631230213176398</v>
      </c>
    </row>
    <row r="44" ht="21" customHeight="1" s="216" customFormat="1">
      <c r="A44" s="211">
        <v>10</v>
      </c>
      <c r="B44" s="212">
        <f>IF((تسعير!T5="جلفنة و جوتن"),(Table1[[#Totals],[الوزن]]+Table16[[#Totals],[الوزن]]+Table14[[#Totals],[الوزن]]),0)</f>
        <v>0</v>
      </c>
      <c r="C44" s="213" t="s">
        <v>112</v>
      </c>
      <c r="D44" s="214"/>
      <c r="E44" s="214"/>
      <c r="F44" s="214"/>
      <c r="G44" s="211"/>
      <c r="H44" s="211"/>
      <c r="I44" s="211"/>
      <c r="J44" s="248">
        <v>30</v>
      </c>
      <c r="K44" s="240">
        <f ref="K44:K48" t="shared" si="8">B44*J44</f>
        <v>0</v>
      </c>
      <c r="L44" s="251">
        <f t="shared" si="7"/>
        <v>0</v>
      </c>
    </row>
    <row r="45" ht="21" customHeight="1" s="216" customFormat="1">
      <c r="A45" s="211">
        <v>11</v>
      </c>
      <c r="B45" s="212">
        <f>IF(AND((Y10&gt;0),(Y10&lt;=5)),5,IF(AND((Y10&gt;5),(Y10&lt;=10)),10,IF(AND((Y10&gt;10),(Y10&lt;=15)),15,IF(AND((Y10&gt;15),(Y10&lt;=20)),20,IF(AND((Y10&gt;20),(Y10&lt;=25)),25,IF(AND((Y10&gt;25),(Y10&lt;=30)),30,IF(AND((Y10&gt;30),(Y10&lt;=35)),35,IF(AND((Y10&gt;35),(Y10&lt;=40)),40,IF(AND((Y10&gt;40),(Y10&lt;=45)),45,IF(AND((Y10&gt;45),(Y10&lt;=50)),50,IF(AND((Y10&gt;50),(Y10&lt;=55)),55,IF(AND((Y10&gt;55),(Y10&lt;=60)),60,0))))))))))))</f>
        <v>0</v>
      </c>
      <c r="C45" s="213" t="s">
        <v>113</v>
      </c>
      <c r="D45" s="214"/>
      <c r="E45" s="214"/>
      <c r="F45" s="214"/>
      <c r="G45" s="211" t="s">
        <v>114</v>
      </c>
      <c r="H45" s="211"/>
      <c r="I45" s="211"/>
      <c r="J45" s="248">
        <f>Sheet2!B18</f>
        <v>360</v>
      </c>
      <c r="K45" s="240">
        <f t="shared" si="8"/>
        <v>0</v>
      </c>
      <c r="L45" s="251">
        <f t="shared" si="7"/>
        <v>0</v>
      </c>
    </row>
    <row r="46" ht="21" customHeight="1" s="216" customFormat="1">
      <c r="A46" s="211">
        <v>13</v>
      </c>
      <c r="B46" s="212">
        <f>IF(AND((Y11&gt;0),(Y11&lt;=5)),5,IF(AND((Y11&gt;5),(Y11&lt;=10)),10,IF(AND((Y11&gt;10),(Y11&lt;=15)),15,IF(AND((Y11&gt;15),(Y11&lt;=20)),20,IF(AND((Y11&gt;20),(Y11&lt;=25)),25,IF(AND((Y11&gt;25),(Y11&lt;=30)),30,IF(AND((Y11&gt;30),(Y11&lt;=35)),35,IF(AND((Y11&gt;35),(Y11&lt;=40)),40,IF(AND((Y11&gt;40),(Y11&lt;=45)),45,IF(AND((Y11&gt;45),(Y11&lt;=50)),50,IF(AND((Y11&gt;50),(Y11&lt;=55)),55,IF(AND((Y11&gt;55),(Y11&lt;=60)),60,0))))))))))))</f>
        <v>0</v>
      </c>
      <c r="C46" s="218" t="s">
        <v>115</v>
      </c>
      <c r="D46" s="214"/>
      <c r="E46" s="214"/>
      <c r="F46" s="214"/>
      <c r="G46" s="218" t="s">
        <v>116</v>
      </c>
      <c r="H46" s="211"/>
      <c r="I46" s="211"/>
      <c r="J46" s="248">
        <f>Sheet2!B20</f>
        <v>435</v>
      </c>
      <c r="K46" s="240">
        <f t="shared" si="8"/>
        <v>0</v>
      </c>
      <c r="L46" s="251">
        <f t="shared" si="7"/>
        <v>0</v>
      </c>
    </row>
    <row r="47" ht="21" customHeight="1" s="216" customFormat="1">
      <c r="A47" s="211">
        <v>15</v>
      </c>
      <c r="B47" s="212">
        <f>IF(AND((Y12&gt;0),(Y12&lt;=5)),5,IF(AND((Y12&gt;5),(Y12&lt;=10)),10,IF(AND((Y12&gt;10),(Y12&lt;=15)),15,IF(AND((Y12&gt;15),(Y12&lt;=20)),20,IF(AND((Y12&gt;20),(Y12&lt;=25)),25,IF(AND((Y12&gt;25),(Y12&lt;=30)),30,IF(AND((Y12&gt;30),(Y12&lt;=35)),35,IF(AND((Y12&gt;35),(Y12&lt;=40)),40,IF(AND((Y12&gt;40),(Y12&lt;=45)),45,IF(AND((Y12&gt;45),(Y12&lt;=50)),50,IF(AND((Y12&gt;50),(Y12&lt;=55)),55,IF(AND((Y12&gt;55),(Y12&lt;=60)),60,0))))))))))))</f>
        <v>0</v>
      </c>
      <c r="C47" s="218" t="s">
        <v>67</v>
      </c>
      <c r="D47" s="214"/>
      <c r="E47" s="214"/>
      <c r="F47" s="214"/>
      <c r="G47" s="218" t="s">
        <v>117</v>
      </c>
      <c r="H47" s="211"/>
      <c r="I47" s="211"/>
      <c r="J47" s="248">
        <f>Sheet2!B22</f>
        <v>190</v>
      </c>
      <c r="K47" s="240">
        <f t="shared" si="8"/>
        <v>0</v>
      </c>
      <c r="L47" s="251">
        <f t="shared" si="7"/>
        <v>0</v>
      </c>
    </row>
    <row r="48" ht="21" customHeight="1" s="216" customFormat="1">
      <c r="A48" s="211">
        <v>16</v>
      </c>
      <c r="B48" s="212">
        <f>IF(AND((Y13&gt;0),(Y13&lt;=5)),5,IF(AND((Y13&gt;5),(Y13&lt;=10)),10,IF(AND((Y13&gt;10),(Y13&lt;=15)),15,IF(AND((Y13&gt;15),(Y13&lt;=20)),20,IF(AND((Y13&gt;20),(Y13&lt;=25)),25,IF(AND((Y13&gt;25),(Y13&lt;=30)),30,IF(AND((Y13&gt;30),(Y13&lt;=35)),35,IF(AND((Y13&gt;35),(Y13&lt;=40)),40,IF(AND((Y13&gt;40),(Y13&lt;=45)),45,IF(AND((Y13&gt;45),(Y13&lt;=50)),50,IF(AND((Y13&gt;50),(Y13&lt;=55)),55,IF(AND((Y13&gt;55),(Y13&lt;=60)),60,0))))))))))))</f>
        <v>0</v>
      </c>
      <c r="C48" s="218" t="s">
        <v>70</v>
      </c>
      <c r="D48" s="214"/>
      <c r="E48" s="214"/>
      <c r="F48" s="214"/>
      <c r="G48" s="218" t="s">
        <v>117</v>
      </c>
      <c r="H48" s="211"/>
      <c r="I48" s="211"/>
      <c r="J48" s="248">
        <f>Sheet2!B23</f>
        <v>190</v>
      </c>
      <c r="K48" s="240">
        <f t="shared" si="8"/>
        <v>0</v>
      </c>
      <c r="L48" s="251">
        <f t="shared" si="7"/>
        <v>0</v>
      </c>
    </row>
    <row r="49" ht="21" customHeight="1" s="216" customFormat="1">
      <c r="A49" s="211" t="s">
        <v>54</v>
      </c>
      <c r="B49" s="212"/>
      <c r="C49" s="213" t="s">
        <v>54</v>
      </c>
      <c r="D49" s="214"/>
      <c r="E49" s="214"/>
      <c r="F49" s="214"/>
      <c r="G49" s="211" t="s">
        <v>118</v>
      </c>
      <c r="H49" s="211"/>
      <c r="I49" s="211"/>
      <c r="J49" s="242"/>
      <c r="K49" s="240">
        <f>SUBTOTAL(109,Table13[اجمالي])</f>
        <v>8469.8809523809523</v>
      </c>
      <c r="L49" s="244">
        <f>Table13[[#Totals],[اجمالي]]/$G$83</f>
        <v>0.058385209260464754</v>
      </c>
    </row>
    <row r="50" ht="21" customHeight="1" s="216" customFormat="1">
      <c r="A50" s="211"/>
      <c r="B50" s="212"/>
      <c r="C50" s="213"/>
      <c r="D50" s="214"/>
      <c r="E50" s="214"/>
      <c r="F50" s="214"/>
      <c r="G50" s="211"/>
      <c r="H50" s="211"/>
      <c r="I50" s="211"/>
      <c r="J50" s="242"/>
      <c r="K50" s="240"/>
      <c r="L50" s="244"/>
    </row>
    <row r="51" ht="21" customHeight="1" s="216" customFormat="1">
      <c r="C51" s="217"/>
      <c r="D51" s="885" t="s">
        <v>119</v>
      </c>
      <c r="E51" s="885"/>
      <c r="F51" s="885"/>
      <c r="G51" s="885"/>
      <c r="H51" s="885"/>
      <c r="I51" s="885"/>
    </row>
    <row r="52" ht="21" customHeight="1" s="216" customFormat="1">
      <c r="A52" s="211" t="s">
        <v>27</v>
      </c>
      <c r="B52" s="211" t="s">
        <v>28</v>
      </c>
      <c r="C52" s="218" t="s">
        <v>29</v>
      </c>
      <c r="D52" s="211" t="s">
        <v>30</v>
      </c>
      <c r="E52" s="211" t="s">
        <v>9</v>
      </c>
      <c r="F52" s="211" t="s">
        <v>61</v>
      </c>
      <c r="G52" s="211" t="s">
        <v>32</v>
      </c>
      <c r="H52" s="211" t="s">
        <v>33</v>
      </c>
      <c r="I52" s="211" t="s">
        <v>74</v>
      </c>
      <c r="J52" s="211" t="s">
        <v>35</v>
      </c>
      <c r="K52" s="245" t="s">
        <v>36</v>
      </c>
      <c r="L52" s="211" t="s">
        <v>37</v>
      </c>
    </row>
    <row r="53" ht="21" customHeight="1" s="216" customFormat="1">
      <c r="A53" s="211">
        <v>1</v>
      </c>
      <c r="B53" s="219">
        <f>IF((Sheet2!H3="A1"),3,IF((Sheet2!H3="A2"),4,IF((Sheet2!H3="A3"),5,IF((Sheet2!H3="B1"),3,IF((Sheet2!H3="B2"),4,IF((Sheet2!H3="B3"),5,IF((Sheet2!H3="C1"),3,IF((Sheet2!H3="C2"),4,IF((Sheet2!H3="C3"),5,IF((Sheet2!H3="D1"),3,IF((Sheet2!H3="D2"),4,IF((Sheet2!H3="D3"),5,0))))))))))))</f>
        <v>3</v>
      </c>
      <c r="C53" s="214" t="s">
        <v>120</v>
      </c>
      <c r="D53" s="214"/>
      <c r="E53" s="214"/>
      <c r="F53" s="214"/>
      <c r="G53" s="398" t="s">
        <v>43</v>
      </c>
      <c r="H53" s="211">
        <v>1.75</v>
      </c>
      <c r="I53" s="247">
        <f>J2/1000</f>
        <v>252</v>
      </c>
      <c r="J53" s="403">
        <f>Table1610[[#This Row],[سعر الكيلو]]*Table1610[[#This Row],[الوزن]]</f>
        <v>441</v>
      </c>
      <c r="K53" s="240">
        <f>B53*J53</f>
        <v>1323</v>
      </c>
      <c r="L53" s="241">
        <f>(Table1610[[#This Row],[اجمالي]])/$G$83</f>
        <v>0.0091198013627193965</v>
      </c>
    </row>
    <row r="54" ht="21" customHeight="1" s="216" customFormat="1">
      <c r="A54" s="211">
        <v>3</v>
      </c>
      <c r="B54" s="219">
        <f>IF((Sheet2!H3="A1"),0.25,IF((Sheet2!H3="A2"),0.5,IF((Sheet2!H3="A3"),1,IF((Sheet2!H3="B1"),0.25,IF((Sheet2!H3="B2"),0.5,IF((Sheet2!H3="B3"),1,IF((Sheet2!H3="C1"),0.25,IF((Sheet2!H3="C2"),0.5,IF((Sheet2!H3="C3"),1,IF((Sheet2!H3="D1"),0.25,IF((Sheet2!H3="D2"),0.5,IF((Sheet2!H3="D3"),1,0))))))))))))</f>
        <v>0.25</v>
      </c>
      <c r="C54" s="214" t="s">
        <v>121</v>
      </c>
      <c r="D54" s="214"/>
      <c r="E54" s="214"/>
      <c r="F54" s="214"/>
      <c r="G54" s="398" t="s">
        <v>122</v>
      </c>
      <c r="H54" s="211"/>
      <c r="I54" s="247"/>
      <c r="J54" s="403">
        <f>Sheet2!B32</f>
        <v>8000</v>
      </c>
      <c r="K54" s="240">
        <f>B54*J54</f>
        <v>2000</v>
      </c>
      <c r="L54" s="241">
        <f>(Table1610[[#This Row],[اجمالي]])/$G$83</f>
        <v>0.013786547789447311</v>
      </c>
    </row>
    <row r="55" ht="21" customHeight="1" s="216" customFormat="1">
      <c r="A55" s="211" t="s">
        <v>54</v>
      </c>
      <c r="B55" s="219"/>
      <c r="C55" s="214" t="s">
        <v>54</v>
      </c>
      <c r="D55" s="214"/>
      <c r="E55" s="214"/>
      <c r="F55" s="214">
        <f>SUBTOTAL(109,Table1610[Column12])</f>
        <v>0</v>
      </c>
      <c r="G55" s="399"/>
      <c r="H55" s="211"/>
      <c r="I55" s="247"/>
      <c r="J55" s="403"/>
      <c r="K55" s="240">
        <f>SUBTOTAL(109,Table1610[اجمالي])</f>
        <v>3323</v>
      </c>
      <c r="L55" s="244">
        <f>Table1610[[#Totals],[اجمالي]]/$G$83</f>
        <v>0.022906349152166706</v>
      </c>
      <c r="N55" s="207"/>
      <c r="O55" s="207"/>
      <c r="P55" s="207"/>
      <c r="Q55" s="207"/>
      <c r="R55" s="207"/>
      <c r="S55" s="207"/>
      <c r="T55" s="207"/>
    </row>
    <row r="56" ht="21" customHeight="1" s="216" customFormat="1">
      <c r="C56" s="217"/>
      <c r="D56" s="885" t="s">
        <v>123</v>
      </c>
      <c r="E56" s="885"/>
      <c r="F56" s="885"/>
      <c r="G56" s="885"/>
      <c r="H56" s="885"/>
      <c r="I56" s="885"/>
      <c r="N56" s="207"/>
      <c r="O56" s="207"/>
      <c r="P56" s="207"/>
      <c r="Q56" s="207"/>
      <c r="R56" s="207"/>
      <c r="S56" s="207"/>
      <c r="T56" s="207"/>
    </row>
    <row r="57" ht="21" customHeight="1" s="216" customFormat="1">
      <c r="A57" s="211" t="s">
        <v>27</v>
      </c>
      <c r="B57" s="211" t="s">
        <v>28</v>
      </c>
      <c r="C57" s="214" t="s">
        <v>124</v>
      </c>
      <c r="D57" s="211" t="s">
        <v>61</v>
      </c>
      <c r="E57" s="211" t="s">
        <v>9</v>
      </c>
      <c r="F57" s="400" t="s">
        <v>125</v>
      </c>
      <c r="G57" s="216" t="s">
        <v>126</v>
      </c>
      <c r="H57" s="401" t="s">
        <v>127</v>
      </c>
      <c r="I57" s="211" t="s">
        <v>30</v>
      </c>
      <c r="J57" s="211" t="s">
        <v>128</v>
      </c>
      <c r="K57" s="245" t="s">
        <v>36</v>
      </c>
      <c r="L57" s="211" t="s">
        <v>37</v>
      </c>
      <c r="N57" s="207"/>
      <c r="O57" s="207"/>
      <c r="P57" s="207"/>
      <c r="Q57" s="207"/>
      <c r="R57" s="207"/>
      <c r="S57" s="207"/>
      <c r="T57" s="207"/>
      <c r="V57" s="207"/>
      <c r="W57" s="207"/>
      <c r="X57" s="207"/>
      <c r="Y57" s="207"/>
    </row>
    <row r="58" ht="21" customHeight="1" s="216" customFormat="1">
      <c r="A58" s="211">
        <v>1</v>
      </c>
      <c r="B58" s="586">
        <f>IF(تسعير!T10=Sheet2!A3,0,1)</f>
        <v>0</v>
      </c>
      <c r="C58" s="214" t="s">
        <v>129</v>
      </c>
      <c r="D58" s="214"/>
      <c r="E58" s="211"/>
      <c r="F58" s="214"/>
      <c r="G58" s="214"/>
      <c r="H58" s="398">
        <f>'Cutting Ro-1'!$O$7</f>
        <v>3701.4811466796359</v>
      </c>
      <c r="I58" s="247"/>
      <c r="J58" s="403">
        <f>IF((Table1611[[#This Row],[عدد]]&gt;0),'Cutting Ro-1'!O8,0)</f>
        <v>0</v>
      </c>
      <c r="K58" s="240">
        <f>B58*Table1611[[#This Row],[سعر البرجولا كاملة]]</f>
        <v>0</v>
      </c>
      <c r="L58" s="241">
        <f>(K58)/$G$83</f>
        <v>0</v>
      </c>
      <c r="N58" s="207"/>
      <c r="O58" s="207"/>
      <c r="P58" s="207"/>
      <c r="Q58" s="207"/>
      <c r="R58" s="207"/>
      <c r="S58" s="207"/>
      <c r="T58" s="207"/>
      <c r="V58" s="207"/>
      <c r="W58" s="207"/>
      <c r="X58" s="207"/>
      <c r="Y58" s="207"/>
    </row>
    <row r="59" ht="21" customHeight="1" s="216" customFormat="1">
      <c r="A59" s="577"/>
      <c r="B59" s="586">
        <f>IF(تسعير!T10=Sheet2!A3,1,0)</f>
        <v>1</v>
      </c>
      <c r="C59" s="573" t="s">
        <v>130</v>
      </c>
      <c r="D59" s="573"/>
      <c r="E59" s="577"/>
      <c r="F59" s="578"/>
      <c r="G59" s="578"/>
      <c r="H59" s="398">
        <f>'Cutting Ro-1'!$O$7</f>
        <v>3701.4811466796359</v>
      </c>
      <c r="I59" s="579"/>
      <c r="J59" s="580">
        <f>IF((Table1611[[#This Row],[عدد]]&gt;0),'Cutting Ro-1'!O8,0)</f>
        <v>59223.698346874175</v>
      </c>
      <c r="K59" s="581">
        <f>B59*Table1611[[#This Row],[سعر البرجولا كاملة]]</f>
        <v>59223.698346874175</v>
      </c>
      <c r="L59" s="241">
        <f ref="L59:L60" t="shared" si="9">(K59)/$G$83</f>
        <v>0.40824517376349628</v>
      </c>
      <c r="N59" s="207"/>
      <c r="O59" s="207"/>
      <c r="P59" s="207"/>
      <c r="Q59" s="207"/>
      <c r="R59" s="207"/>
      <c r="S59" s="207"/>
      <c r="T59" s="207"/>
      <c r="V59" s="207"/>
      <c r="W59" s="207"/>
      <c r="X59" s="207"/>
      <c r="Y59" s="207"/>
    </row>
    <row r="60" ht="21" customHeight="1" s="216" customFormat="1">
      <c r="A60" s="211">
        <v>4</v>
      </c>
      <c r="B60" s="212">
        <f>IF((F79="الاسكندرية"),0.25,0.1)</f>
        <v>0.1</v>
      </c>
      <c r="C60" s="213" t="s">
        <v>131</v>
      </c>
      <c r="D60" s="214"/>
      <c r="E60" s="211"/>
      <c r="G60" s="214"/>
      <c r="H60" s="211"/>
      <c r="I60" s="247"/>
      <c r="J60" s="248">
        <f>(K58)+K59</f>
        <v>59223.698346874175</v>
      </c>
      <c r="K60" s="240">
        <f>B60*Table1611[[#This Row],[سعر البرجولا كاملة]]</f>
        <v>5922.369834687418</v>
      </c>
      <c r="L60" s="241">
        <f t="shared" si="9"/>
        <v>0.04082451737634963</v>
      </c>
      <c r="N60" s="207"/>
      <c r="O60" s="207"/>
      <c r="P60" s="207"/>
      <c r="Q60" s="207"/>
      <c r="R60" s="207"/>
      <c r="S60" s="207"/>
      <c r="T60" s="207"/>
      <c r="V60" s="207"/>
      <c r="W60" s="207"/>
      <c r="X60" s="207"/>
      <c r="Y60" s="207"/>
    </row>
    <row r="61" ht="21" customHeight="1" s="216" customFormat="1">
      <c r="A61" s="572" t="s">
        <v>54</v>
      </c>
      <c r="B61" s="571"/>
      <c r="C61" s="550" t="s">
        <v>54</v>
      </c>
      <c r="D61" s="574">
        <f>SUBTOTAL(109,Table1611[Column12])</f>
        <v>0</v>
      </c>
      <c r="E61" s="572"/>
      <c r="F61" s="573"/>
      <c r="G61" s="573"/>
      <c r="H61" s="572"/>
      <c r="I61" s="572"/>
      <c r="J61" s="242"/>
      <c r="K61" s="575">
        <f>SUBTOTAL(109,Table1611[اجمالي])</f>
        <v>65146.06818156159</v>
      </c>
      <c r="L61" s="576">
        <f>Table1611[[#Totals],[اجمالي]]/$G$83</f>
        <v>0.44906969113984585</v>
      </c>
      <c r="N61" s="207"/>
      <c r="O61" s="207"/>
      <c r="P61" s="207"/>
      <c r="Q61" s="207"/>
      <c r="R61" s="207"/>
      <c r="S61" s="207"/>
      <c r="T61" s="207"/>
      <c r="V61" s="207"/>
      <c r="W61" s="207"/>
      <c r="X61" s="207"/>
      <c r="Y61" s="207"/>
    </row>
    <row r="62" ht="21" customHeight="1" s="216" customFormat="1">
      <c r="N62" s="207"/>
      <c r="O62" s="207"/>
      <c r="P62" s="207"/>
      <c r="Q62" s="207"/>
      <c r="R62" s="207"/>
      <c r="S62" s="207"/>
      <c r="T62" s="207"/>
      <c r="V62" s="207"/>
      <c r="W62" s="207"/>
      <c r="X62" s="207"/>
      <c r="Y62" s="207"/>
    </row>
    <row r="65" ht="18">
      <c r="A65" s="216"/>
      <c r="B65" s="216"/>
      <c r="C65" s="217"/>
      <c r="D65" s="885" t="s">
        <v>132</v>
      </c>
      <c r="E65" s="885"/>
      <c r="F65" s="885"/>
      <c r="G65" s="885"/>
      <c r="H65" s="885"/>
      <c r="I65" s="885"/>
      <c r="J65" s="216"/>
      <c r="K65" s="216"/>
      <c r="L65" s="216"/>
    </row>
    <row r="66" ht="18">
      <c r="A66" s="211" t="s">
        <v>27</v>
      </c>
      <c r="B66" s="211" t="s">
        <v>28</v>
      </c>
      <c r="C66" s="218" t="s">
        <v>29</v>
      </c>
      <c r="D66" s="211" t="s">
        <v>133</v>
      </c>
      <c r="E66" s="211" t="s">
        <v>12</v>
      </c>
      <c r="F66" s="211" t="s">
        <v>134</v>
      </c>
      <c r="G66" s="211" t="s">
        <v>135</v>
      </c>
      <c r="H66" s="211" t="s">
        <v>61</v>
      </c>
      <c r="I66" s="211" t="s">
        <v>136</v>
      </c>
      <c r="J66" s="211" t="s">
        <v>137</v>
      </c>
      <c r="K66" s="245" t="s">
        <v>36</v>
      </c>
      <c r="L66" s="211" t="s">
        <v>37</v>
      </c>
    </row>
    <row r="67" ht="18">
      <c r="A67" s="211">
        <v>1</v>
      </c>
      <c r="B67" s="219">
        <v>4</v>
      </c>
      <c r="C67" s="220" t="s">
        <v>138</v>
      </c>
      <c r="D67" s="211">
        <f>IF((Table1612[[#This Row],[موقع العمل]]="المصنع"),280,IF((Table1612[[#This Row],[موقع العمل]]="الاسكندرية"),320,400))</f>
        <v>280</v>
      </c>
      <c r="E67" s="211">
        <f>SUMIF(Table17[Column1],Table1612[[#This Row],[موقع العمل]],$Q$2:$Q$20)</f>
        <v>0</v>
      </c>
      <c r="F67" s="211" t="s">
        <v>139</v>
      </c>
      <c r="G67" s="214" t="s">
        <v>39</v>
      </c>
      <c r="H67" s="216"/>
      <c r="I67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7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7" s="240">
        <f ref="K67:K79" t="shared" si="10">B67*J67</f>
        <v>1120</v>
      </c>
      <c r="L67" s="241">
        <f ref="L67:L79" t="shared" si="11">(K67)/$G$83</f>
        <v>0.0077204667620904945</v>
      </c>
    </row>
    <row r="68" ht="18">
      <c r="A68" s="211">
        <v>2</v>
      </c>
      <c r="B68" s="219">
        <v>3</v>
      </c>
      <c r="C68" s="220" t="s">
        <v>140</v>
      </c>
      <c r="D68" s="211">
        <f>IF((Table1612[[#This Row],[موقع العمل]]="المصنع"),280,IF((Table1612[[#This Row],[موقع العمل]]="الاسكندرية"),320,400))</f>
        <v>280</v>
      </c>
      <c r="E68" s="211">
        <f>SUMIF(Table17[Column1],Table1612[[#This Row],[موقع العمل]],$Q$2:$Q$20)</f>
        <v>0</v>
      </c>
      <c r="F68" s="211" t="s">
        <v>139</v>
      </c>
      <c r="G68" s="214" t="s">
        <v>39</v>
      </c>
      <c r="H68" s="216"/>
      <c r="I68" s="243">
        <f>IF((Sheet2!$H$3="A1"),1,IF((Sheet2!$H$3="A2"),1,IF((Sheet2!$H$3="A3"),1,IF((Sheet2!$H$3="B1"),1,IF((Sheet2!$H$3="B2"),1,IF((Sheet2!$H$3="B3"),1,IF((Sheet2!$H$3="C1"),1,IF((Sheet2!$H$3="C2"),1,IF((Sheet2!$H$3="C3"),1,IF((Sheet2!$H$3="D1"),1,IF((Sheet2!$H$3="D2"),1,IF((Sheet2!$H$3="D3"),1,0))))))))))))</f>
        <v>1</v>
      </c>
      <c r="J68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68" s="240">
        <f t="shared" si="10"/>
        <v>840</v>
      </c>
      <c r="L68" s="241">
        <f t="shared" si="11"/>
        <v>0.0057903500715678711</v>
      </c>
    </row>
    <row r="69" ht="18">
      <c r="A69" s="211">
        <v>3</v>
      </c>
      <c r="B69" s="219">
        <v>3</v>
      </c>
      <c r="C69" s="220" t="s">
        <v>141</v>
      </c>
      <c r="D69" s="211">
        <f>IF((Table1612[[#This Row],[موقع العمل]]="المصنع"),280,IF((Table1612[[#This Row],[موقع العمل]]="الاسكندرية"),320,400))</f>
        <v>280</v>
      </c>
      <c r="E69" s="211">
        <f>SUMIF(Table17[Column1],Table1612[[#This Row],[موقع العمل]],$Q$2:$Q$20)</f>
        <v>0</v>
      </c>
      <c r="F69" s="211" t="s">
        <v>139</v>
      </c>
      <c r="G69" s="214" t="s">
        <v>39</v>
      </c>
      <c r="H69" s="216"/>
      <c r="I69" s="243">
        <f>IF((Sheet2!$H$3="A1"),2,IF((Sheet2!$H$3="A2"),2,IF((Sheet2!$H$3="A3"),3,IF((Sheet2!$H$3="B1"),2,IF((Sheet2!$H$3="B2"),2,IF((Sheet2!$H$3="B3"),3,IF((Sheet2!$H$3="C1"),3,IF((Sheet2!$H$3="C2"),3,IF((Sheet2!$H$3="C3"),3,IF((Sheet2!$H$3="D1"),3,IF((Sheet2!$H$3="D2"),3,IF((Sheet2!$H$3="D3"),3,0))))))))))))</f>
        <v>2</v>
      </c>
      <c r="J69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560</v>
      </c>
      <c r="K69" s="240">
        <f t="shared" si="10"/>
        <v>1680</v>
      </c>
      <c r="L69" s="241">
        <f t="shared" si="11"/>
        <v>0.011580700143135742</v>
      </c>
    </row>
    <row r="70" ht="18">
      <c r="A70" s="211">
        <v>4</v>
      </c>
      <c r="B70" s="212">
        <v>3</v>
      </c>
      <c r="C70" s="220" t="s">
        <v>142</v>
      </c>
      <c r="D70" s="211">
        <f>IF((Table1612[[#This Row],[موقع العمل]]="المصنع"),280,IF((Table1612[[#This Row],[موقع العمل]]="الاسكندرية"),320,400))</f>
        <v>280</v>
      </c>
      <c r="E70" s="211">
        <f>SUMIF(Table17[Column1],Table1612[[#This Row],[موقع العمل]],$Q$2:$Q$20)</f>
        <v>0</v>
      </c>
      <c r="F70" s="211" t="s">
        <v>139</v>
      </c>
      <c r="G70" s="214" t="s">
        <v>39</v>
      </c>
      <c r="H70" s="216"/>
      <c r="I70" s="243">
        <f>IF((Sheet2!$H$3="A1"),1,IF((Sheet2!$H$3="A2"),1.5,IF((Sheet2!$H$3="A3"),2,IF((Sheet2!$H$3="B1"),1,IF((Sheet2!$H$3="B2"),1.5,IF((Sheet2!$H$3="B3"),2,IF((Sheet2!$H$3="C1"),1,IF((Sheet2!$H$3="C2"),2,IF((Sheet2!$H$3="C3"),2,IF((Sheet2!$H$3="D1"),1,IF((Sheet2!$H$3="D2"),2,IF((Sheet2!$H$3="D3"),2,0))))))))))))</f>
        <v>1</v>
      </c>
      <c r="J70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280</v>
      </c>
      <c r="K70" s="240">
        <f t="shared" si="10"/>
        <v>840</v>
      </c>
      <c r="L70" s="241">
        <f t="shared" si="11"/>
        <v>0.0057903500715678711</v>
      </c>
    </row>
    <row r="71" ht="18">
      <c r="A71" s="211">
        <v>5</v>
      </c>
      <c r="B71" s="212">
        <v>4</v>
      </c>
      <c r="C71" s="220" t="s">
        <v>143</v>
      </c>
      <c r="D71" s="211">
        <f>IF((Table1612[[#This Row],[موقع العمل]]="المصنع"),280,IF((Table1612[[#This Row],[موقع العمل]]="الاسكندرية"),320,400))</f>
        <v>400</v>
      </c>
      <c r="E71" s="211">
        <f>SUMIF(Table17[Column1],Table1612[[#This Row],[موقع العمل]],$Q$2:$Q$20)</f>
        <v>100</v>
      </c>
      <c r="F71" s="211" t="str">
        <f>تسعير!$T$4</f>
        <v>الشيخ زايد</v>
      </c>
      <c r="G71" s="214" t="s">
        <v>39</v>
      </c>
      <c r="H71" s="216"/>
      <c r="I71" s="243">
        <f>IF((Sheet2!$H$3="A1"),2,IF((Sheet2!$H$3="A2"),2,IF((Sheet2!$H$3="A3"),2,IF((Sheet2!$H$3="B1"),3,IF((Sheet2!$H$3="B2"),3,IF((Sheet2!$H$3="B3"),3,IF((Sheet2!$H$3="C1"),2,IF((Sheet2!$H$3="C2"),3,IF((Sheet2!$H$3="C3"),3,IF((Sheet2!$H$3="D1"),3,IF((Sheet2!$H$3="D2"),3,IF((Sheet2!$H$3="D3"),3,0))))))))))))</f>
        <v>3</v>
      </c>
      <c r="J71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1" s="240">
        <f t="shared" si="10"/>
        <v>6000</v>
      </c>
      <c r="L71" s="241">
        <f t="shared" si="11"/>
        <v>0.041359643368341935</v>
      </c>
    </row>
    <row r="72" ht="18">
      <c r="A72" s="211">
        <v>6</v>
      </c>
      <c r="B72" s="212">
        <v>3</v>
      </c>
      <c r="C72" s="220" t="s">
        <v>144</v>
      </c>
      <c r="D72" s="211">
        <f>IF((Table1612[[#This Row],[موقع العمل]]="المصنع"),280,IF((Table1612[[#This Row],[موقع العمل]]="الاسكندرية"),320,400))</f>
        <v>400</v>
      </c>
      <c r="E72" s="211">
        <f>SUMIF(Table17[Column1],Table1612[[#This Row],[موقع العمل]],$Q$2:$Q$20)</f>
        <v>100</v>
      </c>
      <c r="F72" s="211" t="str">
        <f>تسعير!$T$4</f>
        <v>الشيخ زايد</v>
      </c>
      <c r="G72" s="214" t="s">
        <v>39</v>
      </c>
      <c r="H72" s="216"/>
      <c r="I72" s="243">
        <f>IF((Sheet2!$H$3="A1"),3,IF((Sheet2!$H$3="A2"),3,IF((Sheet2!$H$3="A3"),3,IF((Sheet2!$H$3="B1"),3,IF((Sheet2!$H$3="B2"),3,IF((Sheet2!$H$3="B3"),3,IF((Sheet2!$H$3="C1"),3,IF((Sheet2!$H$3="C2"),3,IF((Sheet2!$H$3="C3"),4,IF((Sheet2!$H$3="D1"),3,IF((Sheet2!$H$3="D2"),3,IF((Sheet2!$H$3="D3"),4,0))))))))))))</f>
        <v>3</v>
      </c>
      <c r="J72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1500</v>
      </c>
      <c r="K72" s="240">
        <f t="shared" si="10"/>
        <v>4500</v>
      </c>
      <c r="L72" s="241">
        <f t="shared" si="11"/>
        <v>0.031019732526256449</v>
      </c>
    </row>
    <row r="73" ht="18">
      <c r="A73" s="211">
        <v>7</v>
      </c>
      <c r="B73" s="212">
        <v>0</v>
      </c>
      <c r="C73" s="220" t="s">
        <v>145</v>
      </c>
      <c r="D73" s="211">
        <f>IF((Table1612[[#This Row],[موقع العمل]]="المصنع"),280,IF((Table1612[[#This Row],[موقع العمل]]="الاسكندرية"),320,400))</f>
        <v>400</v>
      </c>
      <c r="E73" s="211">
        <f>SUMIF(Table17[Column1],Table1612[[#This Row],[موقع العمل]],$Q$2:$Q$20)</f>
        <v>100</v>
      </c>
      <c r="F73" s="211" t="str">
        <f>تسعير!$T$4</f>
        <v>الشيخ زايد</v>
      </c>
      <c r="G73" s="214" t="s">
        <v>39</v>
      </c>
      <c r="H73" s="216"/>
      <c r="I73" s="243"/>
      <c r="J73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0</v>
      </c>
      <c r="K73" s="240">
        <f t="shared" si="10"/>
        <v>0</v>
      </c>
      <c r="L73" s="241">
        <f t="shared" si="11"/>
        <v>0</v>
      </c>
    </row>
    <row r="74" ht="18">
      <c r="A74" s="211">
        <v>8</v>
      </c>
      <c r="B74" s="212">
        <v>4</v>
      </c>
      <c r="C74" s="220" t="s">
        <v>146</v>
      </c>
      <c r="D74" s="211">
        <f>IF((Table1612[[#This Row],[موقع العمل]]="المصنع"),280,IF((Table1612[[#This Row],[موقع العمل]]="الاسكندرية"),320,400))</f>
        <v>400</v>
      </c>
      <c r="E74" s="211">
        <f>SUMIF(Table17[Column1],Table1612[[#This Row],[موقع العمل]],$Q$2:$Q$20)</f>
        <v>100</v>
      </c>
      <c r="F74" s="211" t="str">
        <f>تسعير!$T$4</f>
        <v>الشيخ زايد</v>
      </c>
      <c r="G74" s="214" t="s">
        <v>39</v>
      </c>
      <c r="H74" s="216"/>
      <c r="I74" s="243">
        <f>IF((Sheet2!$H$3="A1"),2,IF((Sheet2!$H$3="A2"),3,IF((Sheet2!$H$3="A3"),3,IF((Sheet2!$H$3="B1"),2,IF((Sheet2!$H$3="B2"),3,IF((Sheet2!$H$3="B3"),3,IF((Sheet2!$H$3="C1"),2,IF((Sheet2!$H$3="C2"),3,IF((Sheet2!$H$3="C3"),3,IF((Sheet2!$H$3="D1"),2,IF((Sheet2!$H$3="D2"),3,IF((Sheet2!$H$3="D3"),3,0))))))))))))</f>
        <v>2</v>
      </c>
      <c r="J74" s="243">
        <f>IF(Table1612[[#This Row],[عدد الايام]]=0,0,IF((Table1612[[#This Row],[شيفت العمل]]="صباحي"),((Table1612[[#This Row],[بدل الوجبة]]+Table1612[[#This Row],[اليومية / الاجرة]])*Table1612[[#This Row],[عدد الايام]]),IF((Table1612[[#This Row],[شيفت العمل]]="ليلي"),(((Table1612[[#This Row],[بدل الوجبة]]+Table1612[[#This Row],[اليومية / الاجرة]])*Table1612[[#This Row],[عدد الايام]])+Table1612[[#This Row],[اليومية / الاجرة]]),"ERROR")))</f>
        <v>1000</v>
      </c>
      <c r="K74" s="240">
        <f t="shared" si="10"/>
        <v>4000</v>
      </c>
      <c r="L74" s="241">
        <f t="shared" si="11"/>
        <v>0.027573095578894622</v>
      </c>
    </row>
    <row r="75" ht="18">
      <c r="A75" s="211">
        <v>9</v>
      </c>
      <c r="B75" s="212">
        <f>(B71+B72+B73+B74)*2</f>
        <v>22</v>
      </c>
      <c r="C75" s="220" t="s">
        <v>147</v>
      </c>
      <c r="D75" s="211"/>
      <c r="E75" s="211"/>
      <c r="F75" s="211" t="str">
        <f>تسعير!$T$4</f>
        <v>الشيخ زايد</v>
      </c>
      <c r="G75" s="214"/>
      <c r="H75" s="247">
        <f>SUMIF(Table17[Column1],Table1612[[#This Row],[موقع العمل]],$O$2:$O$20)</f>
        <v>400</v>
      </c>
      <c r="I75" s="247"/>
      <c r="J75" s="243">
        <f>Table1612[[#This Row],[Column12]]</f>
        <v>400</v>
      </c>
      <c r="K75" s="240">
        <f t="shared" si="10"/>
        <v>8800</v>
      </c>
      <c r="L75" s="241">
        <f t="shared" si="11"/>
        <v>0.060660810273568171</v>
      </c>
    </row>
    <row r="76" ht="18">
      <c r="A76" s="211">
        <v>10</v>
      </c>
      <c r="B76" s="212">
        <f>((I71+I72+I73+I74)*2)-2</f>
        <v>14</v>
      </c>
      <c r="C76" s="220" t="s">
        <v>148</v>
      </c>
      <c r="D76" s="211"/>
      <c r="E76" s="211"/>
      <c r="F76" s="211" t="str">
        <f>تسعير!$T$4</f>
        <v>الشيخ زايد</v>
      </c>
      <c r="G76" s="214"/>
      <c r="H76" s="247">
        <f>SUMIF(Table17[Column1],Table1612[[#This Row],[موقع العمل]],$P$2:$P$20)</f>
        <v>400</v>
      </c>
      <c r="I76" s="247"/>
      <c r="J76" s="243">
        <f>Table1612[[#This Row],[Column12]]</f>
        <v>400</v>
      </c>
      <c r="K76" s="240">
        <f t="shared" si="10"/>
        <v>5600</v>
      </c>
      <c r="L76" s="241">
        <f t="shared" si="11"/>
        <v>0.038602333810452472</v>
      </c>
    </row>
    <row r="77" ht="18">
      <c r="A77" s="211">
        <v>11</v>
      </c>
      <c r="B77" s="212">
        <v>2</v>
      </c>
      <c r="C77" s="220" t="s">
        <v>149</v>
      </c>
      <c r="D77" s="211"/>
      <c r="E77" s="211"/>
      <c r="F77" s="211" t="str">
        <f>تسعير!$T$4</f>
        <v>الشيخ زايد</v>
      </c>
      <c r="G77" s="214"/>
      <c r="H77" s="247">
        <f>SUMIF(Table17[Column1],Table1612[[#This Row],[موقع العمل]],$R$2:$R$20)</f>
        <v>3500</v>
      </c>
      <c r="I77" s="247"/>
      <c r="J77" s="243">
        <f>Table1612[[#This Row],[Column12]]</f>
        <v>3500</v>
      </c>
      <c r="K77" s="240">
        <f t="shared" si="10"/>
        <v>7000</v>
      </c>
      <c r="L77" s="241">
        <f t="shared" si="11"/>
        <v>0.048252917263065589</v>
      </c>
    </row>
    <row r="78" ht="18">
      <c r="A78" s="211">
        <v>12</v>
      </c>
      <c r="B78" s="212">
        <v>2</v>
      </c>
      <c r="C78" s="220" t="s">
        <v>150</v>
      </c>
      <c r="D78" s="211"/>
      <c r="E78" s="211"/>
      <c r="F78" s="211" t="str">
        <f>تسعير!$T$4</f>
        <v>الشيخ زايد</v>
      </c>
      <c r="G78" s="214"/>
      <c r="H78" s="247">
        <f>SUMIF(Table17[Column1],Table1612[[#This Row],[موقع العمل]],$S$2:$S$20)</f>
        <v>6000</v>
      </c>
      <c r="I78" s="247"/>
      <c r="J78" s="243">
        <f>Table1612[[#This Row],[Column12]]</f>
        <v>6000</v>
      </c>
      <c r="K78" s="240">
        <f t="shared" si="10"/>
        <v>12000</v>
      </c>
      <c r="L78" s="241">
        <f t="shared" si="11"/>
        <v>0.08271928673668387</v>
      </c>
    </row>
    <row r="79" ht="18">
      <c r="A79" s="211">
        <v>13</v>
      </c>
      <c r="B79" s="212">
        <f>B76</f>
        <v>14</v>
      </c>
      <c r="C79" s="220" t="s">
        <v>15</v>
      </c>
      <c r="D79" s="211"/>
      <c r="E79" s="211"/>
      <c r="F79" s="211" t="str">
        <f>تسعير!$T$4</f>
        <v>الشيخ زايد</v>
      </c>
      <c r="G79" s="214"/>
      <c r="H79" s="247">
        <f>SUMIF(Table17[Column1],Table1612[[#This Row],[موقع العمل]],$T$2:$T$20)</f>
        <v>150</v>
      </c>
      <c r="I79" s="247"/>
      <c r="J79" s="243">
        <f>Table1612[[#This Row],[Column12]]</f>
        <v>150</v>
      </c>
      <c r="K79" s="240">
        <f t="shared" si="10"/>
        <v>2100</v>
      </c>
      <c r="L79" s="241">
        <f t="shared" si="11"/>
        <v>0.014475875178919677</v>
      </c>
    </row>
    <row r="80" ht="18">
      <c r="A80" s="572" t="s">
        <v>54</v>
      </c>
      <c r="B80" s="571"/>
      <c r="C80" s="550" t="s">
        <v>54</v>
      </c>
      <c r="D80" s="572"/>
      <c r="E80" s="572"/>
      <c r="F80" s="573"/>
      <c r="G80" s="573"/>
      <c r="H80" s="574">
        <f>SUBTOTAL(109,Table1612[Column12])</f>
        <v>10450</v>
      </c>
      <c r="I80" s="572"/>
      <c r="J80" s="242"/>
      <c r="K80" s="575">
        <f>SUBTOTAL(109,Table1612[اجمالي])</f>
        <v>54480</v>
      </c>
      <c r="L80" s="576">
        <f>Table1612[[#Totals],[اجمالي]]/$G$83</f>
        <v>0.37554556178454473</v>
      </c>
    </row>
    <row r="81" ht="18">
      <c r="A81" s="211"/>
      <c r="B81" s="212"/>
      <c r="H81" s="211"/>
      <c r="I81" s="211"/>
      <c r="J81" s="243"/>
      <c r="K81" s="282"/>
      <c r="L81" s="283"/>
    </row>
    <row r="82" ht="18">
      <c r="A82" s="211"/>
      <c r="B82" s="219"/>
      <c r="C82" s="218" t="s">
        <v>9</v>
      </c>
      <c r="D82" s="211" t="s">
        <v>151</v>
      </c>
      <c r="E82" s="211" t="s">
        <v>152</v>
      </c>
      <c r="F82" s="211" t="s">
        <v>96</v>
      </c>
      <c r="G82" s="211" t="s">
        <v>30</v>
      </c>
      <c r="H82" s="211"/>
      <c r="I82" s="211"/>
      <c r="J82" s="243"/>
      <c r="K82" s="282"/>
      <c r="L82" s="283"/>
    </row>
    <row r="83" ht="18">
      <c r="A83" s="211"/>
      <c r="B83" s="212"/>
      <c r="C83" s="213" t="s">
        <v>153</v>
      </c>
      <c r="D83" s="214"/>
      <c r="E83" s="211"/>
      <c r="F83" s="280"/>
      <c r="G83" s="281">
        <f>Table1612[[#Totals],[اجمالي]]+Table1611[[#Totals],[اجمالي]]+Table1610[[#Totals],[اجمالي]]+Table13[[#Totals],[اجمالي]]+Table16[[#Totals],[اجمالي]]+Table15[[#Totals],[اجمالي]]+Table14[[#Totals],[اجمالي]]+Table1[[#Totals],[اجمالي]]</f>
        <v>145068.94913394254</v>
      </c>
      <c r="H83" s="211"/>
      <c r="I83" s="242"/>
      <c r="J83" s="243"/>
      <c r="K83" s="282"/>
      <c r="L83" s="283"/>
    </row>
    <row r="84" ht="18">
      <c r="A84" s="211"/>
      <c r="B84" s="219"/>
      <c r="C84" s="213" t="s">
        <v>154</v>
      </c>
      <c r="D84" s="214"/>
      <c r="E84" s="211"/>
      <c r="F84" s="310">
        <f>IF((F79="المقطم"),0.3,IF((F79="التجمع"),0.3,IF((F79="الشيخ زايد"),0.3,IF((F79="الاسكندرية"),0.5,IF((F79="الساحل"),0.5,0.35)))))</f>
        <v>0.3</v>
      </c>
      <c r="G84" s="281">
        <f>G83*(1+Table18[[#This Row],[Column3]])</f>
        <v>188589.63387412531</v>
      </c>
      <c r="H84" s="211"/>
      <c r="I84" s="242"/>
      <c r="J84" s="247"/>
      <c r="K84" s="282"/>
      <c r="L84" s="283"/>
    </row>
    <row r="85" ht="18">
      <c r="A85" s="211"/>
      <c r="B85" s="212"/>
      <c r="H85" s="211"/>
      <c r="I85" s="211"/>
      <c r="J85" s="242"/>
      <c r="K85" s="282"/>
      <c r="L85" s="216"/>
    </row>
  </sheetData>
  <sheetProtection selectLockedCells="1" selectUnlockedCells="1"/>
  <mergeCells>
    <mergeCell ref="D65:I65"/>
    <mergeCell ref="A3:B3"/>
    <mergeCell ref="G3:I3"/>
    <mergeCell ref="D4:I4"/>
    <mergeCell ref="D10:I10"/>
    <mergeCell ref="D15:I15"/>
    <mergeCell ref="A1:C2"/>
    <mergeCell ref="D28:I28"/>
    <mergeCell ref="D33:I33"/>
    <mergeCell ref="D51:I51"/>
    <mergeCell ref="D56:I56"/>
  </mergeCells>
  <dataValidations disablePrompts="1" count="2">
    <dataValidation type="list" allowBlank="1" showInputMessage="1" showErrorMessage="1" sqref="F71:F79" xr:uid="{00000000-0002-0000-0200-000000000000}">
      <formula1>$N$2:$N$20</formula1>
    </dataValidation>
    <dataValidation type="list" allowBlank="1" showInputMessage="1" showErrorMessage="1" sqref="G67:G79" xr:uid="{00000000-0002-0000-0200-000001000000}">
      <formula1>$U$4:$U$5</formula1>
    </dataValidation>
  </dataValidations>
  <printOptions horizontalCentered="1" verticalCentered="1"/>
  <pageMargins left="0" right="0" top="0" bottom="0" header="0" footer="0"/>
  <pageSetup paperSize="9" scale="29" orientation="portrait"/>
  <headerFooter/>
  <legacyDrawing r:id="rId2"/>
  <tableParts count="11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</tableParts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3">
    <pageSetUpPr fitToPage="1"/>
  </sheetPr>
  <dimension ref="A1:AB90"/>
  <sheetViews>
    <sheetView rightToLeft="1" view="pageBreakPreview" topLeftCell="A53" zoomScale="70" zoomScaleNormal="55" zoomScaleSheetLayoutView="70" workbookViewId="0">
      <selection activeCell="D69" sqref="D69:D76"/>
    </sheetView>
  </sheetViews>
  <sheetFormatPr defaultColWidth="9.109375" defaultRowHeight="14.4"/>
  <cols>
    <col min="1" max="1" width="4.5546875" customWidth="1" style="207"/>
    <col min="2" max="2" width="14.109375" customWidth="1" style="207"/>
    <col min="3" max="3" width="45.109375" customWidth="1" style="361"/>
    <col min="4" max="4" width="10.109375" customWidth="1" style="207"/>
    <col min="5" max="6" width="9.44140625" customWidth="1" style="207"/>
    <col min="7" max="7" width="17.33203125" customWidth="1" style="233"/>
    <col min="8" max="8" width="14.109375" customWidth="1" style="396"/>
    <col min="9" max="9" hidden="1" width="14.88671875" customWidth="1" style="233"/>
    <col min="10" max="10" width="16" customWidth="1" style="233"/>
    <col min="11" max="11" width="15.44140625" customWidth="1" style="233"/>
    <col min="12" max="12" width="11" customWidth="1" style="233"/>
    <col min="13" max="13" width="9.109375" customWidth="1" style="207"/>
    <col min="14" max="14" width="17.88671875" customWidth="1" style="207"/>
    <col min="15" max="23" width="9.109375" customWidth="1" style="207"/>
    <col min="24" max="24" width="9.109375" customWidth="1" style="207"/>
    <col min="25" max="25" width="40.33203125" customWidth="1" style="207"/>
    <col min="26" max="26" width="11.44140625" customWidth="1" style="207"/>
    <col min="27" max="27" width="19.6640625" customWidth="1" style="207"/>
    <col min="28" max="28" width="14" customWidth="1" style="207"/>
    <col min="29" max="16384" width="9.109375" customWidth="1" style="207"/>
  </cols>
  <sheetData>
    <row r="1" ht="16.5" customHeight="1">
      <c r="A1" s="879" t="s">
        <v>0</v>
      </c>
      <c r="B1" s="880"/>
      <c r="C1" s="881"/>
      <c r="D1" s="201" t="s">
        <v>1</v>
      </c>
      <c r="E1" s="202" t="s">
        <v>2</v>
      </c>
      <c r="F1" s="223" t="s">
        <v>3</v>
      </c>
      <c r="G1" s="224" t="s">
        <v>4</v>
      </c>
      <c r="H1" s="224" t="s">
        <v>5</v>
      </c>
      <c r="I1" s="224" t="s">
        <v>6</v>
      </c>
      <c r="J1" s="224" t="s">
        <v>7</v>
      </c>
      <c r="K1" s="392" t="s">
        <v>8</v>
      </c>
      <c r="N1" s="207" t="s">
        <v>9</v>
      </c>
      <c r="O1" s="207" t="s">
        <v>10</v>
      </c>
      <c r="P1" s="207" t="s">
        <v>11</v>
      </c>
      <c r="Q1" s="207" t="s">
        <v>12</v>
      </c>
      <c r="R1" s="207" t="s">
        <v>13</v>
      </c>
      <c r="S1" s="207" t="s">
        <v>14</v>
      </c>
      <c r="T1" s="207" t="s">
        <v>15</v>
      </c>
    </row>
    <row r="2" ht="16.5" customHeight="1">
      <c r="A2" s="882"/>
      <c r="B2" s="883"/>
      <c r="C2" s="884"/>
      <c r="D2" s="203"/>
      <c r="E2" s="204"/>
      <c r="F2" s="228">
        <f>D2*E2</f>
        <v>0</v>
      </c>
      <c r="G2" s="229" t="e">
        <f>G86/F2</f>
        <v>#DIV/0!</v>
      </c>
      <c r="H2" s="230">
        <f>Sheet2!B12</f>
        <v>45000</v>
      </c>
      <c r="I2" s="231">
        <f>Sheet2!B13</f>
        <v>50000</v>
      </c>
      <c r="J2" s="232">
        <f>Sheet2!B14</f>
        <v>252000</v>
      </c>
      <c r="K2" s="232">
        <f>Sheet2!B15</f>
        <v>70000</v>
      </c>
      <c r="N2" s="216" t="s">
        <v>16</v>
      </c>
      <c r="O2" s="216">
        <v>0</v>
      </c>
      <c r="P2" s="216">
        <v>0</v>
      </c>
      <c r="Q2" s="216">
        <v>0</v>
      </c>
      <c r="R2" s="216">
        <v>1000</v>
      </c>
      <c r="S2" s="216">
        <v>2000</v>
      </c>
      <c r="T2" s="216">
        <v>0</v>
      </c>
    </row>
    <row r="3" ht="29.25" customHeight="1">
      <c r="A3" s="886" t="s">
        <v>17</v>
      </c>
      <c r="B3" s="887"/>
      <c r="C3" s="397"/>
      <c r="F3" s="234" t="s">
        <v>18</v>
      </c>
      <c r="G3" s="888">
        <f>NOW()</f>
        <v>46132.450658564812</v>
      </c>
      <c r="H3" s="889"/>
      <c r="I3" s="889"/>
      <c r="J3" s="235"/>
      <c r="K3" s="235"/>
      <c r="L3" s="235"/>
      <c r="N3" s="216" t="s">
        <v>19</v>
      </c>
      <c r="O3" s="216">
        <v>180</v>
      </c>
      <c r="P3" s="216">
        <v>300</v>
      </c>
      <c r="Q3" s="216">
        <v>125</v>
      </c>
      <c r="R3" s="216">
        <v>3000</v>
      </c>
      <c r="S3" s="216">
        <v>5000</v>
      </c>
      <c r="T3" s="216">
        <v>1000</v>
      </c>
    </row>
    <row r="4" ht="18.75" customHeight="1">
      <c r="A4" s="208"/>
      <c r="B4" s="208"/>
      <c r="C4" s="209"/>
      <c r="D4" s="885" t="s">
        <v>20</v>
      </c>
      <c r="E4" s="885"/>
      <c r="F4" s="885"/>
      <c r="G4" s="885"/>
      <c r="H4" s="885"/>
      <c r="I4" s="885"/>
      <c r="J4" s="236"/>
      <c r="K4" s="236"/>
      <c r="L4" s="236"/>
      <c r="N4" s="216" t="s">
        <v>21</v>
      </c>
      <c r="O4" s="216">
        <v>400</v>
      </c>
      <c r="P4" s="216">
        <v>400</v>
      </c>
      <c r="Q4" s="216">
        <v>100</v>
      </c>
      <c r="R4" s="216">
        <v>3500</v>
      </c>
      <c r="S4" s="216">
        <v>6000</v>
      </c>
      <c r="T4" s="216">
        <v>150</v>
      </c>
      <c r="U4" s="207" t="s">
        <v>22</v>
      </c>
      <c r="Y4" s="207" t="s">
        <v>23</v>
      </c>
      <c r="Z4" s="207" t="s">
        <v>24</v>
      </c>
      <c r="AA4" s="207" t="s">
        <v>25</v>
      </c>
      <c r="AB4" s="207" t="s">
        <v>26</v>
      </c>
    </row>
    <row r="5" ht="16.5" customHeight="1">
      <c r="A5" s="208" t="s">
        <v>27</v>
      </c>
      <c r="B5" s="208" t="s">
        <v>28</v>
      </c>
      <c r="C5" s="210" t="s">
        <v>29</v>
      </c>
      <c r="D5" s="208" t="s">
        <v>30</v>
      </c>
      <c r="E5" s="208" t="s">
        <v>9</v>
      </c>
      <c r="F5" s="208" t="s">
        <v>31</v>
      </c>
      <c r="G5" s="237" t="s">
        <v>32</v>
      </c>
      <c r="H5" s="237" t="s">
        <v>33</v>
      </c>
      <c r="I5" s="237" t="s">
        <v>155</v>
      </c>
      <c r="J5" s="237" t="s">
        <v>35</v>
      </c>
      <c r="K5" s="238" t="s">
        <v>36</v>
      </c>
      <c r="L5" s="237" t="s">
        <v>37</v>
      </c>
      <c r="N5" s="216" t="s">
        <v>38</v>
      </c>
      <c r="O5" s="216">
        <v>400</v>
      </c>
      <c r="P5" s="216">
        <v>400</v>
      </c>
      <c r="Q5" s="216">
        <v>100</v>
      </c>
      <c r="R5" s="216">
        <v>3500</v>
      </c>
      <c r="S5" s="216">
        <v>6000</v>
      </c>
      <c r="T5" s="216">
        <v>150</v>
      </c>
      <c r="U5" s="207" t="s">
        <v>39</v>
      </c>
      <c r="Y5" s="233" t="s">
        <v>40</v>
      </c>
      <c r="Z5" s="233">
        <v>1.4</v>
      </c>
      <c r="AA5" s="237" t="s">
        <v>41</v>
      </c>
      <c r="AB5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12</v>
      </c>
    </row>
    <row r="6" ht="21" customHeight="1" s="216" customFormat="1">
      <c r="A6" s="211">
        <v>1</v>
      </c>
      <c r="B6" s="212">
        <f>IF((Table2020[Column2]="G1"),8,IF((Table2020[Column2]="G2"),13,IF((Table2020[Column2]="G3"),17,IF((Table2020[Column2]="E1"),2,IF((Table2020[Column2]="E2"),4,IF((Table2020[Column2]="E3"),5,IF((Table2020[Column2]="H1"),8,IF((Table2020[Column2]="H2"),13,IF((Table2020[Column2]="H3"),17,IF((Table2020[Column2]="F1"),2,IF((Table2020[Column2]="F2"),4,IF((Table2020[Column2]="F3"),5,IF((Table2020[Column2]="I1"),2,IF((Table2020[Column2]="I2"),4,IF((Table2020[Column2]="I3"),5,IF((Table2020[Column2]="J1"),8,IF((Table2020[Column2]="J2"),13,IF((Table2020[Column2]="J3"),17,0))))))))))))))))))</f>
        <v>2</v>
      </c>
      <c r="C6" s="215" t="s">
        <v>42</v>
      </c>
      <c r="D6" s="214">
        <v>0.03</v>
      </c>
      <c r="E6" s="214">
        <v>0.03</v>
      </c>
      <c r="F6" s="214">
        <f>(Table118[[#This Row],[Column1]]+Table118[[#This Row],[Column2]])*12*Table118[[#This Row],[عدد]]</f>
        <v>1.44</v>
      </c>
      <c r="G6" s="242" t="s">
        <v>43</v>
      </c>
      <c r="H6" s="211">
        <v>8.5</v>
      </c>
      <c r="I6" s="211">
        <f>Table118[[#This Row],[الوزن]]*Table118[[#This Row],[عدد]]</f>
        <v>17</v>
      </c>
      <c r="J6" s="243">
        <f>H6*$H$2/1000</f>
        <v>382.5</v>
      </c>
      <c r="K6" s="240">
        <f>B6*J6</f>
        <v>765</v>
      </c>
      <c r="L6" s="241">
        <f>(K6)/$G$85</f>
        <v>0.004643671982937944</v>
      </c>
      <c r="N6" s="216" t="s">
        <v>44</v>
      </c>
      <c r="O6" s="216">
        <v>320</v>
      </c>
      <c r="P6" s="216">
        <v>400</v>
      </c>
      <c r="Q6" s="216">
        <v>100</v>
      </c>
      <c r="R6" s="216">
        <v>3500</v>
      </c>
      <c r="S6" s="216">
        <v>6000</v>
      </c>
      <c r="T6" s="216">
        <v>150</v>
      </c>
      <c r="Y6" s="216" t="s">
        <v>45</v>
      </c>
      <c r="Z6" s="216">
        <v>0.25</v>
      </c>
      <c r="AA6" s="216" t="s">
        <v>46</v>
      </c>
      <c r="AB6" s="216">
        <f>(AB5*Table625[[#This Row],[المعدل]]+4)</f>
        <v>7</v>
      </c>
    </row>
    <row r="7" ht="21" customHeight="1" s="216" customFormat="1">
      <c r="A7" s="211">
        <v>8</v>
      </c>
      <c r="B7" s="212">
        <f>IF((Table2020[Column2]="G1"),4,IF((Table2020[Column2]="G2"),7,IF((Table2020[Column2]="G3"),10,IF((Table2020[Column2]="E1"),3,IF((Table2020[Column2]="E2"),4.5,IF((Table2020[Column2]="E3"),7,IF((Table2020[Column2]="H1"),4,IF((Table2020[Column2]="H2"),7,IF((Table2020[Column2]="H3"),10,IF((Table2020[Column2]="F1"),4,IF((Table2020[Column2]="F2"),5.5,IF((Table2020[Column2]="F3"),8,IF((Table2020[Column2]="I1"),5,IF((Table2020[Column2]="I2"),6.5,IF((Table2020[Column2]="I3"),9,IF((Table2020[Column2]="J1"),6,IF((Table2020[Column2]="J2"),9,IF((Table2020[Column2]="J3"),12,0))))))))))))))))))</f>
        <v>3</v>
      </c>
      <c r="C7" s="215" t="s">
        <v>47</v>
      </c>
      <c r="D7" s="391">
        <v>0.1</v>
      </c>
      <c r="E7" s="391">
        <v>0.1</v>
      </c>
      <c r="F7" s="214">
        <f>(Table118[[#This Row],[Column1]]+Table118[[#This Row],[Column2]])*12*Table118[[#This Row],[عدد]]</f>
        <v>7.2000000000000011</v>
      </c>
      <c r="G7" s="242" t="s">
        <v>43</v>
      </c>
      <c r="H7" s="211">
        <v>46.75</v>
      </c>
      <c r="I7" s="211">
        <f>Table118[[#This Row],[الوزن]]*Table118[[#This Row],[عدد]]</f>
        <v>140.25</v>
      </c>
      <c r="J7" s="243">
        <f ref="J7:J9" t="shared" si="1">H7*$H$2/1000</f>
        <v>2103.75</v>
      </c>
      <c r="K7" s="240">
        <f ref="K7:K9" t="shared" si="2">B7*J7</f>
        <v>6311.25</v>
      </c>
      <c r="L7" s="241">
        <f>(K7)/$G$85</f>
        <v>0.038310293859238037</v>
      </c>
      <c r="N7" s="216" t="s">
        <v>48</v>
      </c>
      <c r="O7" s="216">
        <v>250</v>
      </c>
      <c r="P7" s="216">
        <v>400</v>
      </c>
      <c r="Q7" s="216">
        <v>100</v>
      </c>
      <c r="R7" s="216">
        <v>5000</v>
      </c>
      <c r="S7" s="216">
        <v>8000</v>
      </c>
      <c r="T7" s="216">
        <v>400</v>
      </c>
      <c r="Y7" s="216" t="s">
        <v>49</v>
      </c>
      <c r="Z7" s="216">
        <v>2</v>
      </c>
      <c r="AA7" s="211" t="s">
        <v>50</v>
      </c>
      <c r="AB7" s="216">
        <f>ROUND(IF(((Table118[[#Totals],[المسطح]]+Table1421[[#Totals],[Column12]]+Table1624[[#Totals],[Column12]])&gt;0),(Table118[[#Totals],[المسطح]]+Table1421[[#Totals],[Column12]]+Table1624[[#Totals],[Column12]]+1)/Table625[[#This Row],[المعدل]],0),0)</f>
        <v>9</v>
      </c>
    </row>
    <row r="8" ht="21" customHeight="1" s="216" customFormat="1">
      <c r="A8" s="211">
        <v>20</v>
      </c>
      <c r="B8" s="212">
        <f>IF(AND((تسعير!X31&gt;0),(تسعير!X31&lt;301)),1,IF(AND((تسعير!X31&gt;300),(تسعير!X31&lt;601)),2,IF(AND((تسعير!X31&gt;600),(تسعير!X31&lt;901)),3,IF(AND((تسعير!X31&gt;900),(تسعير!X31&lt;1201)),4,0))))</f>
        <v>2</v>
      </c>
      <c r="C8" s="215" t="s">
        <v>156</v>
      </c>
      <c r="D8" s="391">
        <v>0.1</v>
      </c>
      <c r="E8" s="391">
        <v>0.05</v>
      </c>
      <c r="F8" s="214">
        <f>(Table118[[#This Row],[Column1]]+Table118[[#This Row],[Column2]])*12*Table118[[#This Row],[عدد]]</f>
        <v>3.6000000000000005</v>
      </c>
      <c r="G8" s="211" t="s">
        <v>43</v>
      </c>
      <c r="H8" s="211">
        <v>28.25</v>
      </c>
      <c r="I8" s="211">
        <f>Table118[[#This Row],[الوزن]]*Table118[[#This Row],[عدد]]</f>
        <v>56.5</v>
      </c>
      <c r="J8" s="243">
        <f t="shared" si="1"/>
        <v>1271.25</v>
      </c>
      <c r="K8" s="240">
        <f t="shared" si="2"/>
        <v>2542.5</v>
      </c>
      <c r="L8" s="241">
        <f>(K8)/$G$85</f>
        <v>0.015433380413881991</v>
      </c>
      <c r="N8" s="216" t="s">
        <v>52</v>
      </c>
      <c r="O8" s="216">
        <v>75</v>
      </c>
      <c r="P8" s="216">
        <v>200</v>
      </c>
      <c r="Q8" s="216">
        <v>100</v>
      </c>
      <c r="R8" s="216">
        <v>3000</v>
      </c>
      <c r="S8" s="216">
        <v>5000</v>
      </c>
      <c r="T8" s="216">
        <v>250</v>
      </c>
      <c r="Y8" s="216" t="s">
        <v>53</v>
      </c>
      <c r="Z8" s="216">
        <v>1.8</v>
      </c>
      <c r="AA8" s="211" t="s">
        <v>50</v>
      </c>
      <c r="AB8" s="216">
        <f>ROUND(IF((تسعير!T25="A"),IF(((Table118[[#Totals],[المسطح]]+Table1421[[#Totals],[Column12]]+Table1624[[#Totals],[Column12]])&gt;0),(Table118[[#Totals],[المسطح]]+Table1421[[#Totals],[Column12]]+Table1624[[#Totals],[Column12]]+1)/Table625[[#This Row],[المعدل]]),0),0)</f>
        <v>9</v>
      </c>
    </row>
    <row r="9" ht="21" customHeight="1" s="216" customFormat="1">
      <c r="A9" s="211">
        <v>26</v>
      </c>
      <c r="B9" s="212">
        <f>IF((Table2020[Column2]="G1"),1,IF((Table2020[Column2]="G2"),1.5,IF((Table2020[Column2]="G3"),2,IF((Table2020[Column2]="E1"),1,IF((Table2020[Column2]="E2"),1.5,IF((Table2020[Column2]="E3"),2,IF((Table2020[Column2]="H1"),1,IF((Table2020[Column2]="H2"),1.5,IF((Table2020[Column2]="H3"),2,IF((Table2020[Column2]="F1"),1,IF((Table2020[Column2]="F2"),1.5,IF((Table2020[Column2]="F3"),2,IF((Table2020[Column2]="I1"),1,IF((Table2020[Column2]="I2"),1.5,IF((Table2020[Column2]="I3"),2,IF((Table2020[Column2]="J1"),1,IF((Table2020[Column2]="J2"),1.5,IF((Table2020[Column2]="J3"),2,0))))))))))))))))))</f>
        <v>1</v>
      </c>
      <c r="C9" s="215" t="s">
        <v>51</v>
      </c>
      <c r="D9" s="391">
        <v>0.15</v>
      </c>
      <c r="E9" s="391">
        <v>0.05</v>
      </c>
      <c r="F9" s="214">
        <f>(Table118[[#This Row],[Column1]]+Table118[[#This Row],[Column2]])*12*Table118[[#This Row],[عدد]]</f>
        <v>2.4000000000000004</v>
      </c>
      <c r="G9" s="211" t="s">
        <v>43</v>
      </c>
      <c r="H9" s="211">
        <v>56</v>
      </c>
      <c r="I9" s="211">
        <f>Table118[[#This Row],[الوزن]]*Table118[[#This Row],[عدد]]</f>
        <v>56</v>
      </c>
      <c r="J9" s="243">
        <f t="shared" si="1"/>
        <v>2520</v>
      </c>
      <c r="K9" s="240">
        <f t="shared" si="2"/>
        <v>2520</v>
      </c>
      <c r="L9" s="241">
        <f>(K9)/$G$85</f>
        <v>0.015296801826148522</v>
      </c>
      <c r="N9" s="216" t="s">
        <v>55</v>
      </c>
      <c r="O9" s="216">
        <v>75</v>
      </c>
      <c r="P9" s="216">
        <v>200</v>
      </c>
      <c r="Q9" s="216">
        <v>100</v>
      </c>
      <c r="R9" s="216">
        <v>3000</v>
      </c>
      <c r="S9" s="216">
        <v>6000</v>
      </c>
      <c r="T9" s="216">
        <v>250</v>
      </c>
      <c r="Y9" s="216" t="s">
        <v>56</v>
      </c>
      <c r="AA9" s="216" t="s">
        <v>57</v>
      </c>
    </row>
    <row r="10" ht="21" customHeight="1" s="216" customFormat="1">
      <c r="A10" s="211"/>
      <c r="B10" s="212"/>
      <c r="C10" s="213" t="s">
        <v>54</v>
      </c>
      <c r="D10" s="214"/>
      <c r="E10" s="214"/>
      <c r="F10" s="216">
        <f>SUBTOTAL(109,Table118[المسطح])</f>
        <v>14.640000000000002</v>
      </c>
      <c r="G10" s="211"/>
      <c r="H10" s="211">
        <f>H9*B9+H8*B8+H7*B7</f>
        <v>252.75</v>
      </c>
      <c r="I10" s="211">
        <f>SUBTOTAL(109,Table118[اجمالي الميزان])</f>
        <v>269.75</v>
      </c>
      <c r="J10" s="242"/>
      <c r="K10" s="240">
        <f>SUBTOTAL(109,Table118[اجمالي])</f>
        <v>12138.75</v>
      </c>
      <c r="L10" s="244">
        <f>Table118[[#Totals],[اجمالي]]/$G$85</f>
        <v>0.0736841480822065</v>
      </c>
      <c r="N10" s="216" t="s">
        <v>59</v>
      </c>
      <c r="O10" s="216">
        <v>75</v>
      </c>
      <c r="P10" s="216">
        <v>200</v>
      </c>
      <c r="Q10" s="216">
        <v>100</v>
      </c>
      <c r="R10" s="216">
        <v>3000</v>
      </c>
      <c r="S10" s="216">
        <v>6000</v>
      </c>
      <c r="T10" s="216">
        <v>250</v>
      </c>
    </row>
    <row r="11" ht="21" customHeight="1" s="216" customFormat="1">
      <c r="C11" s="217"/>
      <c r="D11" s="885" t="s">
        <v>58</v>
      </c>
      <c r="E11" s="885"/>
      <c r="F11" s="885"/>
      <c r="G11" s="885"/>
      <c r="H11" s="885"/>
      <c r="I11" s="885"/>
      <c r="L11" s="402"/>
      <c r="N11" s="216" t="s">
        <v>62</v>
      </c>
      <c r="O11" s="216">
        <v>150</v>
      </c>
      <c r="P11" s="216">
        <v>200</v>
      </c>
      <c r="Q11" s="216">
        <v>100</v>
      </c>
      <c r="R11" s="216">
        <v>3000</v>
      </c>
      <c r="S11" s="216">
        <v>8000</v>
      </c>
      <c r="T11" s="216">
        <v>250</v>
      </c>
      <c r="Y11" s="213" t="s">
        <v>113</v>
      </c>
      <c r="Z11" s="216">
        <v>1.85</v>
      </c>
      <c r="AB11" s="526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2" ht="21" customHeight="1" s="216" customFormat="1">
      <c r="A12" s="211" t="s">
        <v>27</v>
      </c>
      <c r="B12" s="211" t="s">
        <v>28</v>
      </c>
      <c r="C12" s="218" t="s">
        <v>29</v>
      </c>
      <c r="D12" s="211" t="s">
        <v>30</v>
      </c>
      <c r="E12" s="211" t="s">
        <v>9</v>
      </c>
      <c r="F12" s="211" t="s">
        <v>61</v>
      </c>
      <c r="G12" s="211" t="s">
        <v>32</v>
      </c>
      <c r="H12" s="211" t="s">
        <v>33</v>
      </c>
      <c r="I12" s="211" t="s">
        <v>74</v>
      </c>
      <c r="J12" s="211" t="s">
        <v>35</v>
      </c>
      <c r="K12" s="245" t="s">
        <v>36</v>
      </c>
      <c r="L12" s="211" t="s">
        <v>37</v>
      </c>
      <c r="N12" s="216" t="s">
        <v>66</v>
      </c>
      <c r="O12" s="216">
        <v>150</v>
      </c>
      <c r="P12" s="216">
        <v>200</v>
      </c>
      <c r="Q12" s="216">
        <v>100</v>
      </c>
      <c r="R12" s="216">
        <v>4000</v>
      </c>
      <c r="S12" s="216">
        <v>8000</v>
      </c>
      <c r="T12" s="216">
        <v>250</v>
      </c>
      <c r="Y12" s="218" t="s">
        <v>157</v>
      </c>
    </row>
    <row r="13" ht="21" customHeight="1" s="216" customFormat="1">
      <c r="A13" s="211">
        <v>5</v>
      </c>
      <c r="B13" s="212">
        <f>IF((تسعير!X31&lt;800),0,IF(AND((تسعير!X31&gt;800),(600&lt;تسعير!AA33)),1,0))</f>
        <v>0</v>
      </c>
      <c r="C13" s="213" t="s">
        <v>64</v>
      </c>
      <c r="D13" s="214">
        <v>0.14</v>
      </c>
      <c r="E13" s="214">
        <v>0.14</v>
      </c>
      <c r="F13" s="214">
        <f>(Table1421[[#This Row],[Column1]]+Table1421[[#This Row],[Column2]])*24*Table1421[[#This Row],[عدد]]</f>
        <v>0</v>
      </c>
      <c r="G13" s="211" t="s">
        <v>65</v>
      </c>
      <c r="H13" s="211">
        <v>202</v>
      </c>
      <c r="I13" s="211">
        <f>Table1421[[#This Row],[الوزن]]*Table1421[[#This Row],[عدد]]</f>
        <v>0</v>
      </c>
      <c r="J13" s="243">
        <f ref="J13:J14" t="shared" si="3">H13*$I$2/1000</f>
        <v>10100</v>
      </c>
      <c r="K13" s="240">
        <f ref="K13:K14" t="shared" si="4">B13*J13</f>
        <v>0</v>
      </c>
      <c r="L13" s="241">
        <f>(K13)/$G$85</f>
        <v>0</v>
      </c>
      <c r="N13" s="216" t="s">
        <v>69</v>
      </c>
      <c r="O13" s="216">
        <v>150</v>
      </c>
      <c r="P13" s="216">
        <v>200</v>
      </c>
      <c r="Q13" s="216">
        <v>100</v>
      </c>
      <c r="R13" s="216">
        <v>4000</v>
      </c>
      <c r="S13" s="216">
        <v>8000</v>
      </c>
      <c r="T13" s="216">
        <v>250</v>
      </c>
      <c r="Y13" s="218" t="s">
        <v>115</v>
      </c>
      <c r="Z13" s="216">
        <v>1.85</v>
      </c>
      <c r="AB13" s="527">
        <f>IF((تسعير!T25="B"),IF(((Table118[[#Totals],[المسطح]]+Table1421[[#Totals],[Column12]]+Table1624[[#Totals],[Column12]])&gt;0),(Table118[[#Totals],[المسطح]]+Table1421[[#Totals],[Column12]]+Table1624[[#Totals],[Column12]]+1)/Table625[[#This Row],[المعدل]]),0)</f>
        <v>0</v>
      </c>
    </row>
    <row r="14" ht="21" customHeight="1" s="216" customFormat="1">
      <c r="A14" s="211">
        <v>6</v>
      </c>
      <c r="B14" s="212">
        <f>IF((تسعير!X31&lt;800),0,IF(AND((تسعير!X31&gt;800),(600&gt;=تسعير!AA33)),1,0))</f>
        <v>0</v>
      </c>
      <c r="C14" s="213" t="s">
        <v>68</v>
      </c>
      <c r="D14" s="214">
        <v>0.14</v>
      </c>
      <c r="E14" s="214">
        <v>0.14</v>
      </c>
      <c r="F14" s="214">
        <f>(Table1421[[#This Row],[Column1]]+Table1421[[#This Row],[Column2]])*12*Table1421[[#This Row],[عدد]]</f>
        <v>0</v>
      </c>
      <c r="G14" s="211" t="s">
        <v>43</v>
      </c>
      <c r="H14" s="211">
        <v>101</v>
      </c>
      <c r="I14" s="211">
        <f>Table1421[[#This Row],[الوزن]]*Table1421[[#This Row],[عدد]]</f>
        <v>0</v>
      </c>
      <c r="J14" s="243">
        <f t="shared" si="3"/>
        <v>5050</v>
      </c>
      <c r="K14" s="240">
        <f t="shared" si="4"/>
        <v>0</v>
      </c>
      <c r="L14" s="241">
        <f>(K14)/$G$85</f>
        <v>0</v>
      </c>
      <c r="N14" s="216" t="s">
        <v>71</v>
      </c>
      <c r="O14" s="216">
        <v>200</v>
      </c>
      <c r="P14" s="216">
        <v>200</v>
      </c>
      <c r="Q14" s="216">
        <v>100</v>
      </c>
      <c r="R14" s="216">
        <v>4000</v>
      </c>
      <c r="S14" s="216">
        <v>8000</v>
      </c>
      <c r="T14" s="216">
        <v>250</v>
      </c>
      <c r="Y14" s="218" t="s">
        <v>158</v>
      </c>
    </row>
    <row r="15" ht="21" customHeight="1" s="216" customFormat="1">
      <c r="A15" s="211" t="s">
        <v>54</v>
      </c>
      <c r="B15" s="212"/>
      <c r="C15" s="213" t="s">
        <v>54</v>
      </c>
      <c r="D15" s="214"/>
      <c r="E15" s="214"/>
      <c r="F15" s="214">
        <f>SUBTOTAL(109,Table1421[Column12])</f>
        <v>0</v>
      </c>
      <c r="G15" s="211"/>
      <c r="H15" s="211">
        <f>H13*B13+H14*B14</f>
        <v>0</v>
      </c>
      <c r="I15" s="211">
        <f>SUBTOTAL(109,Table1421[سعر الكيلو])</f>
        <v>0</v>
      </c>
      <c r="J15" s="239"/>
      <c r="K15" s="240">
        <f>SUBTOTAL(109,Table1421[اجمالي])</f>
        <v>0</v>
      </c>
      <c r="L15" s="244">
        <f>Table1421[[#Totals],[اجمالي]]/$G$85</f>
        <v>0</v>
      </c>
      <c r="N15" s="216" t="s">
        <v>73</v>
      </c>
      <c r="O15" s="216">
        <v>250</v>
      </c>
      <c r="P15" s="216">
        <v>200</v>
      </c>
      <c r="Q15" s="216">
        <v>100</v>
      </c>
      <c r="R15" s="216">
        <v>3000</v>
      </c>
      <c r="S15" s="216">
        <v>10000</v>
      </c>
      <c r="T15" s="216">
        <v>300</v>
      </c>
      <c r="Y15" s="218" t="s">
        <v>159</v>
      </c>
    </row>
    <row r="16" ht="21" customHeight="1" s="216" customFormat="1">
      <c r="C16" s="217"/>
      <c r="D16" s="885" t="s">
        <v>72</v>
      </c>
      <c r="E16" s="885"/>
      <c r="F16" s="885"/>
      <c r="G16" s="885"/>
      <c r="H16" s="885"/>
      <c r="I16" s="885"/>
      <c r="N16" s="216" t="s">
        <v>75</v>
      </c>
      <c r="O16" s="216">
        <v>250</v>
      </c>
      <c r="P16" s="216">
        <v>200</v>
      </c>
      <c r="Q16" s="216">
        <v>100</v>
      </c>
      <c r="R16" s="216">
        <v>3000</v>
      </c>
      <c r="S16" s="216">
        <v>10000</v>
      </c>
      <c r="T16" s="216">
        <v>300</v>
      </c>
      <c r="Y16" s="218" t="s">
        <v>67</v>
      </c>
      <c r="Z16" s="216">
        <v>0.25</v>
      </c>
      <c r="AB16" s="527">
        <f>IF((تسعير!T25="B"),(AB13*Table625[[#This Row],[المعدل]]),0)</f>
        <v>0</v>
      </c>
    </row>
    <row r="17" ht="18" s="216" customFormat="1">
      <c r="A17" s="211" t="s">
        <v>27</v>
      </c>
      <c r="B17" s="211" t="s">
        <v>28</v>
      </c>
      <c r="C17" s="218" t="s">
        <v>29</v>
      </c>
      <c r="D17" s="211" t="s">
        <v>30</v>
      </c>
      <c r="E17" s="211" t="s">
        <v>9</v>
      </c>
      <c r="F17" s="211" t="s">
        <v>61</v>
      </c>
      <c r="G17" s="211" t="s">
        <v>32</v>
      </c>
      <c r="H17" s="211" t="s">
        <v>33</v>
      </c>
      <c r="I17" s="211" t="s">
        <v>74</v>
      </c>
      <c r="J17" s="211" t="s">
        <v>35</v>
      </c>
      <c r="K17" s="245" t="s">
        <v>36</v>
      </c>
      <c r="L17" s="211" t="s">
        <v>37</v>
      </c>
      <c r="N17" s="216" t="s">
        <v>78</v>
      </c>
      <c r="O17" s="216">
        <v>250</v>
      </c>
      <c r="P17" s="216">
        <v>200</v>
      </c>
      <c r="Q17" s="216">
        <v>100</v>
      </c>
      <c r="R17" s="216">
        <v>3000</v>
      </c>
      <c r="S17" s="216">
        <v>10000</v>
      </c>
      <c r="T17" s="216">
        <v>300</v>
      </c>
      <c r="Y17" s="218" t="s">
        <v>70</v>
      </c>
      <c r="Z17" s="216">
        <v>0.25</v>
      </c>
      <c r="AB17" s="527">
        <f>IF((تسعير!T25="B"),(AB11*Table625[[#This Row],[المعدل]]),0)</f>
        <v>0</v>
      </c>
    </row>
    <row r="18" ht="18" s="216" customFormat="1">
      <c r="A18" s="211">
        <v>1</v>
      </c>
      <c r="B18" s="212">
        <f>IF((Table2020[Column2]="G1"),2,IF((Table2020[Column2]="G2"),3,IF((Table2020[Column2]="G3"),4,IF((Table2020[Column2]="E1"),1,IF((Table2020[Column2]="E2"),2,IF((Table2020[Column2]="E3"),3,IF((Table2020[Column2]="H1"),2,IF((Table2020[Column2]="H2"),3,IF((Table2020[Column2]="H3"),4,IF((Table2020[Column2]="F1"),1,IF((Table2020[Column2]="F2"),2,IF((Table2020[Column2]="F3"),3,IF((Table2020[Column2]="I1"),2,IF((Table2020[Column2]="I2"),3,IF((Table2020[Column2]="I3"),4,IF((Table2020[Column2]="J1"),2,IF((Table2020[Column2]="J2"),3,IF((Table2020[Column2]="J3"),4,0))))))))))))))))))</f>
        <v>1</v>
      </c>
      <c r="C18" s="213" t="s">
        <v>76</v>
      </c>
      <c r="D18" s="214"/>
      <c r="E18" s="214"/>
      <c r="F18" s="214"/>
      <c r="G18" s="211" t="s">
        <v>77</v>
      </c>
      <c r="H18" s="211"/>
      <c r="I18" s="242"/>
      <c r="J18" s="247">
        <f>Sheet2!B28</f>
        <v>400</v>
      </c>
      <c r="K18" s="240">
        <f ref="K18:K27" t="shared" si="5">B18*J18</f>
        <v>400</v>
      </c>
      <c r="L18" s="241">
        <f ref="L18:L27" t="shared" si="6">(K18)/$G$85</f>
        <v>0.002428063781928337</v>
      </c>
      <c r="N18" s="216" t="s">
        <v>81</v>
      </c>
      <c r="O18" s="216">
        <v>800</v>
      </c>
      <c r="P18" s="216">
        <v>600</v>
      </c>
      <c r="Q18" s="216">
        <v>150</v>
      </c>
      <c r="R18" s="216">
        <v>12000</v>
      </c>
      <c r="S18" s="216">
        <v>22000</v>
      </c>
      <c r="T18" s="216">
        <v>600</v>
      </c>
    </row>
    <row r="19" ht="18" s="216" customFormat="1">
      <c r="A19" s="211">
        <v>2</v>
      </c>
      <c r="B19" s="219">
        <f>IF((Table2020[Column2]="G1"),2,IF((Table2020[Column2]="G2"),3,IF((Table2020[Column2]="G3"),4,IF((Table2020[Column2]="E1"),2,IF((Table2020[Column2]="E2"),3,IF((Table2020[Column2]="E3"),4,IF((Table2020[Column2]="H1"),2,IF((Table2020[Column2]="H2"),3,IF((Table2020[Column2]="H3"),4,IF((Table2020[Column2]="F1"),2,IF((Table2020[Column2]="F2"),3,IF((Table2020[Column2]="F3"),4,IF((Table2020[Column2]="I1"),2,IF((Table2020[Column2]="I2"),3,IF((Table2020[Column2]="I3"),4,IF((Table2020[Column2]="J1"),2,IF((Table2020[Column2]="J2"),3,IF((Table2020[Column2]="J3"),4,0))))))))))))))))))</f>
        <v>2</v>
      </c>
      <c r="C19" s="213" t="s">
        <v>79</v>
      </c>
      <c r="D19" s="214"/>
      <c r="E19" s="214"/>
      <c r="F19" s="214"/>
      <c r="G19" s="211" t="s">
        <v>80</v>
      </c>
      <c r="H19" s="211"/>
      <c r="I19" s="242"/>
      <c r="J19" s="247">
        <v>250</v>
      </c>
      <c r="K19" s="240">
        <f t="shared" si="5"/>
        <v>500</v>
      </c>
      <c r="L19" s="241">
        <f t="shared" si="6"/>
        <v>0.0030350797274104209</v>
      </c>
      <c r="N19" s="216" t="s">
        <v>83</v>
      </c>
      <c r="O19" s="216">
        <v>800</v>
      </c>
      <c r="P19" s="216">
        <v>750</v>
      </c>
      <c r="Q19" s="216">
        <v>150</v>
      </c>
      <c r="R19" s="216">
        <v>12000</v>
      </c>
      <c r="S19" s="216">
        <v>22000</v>
      </c>
      <c r="T19" s="216">
        <v>600</v>
      </c>
    </row>
    <row r="20" ht="18" s="216" customFormat="1">
      <c r="A20" s="211">
        <v>3</v>
      </c>
      <c r="B20" s="212">
        <f>IF((Table2020[Column2]="G1"),4,IF((Table2020[Column2]="G2"),5,IF((Table2020[Column2]="G3"),6,IF((Table2020[Column2]="E1"),3,IF((Table2020[Column2]="E2"),4,IF((Table2020[Column2]="E3"),5,IF((Table2020[Column2]="H1"),4,IF((Table2020[Column2]="H2"),5,IF((Table2020[Column2]="H3"),6,IF((Table2020[Column2]="F1"),3,IF((Table2020[Column2]="F2"),4,IF((Table2020[Column2]="F3"),5,IF((Table2020[Column2]="I1"),3,IF((Table2020[Column2]="I2"),4,IF((Table2020[Column2]="I3"),5,IF((Table2020[Column2]="J1"),4,IF((Table2020[Column2]="J2"),5,IF((Table2020[Column2]="J3"),6,0))))))))))))))))))</f>
        <v>3</v>
      </c>
      <c r="C20" s="213" t="s">
        <v>82</v>
      </c>
      <c r="D20" s="214"/>
      <c r="E20" s="214"/>
      <c r="F20" s="214"/>
      <c r="G20" s="211" t="s">
        <v>28</v>
      </c>
      <c r="H20" s="211"/>
      <c r="I20" s="242"/>
      <c r="J20" s="247">
        <v>110</v>
      </c>
      <c r="K20" s="240">
        <f t="shared" si="5"/>
        <v>330</v>
      </c>
      <c r="L20" s="241">
        <f t="shared" si="6"/>
        <v>0.0020031526200908777</v>
      </c>
      <c r="N20" s="216" t="s">
        <v>85</v>
      </c>
      <c r="O20" s="216">
        <v>800</v>
      </c>
      <c r="P20" s="216">
        <v>750</v>
      </c>
      <c r="Q20" s="216">
        <v>150</v>
      </c>
      <c r="R20" s="216">
        <v>12000</v>
      </c>
      <c r="S20" s="216">
        <v>22000</v>
      </c>
      <c r="T20" s="216">
        <v>600</v>
      </c>
    </row>
    <row r="21" ht="18" s="216" customFormat="1">
      <c r="A21" s="211">
        <v>4</v>
      </c>
      <c r="B21" s="219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1" s="213" t="s">
        <v>84</v>
      </c>
      <c r="D21" s="214"/>
      <c r="E21" s="214"/>
      <c r="F21" s="214"/>
      <c r="G21" s="211" t="s">
        <v>28</v>
      </c>
      <c r="H21" s="211"/>
      <c r="I21" s="242"/>
      <c r="J21" s="247">
        <v>130</v>
      </c>
      <c r="K21" s="240">
        <f t="shared" si="5"/>
        <v>130</v>
      </c>
      <c r="L21" s="241">
        <f t="shared" si="6"/>
        <v>0.00078912072912670946</v>
      </c>
    </row>
    <row r="22" ht="18" s="216" customFormat="1">
      <c r="A22" s="211">
        <v>5</v>
      </c>
      <c r="B22" s="212">
        <f>IF((Table2020[Column2]="G1"),0,IF((Table2020[Column2]="G2"),0,IF((Table2020[Column2]="G3"),0,IF((Table2020[Column2]="E1"),16,IF((Table2020[Column2]="E2"),24,IF((Table2020[Column2]="E3"),32,IF((Table2020[Column2]="H1"),0,IF((Table2020[Column2]="H2"),0,IF((Table2020[Column2]="H3"),0,IF((Table2020[Column2]="F1"),16,IF((Table2020[Column2]="F2"),24,IF((Table2020[Column2]="F3"),32,IF((Table2020[Column2]="I1"),24,IF((Table2020[Column2]="I2"),32,IF((Table2020[Column2]="I3"),40,IF((Table2020[Column2]="J1"),0,IF((Table2020[Column2]="J2"),0,IF((Table2020[Column2]="J3"),0,0))))))))))))))))))</f>
        <v>16</v>
      </c>
      <c r="C22" s="213" t="s">
        <v>86</v>
      </c>
      <c r="D22" s="214"/>
      <c r="E22" s="214"/>
      <c r="F22" s="214"/>
      <c r="G22" s="247" t="s">
        <v>87</v>
      </c>
      <c r="H22" s="247"/>
      <c r="I22" s="242"/>
      <c r="J22" s="247">
        <v>30</v>
      </c>
      <c r="K22" s="240">
        <f t="shared" si="5"/>
        <v>480</v>
      </c>
      <c r="L22" s="241">
        <f t="shared" si="6"/>
        <v>0.0029136765383140041</v>
      </c>
    </row>
    <row r="23" ht="18" s="216" customFormat="1">
      <c r="A23" s="211">
        <v>6</v>
      </c>
      <c r="B23" s="219">
        <f>B19*3</f>
        <v>6</v>
      </c>
      <c r="C23" s="213" t="s">
        <v>88</v>
      </c>
      <c r="D23" s="214"/>
      <c r="E23" s="214"/>
      <c r="F23" s="214"/>
      <c r="G23" s="247" t="s">
        <v>89</v>
      </c>
      <c r="H23" s="247"/>
      <c r="I23" s="242"/>
      <c r="J23" s="247">
        <v>10</v>
      </c>
      <c r="K23" s="240">
        <f t="shared" si="5"/>
        <v>60</v>
      </c>
      <c r="L23" s="241">
        <f t="shared" si="6"/>
        <v>0.00036420956728925051</v>
      </c>
    </row>
    <row r="24" ht="18" s="216" customFormat="1">
      <c r="A24" s="211">
        <v>7</v>
      </c>
      <c r="B24" s="212">
        <f>IF((تسعير!T31=Sheet2!A6),0,(تسعير!AA33/100))</f>
        <v>0</v>
      </c>
      <c r="C24" s="215" t="s">
        <v>90</v>
      </c>
      <c r="D24" s="391"/>
      <c r="E24" s="391"/>
      <c r="F24" s="391"/>
      <c r="G24" s="248" t="s">
        <v>89</v>
      </c>
      <c r="H24" s="248"/>
      <c r="I24" s="248"/>
      <c r="J24" s="248">
        <f>Sheet2!B29</f>
        <v>700</v>
      </c>
      <c r="K24" s="240">
        <f t="shared" si="5"/>
        <v>0</v>
      </c>
      <c r="L24" s="241">
        <f t="shared" si="6"/>
        <v>0</v>
      </c>
    </row>
    <row r="25" ht="18" s="216" customFormat="1">
      <c r="A25" s="211">
        <v>8</v>
      </c>
      <c r="B25" s="219">
        <f>B19*10</f>
        <v>20</v>
      </c>
      <c r="C25" s="215" t="s">
        <v>91</v>
      </c>
      <c r="D25" s="391"/>
      <c r="E25" s="391"/>
      <c r="F25" s="391"/>
      <c r="G25" s="248" t="s">
        <v>92</v>
      </c>
      <c r="H25" s="248"/>
      <c r="I25" s="248"/>
      <c r="J25" s="248">
        <v>1</v>
      </c>
      <c r="K25" s="240">
        <f t="shared" si="5"/>
        <v>20</v>
      </c>
      <c r="L25" s="241">
        <f t="shared" si="6"/>
        <v>0.00012140318909641685</v>
      </c>
    </row>
    <row r="26" ht="18" s="216" customFormat="1">
      <c r="A26" s="211">
        <v>15</v>
      </c>
      <c r="B26" s="212">
        <f>IF((Table2020[Column2]="G1"),4,IF((Table2020[Column2]="G2"),6,IF((Table2020[Column2]="G3"),8,IF((Table2020[Column2]="E1"),0,IF((Table2020[Column2]="E2"),0,IF((Table2020[Column2]="E3"),0,IF((Table2020[Column2]="H1"),4,IF((Table2020[Column2]="H2"),6,IF((Table2020[Column2]="H3"),8,IF((Table2020[Column2]="F1"),0,IF((Table2020[Column2]="F2"),0,IF((Table2020[Column2]="F3"),0,0))))))))))))</f>
        <v>0</v>
      </c>
      <c r="C26" s="213" t="s">
        <v>93</v>
      </c>
      <c r="D26" s="214"/>
      <c r="E26" s="214"/>
      <c r="F26" s="214"/>
      <c r="G26" s="211" t="s">
        <v>87</v>
      </c>
      <c r="H26" s="211"/>
      <c r="I26" s="242"/>
      <c r="J26" s="243">
        <f>Sheet2!B30</f>
        <v>1200</v>
      </c>
      <c r="K26" s="240">
        <f t="shared" si="5"/>
        <v>0</v>
      </c>
      <c r="L26" s="241">
        <f t="shared" si="6"/>
        <v>0</v>
      </c>
    </row>
    <row r="27" ht="18" s="216" customFormat="1">
      <c r="A27" s="211">
        <v>16</v>
      </c>
      <c r="B27" s="212">
        <f>IF((Table2020[Column2]="G1"),1,IF((Table2020[Column2]="G2"),2,IF((Table2020[Column2]="G3"),3,IF((Table2020[Column2]="E1"),1,IF((Table2020[Column2]="E2"),2,IF((Table2020[Column2]="E3"),3,IF((Table2020[Column2]="H1"),1,IF((Table2020[Column2]="H2"),2,IF((Table2020[Column2]="H3"),3,IF((Table2020[Column2]="F1"),1,IF((Table2020[Column2]="F2"),2,IF((Table2020[Column2]="F3"),3,IF((Table2020[Column2]="I1"),1,IF((Table2020[Column2]="I2"),2,IF((Table2020[Column2]="I3"),3,IF((Table2020[Column2]="J1"),1,IF((Table2020[Column2]="J2"),2,IF((Table2020[Column2]="J3"),3,0))))))))))))))))))</f>
        <v>1</v>
      </c>
      <c r="C27" s="213" t="s">
        <v>94</v>
      </c>
      <c r="D27" s="214"/>
      <c r="E27" s="214"/>
      <c r="F27" s="214"/>
      <c r="G27" s="211" t="s">
        <v>87</v>
      </c>
      <c r="H27" s="211"/>
      <c r="I27" s="242"/>
      <c r="J27" s="243">
        <f>Sheet2!B31</f>
        <v>450</v>
      </c>
      <c r="K27" s="240">
        <f t="shared" si="5"/>
        <v>450</v>
      </c>
      <c r="L27" s="241">
        <f t="shared" si="6"/>
        <v>0.002731571754669379</v>
      </c>
    </row>
    <row r="28" ht="18" s="216" customFormat="1">
      <c r="A28" s="211" t="s">
        <v>54</v>
      </c>
      <c r="B28" s="212"/>
      <c r="C28" s="213" t="s">
        <v>54</v>
      </c>
      <c r="D28" s="214"/>
      <c r="E28" s="214"/>
      <c r="G28" s="211"/>
      <c r="H28" s="211"/>
      <c r="I28" s="211"/>
      <c r="J28" s="242"/>
      <c r="K28" s="240">
        <f>SUBTOTAL(109,Table1522[اجمالي])</f>
        <v>2370</v>
      </c>
      <c r="L28" s="244">
        <f>Table1522[[#Totals],[اجمالي]]/$G$85</f>
        <v>0.014386277907925396</v>
      </c>
    </row>
    <row r="29" ht="18" s="216" customFormat="1">
      <c r="C29" s="217"/>
      <c r="D29" s="885" t="s">
        <v>95</v>
      </c>
      <c r="E29" s="885"/>
      <c r="F29" s="885"/>
      <c r="G29" s="885"/>
      <c r="H29" s="885"/>
      <c r="I29" s="885"/>
    </row>
    <row r="30" ht="18" s="216" customFormat="1">
      <c r="A30" s="211" t="s">
        <v>27</v>
      </c>
      <c r="B30" s="211" t="s">
        <v>28</v>
      </c>
      <c r="C30" s="218" t="s">
        <v>29</v>
      </c>
      <c r="D30" s="211" t="s">
        <v>30</v>
      </c>
      <c r="E30" s="211" t="s">
        <v>9</v>
      </c>
      <c r="F30" s="211" t="s">
        <v>61</v>
      </c>
      <c r="G30" s="211" t="s">
        <v>32</v>
      </c>
      <c r="H30" s="211" t="s">
        <v>33</v>
      </c>
      <c r="I30" s="211" t="s">
        <v>74</v>
      </c>
      <c r="J30" s="211" t="s">
        <v>35</v>
      </c>
      <c r="K30" s="245" t="s">
        <v>36</v>
      </c>
      <c r="L30" s="211" t="s">
        <v>37</v>
      </c>
    </row>
    <row r="31" ht="18" s="216" customFormat="1">
      <c r="A31" s="211">
        <v>5</v>
      </c>
      <c r="B31" s="212">
        <f>IF((Table2020[Column2]="G1"),0,IF((Table2020[Column2]="G2"),0,IF((Table2020[Column2]="G3"),0,IF((Table2020[Column2]="E1"),4,IF((Table2020[Column2]="E2"),6,IF((Table2020[Column2]="E3"),8,IF((Table2020[Column2]="H1"),0,IF((Table2020[Column2]="H2"),0,IF((Table2020[Column2]="H3"),0,IF((Table2020[Column2]="F1"),4,IF((Table2020[Column2]="F2"),6,IF((Table2020[Column2]="F3"),8,IF((Table2020[Column2]="I1"),6,IF((Table2020[Column2]="I2"),8,IF((Table2020[Column2]="I3"),10,IF((Table2020[Column2]="J1"),0,IF((Table2020[Column2]="J2"),0,IF((Table2020[Column2]="J3"),0,0))))))))))))))))))</f>
        <v>4</v>
      </c>
      <c r="C31" s="213" t="s">
        <v>97</v>
      </c>
      <c r="D31" s="214">
        <v>0.4</v>
      </c>
      <c r="E31" s="214">
        <v>0.4</v>
      </c>
      <c r="F31" s="221">
        <f>(Table1624[[#This Row],[Column1]]*Table1624[[#This Row],[Column2]])*2*Table1624[[#This Row],[عدد]]</f>
        <v>1.2800000000000003</v>
      </c>
      <c r="G31" s="250" t="s">
        <v>80</v>
      </c>
      <c r="H31" s="211">
        <v>14</v>
      </c>
      <c r="I31" s="211">
        <f ref="I31:I32" t="shared" si="7">$H$2/1000</f>
        <v>45</v>
      </c>
      <c r="J31" s="243">
        <f ref="J31:J32" t="shared" si="8">H31*$H$2/1000</f>
        <v>630</v>
      </c>
      <c r="K31" s="240">
        <f ref="K31:K32" t="shared" si="9">B31*J31</f>
        <v>2520</v>
      </c>
      <c r="L31" s="241">
        <f>(K31)/$G$85</f>
        <v>0.015296801826148522</v>
      </c>
    </row>
    <row r="32" ht="18" s="216" customFormat="1">
      <c r="A32" s="211">
        <v>8</v>
      </c>
      <c r="B32" s="212">
        <f>B31*4</f>
        <v>16</v>
      </c>
      <c r="C32" s="213" t="s">
        <v>98</v>
      </c>
      <c r="D32" s="214">
        <v>0.1</v>
      </c>
      <c r="E32" s="214">
        <v>0.1</v>
      </c>
      <c r="F32" s="221">
        <f>(Table1624[[#This Row],[Column1]]*Table1624[[#This Row],[Column2]])*Table1624[[#This Row],[عدد]]</f>
        <v>0.16000000000000003</v>
      </c>
      <c r="G32" s="211" t="s">
        <v>80</v>
      </c>
      <c r="H32" s="211">
        <v>1.5</v>
      </c>
      <c r="I32" s="211">
        <f t="shared" si="7"/>
        <v>45</v>
      </c>
      <c r="J32" s="243">
        <f t="shared" si="8"/>
        <v>67.5</v>
      </c>
      <c r="K32" s="240">
        <f t="shared" si="9"/>
        <v>1080</v>
      </c>
      <c r="L32" s="251">
        <f>(K32)/$G$85</f>
        <v>0.0065557722112065094</v>
      </c>
    </row>
    <row r="33" ht="18" s="216" customFormat="1">
      <c r="A33" s="211" t="s">
        <v>54</v>
      </c>
      <c r="B33" s="212">
        <f>SUBTOTAL(103,Table1624[عدد])</f>
        <v>2</v>
      </c>
      <c r="C33" s="213" t="s">
        <v>54</v>
      </c>
      <c r="D33" s="214"/>
      <c r="E33" s="214"/>
      <c r="F33" s="216">
        <f>SUBTOTAL(109,Table1624[Column12])</f>
        <v>1.4400000000000004</v>
      </c>
      <c r="G33" s="211"/>
      <c r="H33" s="211">
        <f>H31*B31+H32*B32</f>
        <v>80</v>
      </c>
      <c r="I33" s="211"/>
      <c r="J33" s="242"/>
      <c r="K33" s="240">
        <f>SUBTOTAL(109,Table1624[اجمالي])</f>
        <v>3600</v>
      </c>
      <c r="L33" s="244">
        <f>Table1624[[#Totals],[اجمالي]]/$G$85</f>
        <v>0.021852574037355032</v>
      </c>
    </row>
    <row r="34" ht="18" s="216" customFormat="1">
      <c r="C34" s="217"/>
      <c r="D34" s="885" t="s">
        <v>99</v>
      </c>
      <c r="E34" s="885"/>
      <c r="F34" s="885"/>
      <c r="G34" s="885"/>
      <c r="H34" s="885"/>
      <c r="I34" s="885"/>
    </row>
    <row r="35" ht="18" s="216" customFormat="1">
      <c r="A35" s="211" t="s">
        <v>27</v>
      </c>
      <c r="B35" s="211" t="s">
        <v>28</v>
      </c>
      <c r="C35" s="218" t="s">
        <v>29</v>
      </c>
      <c r="D35" s="211" t="s">
        <v>30</v>
      </c>
      <c r="E35" s="211" t="s">
        <v>9</v>
      </c>
      <c r="F35" s="211" t="s">
        <v>61</v>
      </c>
      <c r="G35" s="211" t="s">
        <v>32</v>
      </c>
      <c r="H35" s="211" t="s">
        <v>33</v>
      </c>
      <c r="I35" s="211" t="s">
        <v>74</v>
      </c>
      <c r="J35" s="211" t="s">
        <v>35</v>
      </c>
      <c r="K35" s="245" t="s">
        <v>36</v>
      </c>
      <c r="L35" s="211" t="s">
        <v>37</v>
      </c>
    </row>
    <row r="36" ht="18" s="216" customFormat="1">
      <c r="A36" s="211">
        <v>1</v>
      </c>
      <c r="B36" s="222">
        <f>AB7/3</f>
        <v>3</v>
      </c>
      <c r="C36" s="213" t="s">
        <v>107</v>
      </c>
      <c r="D36" s="214"/>
      <c r="E36" s="214"/>
      <c r="F36" s="214"/>
      <c r="G36" s="211" t="s">
        <v>108</v>
      </c>
      <c r="H36" s="211"/>
      <c r="I36" s="211"/>
      <c r="J36" s="248">
        <f>Sheet2!B24</f>
        <v>400</v>
      </c>
      <c r="K36" s="240">
        <f ref="K36:K44" t="shared" si="10">B36*J36</f>
        <v>1200</v>
      </c>
      <c r="L36" s="241">
        <f ref="L36:L49" t="shared" si="11">(K36)/$G$85</f>
        <v>0.0072841913457850106</v>
      </c>
    </row>
    <row r="37" ht="18" s="216" customFormat="1">
      <c r="A37" s="211">
        <v>7</v>
      </c>
      <c r="B37" s="222">
        <f>AB6/2</f>
        <v>3.5</v>
      </c>
      <c r="C37" s="213" t="s">
        <v>45</v>
      </c>
      <c r="D37" s="214"/>
      <c r="E37" s="214"/>
      <c r="F37" s="214"/>
      <c r="G37" s="211" t="s">
        <v>109</v>
      </c>
      <c r="H37" s="211"/>
      <c r="I37" s="211"/>
      <c r="J37" s="248">
        <f>Sheet2!B25</f>
        <v>95</v>
      </c>
      <c r="K37" s="240">
        <f t="shared" si="10"/>
        <v>332.5</v>
      </c>
      <c r="L37" s="241">
        <f t="shared" si="11"/>
        <v>0.00201832801872793</v>
      </c>
    </row>
    <row r="38" ht="18" s="216" customFormat="1">
      <c r="A38" s="211">
        <v>8</v>
      </c>
      <c r="B38" s="222">
        <f>AB5</f>
        <v>12</v>
      </c>
      <c r="C38" s="213" t="s">
        <v>110</v>
      </c>
      <c r="D38" s="214"/>
      <c r="E38" s="214"/>
      <c r="F38" s="214"/>
      <c r="G38" s="211" t="s">
        <v>80</v>
      </c>
      <c r="H38" s="211"/>
      <c r="I38" s="211"/>
      <c r="J38" s="248">
        <f>Sheet2!B26</f>
        <v>220</v>
      </c>
      <c r="K38" s="240">
        <f t="shared" si="10"/>
        <v>2640</v>
      </c>
      <c r="L38" s="241">
        <f t="shared" si="11"/>
        <v>0.016025220960727022</v>
      </c>
    </row>
    <row r="39" ht="18" s="216" customFormat="1">
      <c r="A39" s="211">
        <v>9</v>
      </c>
      <c r="B39" s="222">
        <f>AB8</f>
        <v>9</v>
      </c>
      <c r="C39" s="213" t="s">
        <v>111</v>
      </c>
      <c r="D39" s="214"/>
      <c r="E39" s="214"/>
      <c r="F39" s="214"/>
      <c r="G39" s="211" t="s">
        <v>80</v>
      </c>
      <c r="H39" s="211"/>
      <c r="I39" s="211"/>
      <c r="J39" s="248">
        <f>Sheet2!B27</f>
        <v>510</v>
      </c>
      <c r="K39" s="240">
        <f t="shared" si="10"/>
        <v>4590</v>
      </c>
      <c r="L39" s="241">
        <f t="shared" si="11"/>
        <v>0.027862031897627666</v>
      </c>
    </row>
    <row r="40" ht="18" s="216" customFormat="1">
      <c r="A40" s="211">
        <v>2</v>
      </c>
      <c r="B40" s="219">
        <v>5</v>
      </c>
      <c r="C40" s="218" t="s">
        <v>100</v>
      </c>
      <c r="D40" s="211"/>
      <c r="E40" s="211"/>
      <c r="F40" s="211"/>
      <c r="G40" s="211" t="s">
        <v>101</v>
      </c>
      <c r="H40" s="211"/>
      <c r="I40" s="211"/>
      <c r="J40" s="248">
        <v>15</v>
      </c>
      <c r="K40" s="240">
        <f t="shared" si="10"/>
        <v>75</v>
      </c>
      <c r="L40" s="241">
        <f t="shared" si="11"/>
        <v>0.00045526195911156316</v>
      </c>
    </row>
    <row r="41" ht="18" s="216" customFormat="1">
      <c r="A41" s="211">
        <v>3</v>
      </c>
      <c r="B41" s="212">
        <v>5</v>
      </c>
      <c r="C41" s="218" t="s">
        <v>102</v>
      </c>
      <c r="D41" s="211"/>
      <c r="E41" s="211"/>
      <c r="F41" s="211"/>
      <c r="G41" s="211" t="s">
        <v>101</v>
      </c>
      <c r="H41" s="211"/>
      <c r="I41" s="211"/>
      <c r="J41" s="248">
        <v>15</v>
      </c>
      <c r="K41" s="240">
        <f t="shared" si="10"/>
        <v>75</v>
      </c>
      <c r="L41" s="241">
        <f t="shared" si="11"/>
        <v>0.00045526195911156316</v>
      </c>
    </row>
    <row r="42" ht="18" s="216" customFormat="1">
      <c r="A42" s="211">
        <v>4</v>
      </c>
      <c r="B42" s="219">
        <v>10</v>
      </c>
      <c r="C42" s="213" t="s">
        <v>103</v>
      </c>
      <c r="D42" s="214"/>
      <c r="E42" s="214"/>
      <c r="F42" s="214"/>
      <c r="G42" s="211" t="s">
        <v>104</v>
      </c>
      <c r="H42" s="211"/>
      <c r="I42" s="211"/>
      <c r="J42" s="248">
        <v>25</v>
      </c>
      <c r="K42" s="240">
        <f t="shared" si="10"/>
        <v>250</v>
      </c>
      <c r="L42" s="241">
        <f t="shared" si="11"/>
        <v>0.0015175398637052105</v>
      </c>
    </row>
    <row r="43" ht="18" s="216" customFormat="1">
      <c r="A43" s="211">
        <v>5</v>
      </c>
      <c r="B43" s="212">
        <v>5</v>
      </c>
      <c r="C43" s="213" t="s">
        <v>105</v>
      </c>
      <c r="D43" s="214"/>
      <c r="E43" s="214"/>
      <c r="F43" s="214"/>
      <c r="G43" s="211" t="s">
        <v>104</v>
      </c>
      <c r="H43" s="211"/>
      <c r="I43" s="211"/>
      <c r="J43" s="248">
        <v>150</v>
      </c>
      <c r="K43" s="240">
        <f t="shared" si="10"/>
        <v>750</v>
      </c>
      <c r="L43" s="241">
        <f t="shared" si="11"/>
        <v>0.0045526195911156312</v>
      </c>
    </row>
    <row r="44" ht="18" s="216" customFormat="1">
      <c r="A44" s="211">
        <v>6</v>
      </c>
      <c r="B44" s="219">
        <v>5</v>
      </c>
      <c r="C44" s="213" t="s">
        <v>106</v>
      </c>
      <c r="D44" s="214"/>
      <c r="E44" s="214"/>
      <c r="F44" s="214"/>
      <c r="G44" s="211" t="s">
        <v>80</v>
      </c>
      <c r="H44" s="211"/>
      <c r="I44" s="211"/>
      <c r="J44" s="248">
        <v>40</v>
      </c>
      <c r="K44" s="240">
        <f t="shared" si="10"/>
        <v>200</v>
      </c>
      <c r="L44" s="241">
        <f t="shared" si="11"/>
        <v>0.0012140318909641685</v>
      </c>
    </row>
    <row r="45" ht="18" s="216" customFormat="1">
      <c r="A45" s="211">
        <v>10</v>
      </c>
      <c r="B45" s="212"/>
      <c r="C45" s="550" t="s">
        <v>160</v>
      </c>
      <c r="D45" s="214"/>
      <c r="E45" s="214"/>
      <c r="F45" s="214"/>
      <c r="G45" s="211"/>
      <c r="H45" s="211"/>
      <c r="I45" s="211"/>
      <c r="J45" s="248">
        <v>30</v>
      </c>
      <c r="K45" s="240">
        <f>B45*J45</f>
        <v>0</v>
      </c>
      <c r="L45" s="251">
        <f t="shared" si="11"/>
        <v>0</v>
      </c>
    </row>
    <row r="46" ht="18" s="216" customFormat="1">
      <c r="A46" s="211">
        <v>11</v>
      </c>
      <c r="B46" s="212">
        <f>IF(AND((AB11&gt;0),(AB11&lt;=5)),5,IF(AND((AB11&gt;5),(AB11&lt;=10)),10,IF(AND((AB11&gt;10),(AB11&lt;=15)),15,IF(AND((AB11&gt;15),(AB11&lt;=20)),20,IF(AND((AB11&gt;20),(AB11&lt;=25)),25,IF(AND((AB11&gt;25),(AB11&lt;=30)),30,IF(AND((AB11&gt;30),(AB11&lt;=35)),35,IF(AND((AB11&gt;35),(AB11&lt;=40)),40,IF(AND((AB11&gt;40),(AB11&lt;=45)),45,IF(AND((AB11&gt;45),(AB11&lt;=50)),50,IF(AND((AB11&gt;50),(AB11&lt;=55)),55,IF(AND((AB11&gt;55),(AB11&lt;=60)),60,0))))))))))))</f>
        <v>0</v>
      </c>
      <c r="C46" s="213" t="s">
        <v>113</v>
      </c>
      <c r="D46" s="214"/>
      <c r="E46" s="214"/>
      <c r="F46" s="214"/>
      <c r="G46" s="211" t="s">
        <v>114</v>
      </c>
      <c r="H46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6" s="248">
        <f>Sheet2!B18</f>
        <v>360</v>
      </c>
      <c r="J46" s="248"/>
      <c r="K46" s="240">
        <f>B46*Table1319[[#This Row],[سعر الكيلو]]</f>
        <v>0</v>
      </c>
      <c r="L46" s="251">
        <f t="shared" si="11"/>
        <v>0</v>
      </c>
    </row>
    <row r="47" ht="18" s="216" customFormat="1">
      <c r="A47" s="211">
        <v>13</v>
      </c>
      <c r="B47" s="212">
        <f>IF(AND((AB13&gt;0),(AB13&lt;=5)),5,IF(AND((AB13&gt;5),(AB13&lt;=10)),10,IF(AND((AB13&gt;10),(AB13&lt;=15)),15,IF(AND((AB13&gt;15),(AB13&lt;=20)),20,IF(AND((AB13&gt;20),(AB13&lt;=25)),25,IF(AND((AB13&gt;25),(AB13&lt;=30)),30,IF(AND((AB13&gt;30),(AB13&lt;=35)),35,IF(AND((AB13&gt;35),(AB13&lt;=40)),40,IF(AND((AB13&gt;40),(AB13&lt;=45)),45,IF(AND((AB13&gt;45),(AB13&lt;=50)),50,IF(AND((AB13&gt;50),(AB13&lt;=55)),55,IF(AND((AB13&gt;55),(AB13&lt;=60)),60,0))))))))))))</f>
        <v>0</v>
      </c>
      <c r="C47" s="218" t="s">
        <v>115</v>
      </c>
      <c r="D47" s="214"/>
      <c r="E47" s="214"/>
      <c r="F47" s="214"/>
      <c r="G47" s="218" t="s">
        <v>116</v>
      </c>
      <c r="H47" s="211">
        <f>IF(AND((Table1319[[#This Row],[عدد]]&gt;0),(Table1319[[#This Row],[عدد]]&lt;=5)),"جالون",IF(AND((Table1319[[#This Row],[عدد]]&gt;0),(Table1319[[#This Row],[عدد]]&lt;=10)),"2جالون",IF(AND((Table1319[[#This Row],[عدد]]&gt;10),(Table1319[[#This Row],[عدد]]&lt;=20)),"بستله",IF(AND((Table1319[[#This Row],[عدد]]&gt;20),(Table1319[[#This Row],[عدد]]&lt;=25)),"جالون+بستلة",IF(AND((Table1319[[#This Row],[عدد]]&gt;25),(Table1319[[#This Row],[عدد]]&lt;=40)),"2بستلة",IF(AND((Table1319[[#This Row],[عدد]]&gt;40),(Table1319[[#This Row],[عدد]]&lt;=60)),"3جالون",IF(AND((Table1319[[#This Row],[عدد]]&gt;60),(Table1319[[#This Row],[عدد]]&lt;=80)),"4جالون",IF(AND((Table1319[[#This Row],[عدد]]&gt;80),(Table1319[[#This Row],[عدد]]&lt;=100)),"5جالون",0))))))))</f>
        <v>0</v>
      </c>
      <c r="I47" s="248">
        <f>Sheet2!B20</f>
        <v>435</v>
      </c>
      <c r="J47" s="248"/>
      <c r="K47" s="240">
        <f>B47*Table1319[[#This Row],[سعر الكيلو]]</f>
        <v>0</v>
      </c>
      <c r="L47" s="251">
        <f t="shared" si="11"/>
        <v>0</v>
      </c>
    </row>
    <row r="48" ht="18" s="216" customFormat="1">
      <c r="A48" s="211">
        <v>16</v>
      </c>
      <c r="B48" s="212">
        <f>IF(AND((AB16&gt;0),(AB16&lt;=5)),5,IF(AND((AB16&gt;5),(AB16&lt;=10)),10,IF(AND((AB16&gt;10),(AB16&lt;=15)),15,IF(AND((AB16&gt;15),(AB16&lt;=20)),20,IF(AND((AB16&gt;20),(AB16&lt;=25)),25,IF(AND((AB16&gt;25),(AB16&lt;=30)),30,IF(AND((AB16&gt;30),(AB16&lt;=35)),35,IF(AND((AB16&gt;35),(AB16&lt;=40)),40,IF(AND((AB16&gt;40),(AB16&lt;=45)),45,IF(AND((AB16&gt;45),(AB16&lt;=50)),50,IF(AND((AB16&gt;50),(AB16&lt;=55)),55,IF(AND((AB16&gt;55),(AB16&lt;=60)),60,0))))))))))))</f>
        <v>0</v>
      </c>
      <c r="C48" s="218" t="s">
        <v>67</v>
      </c>
      <c r="D48" s="214"/>
      <c r="E48" s="214"/>
      <c r="F48" s="214"/>
      <c r="G48" s="218" t="s">
        <v>117</v>
      </c>
      <c r="H48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8" s="247">
        <f>Sheet2!B22</f>
        <v>190</v>
      </c>
      <c r="J48" s="248"/>
      <c r="K48" s="240">
        <f>B48*Table1319[[#This Row],[سعر الكيلو]]</f>
        <v>0</v>
      </c>
      <c r="L48" s="251">
        <f t="shared" si="11"/>
        <v>0</v>
      </c>
    </row>
    <row r="49" ht="18" s="216" customFormat="1">
      <c r="A49" s="211">
        <v>17</v>
      </c>
      <c r="B49" s="212">
        <f>IF(AND((AB17&gt;0),(AB17&lt;=5)),5,IF(AND((AB17&gt;5),(AB17&lt;=10)),10,IF(AND((AB17&gt;10),(AB17&lt;=15)),15,IF(AND((AB17&gt;15),(AB17&lt;=20)),20,IF(AND((AB17&gt;20),(AB17&lt;=25)),25,IF(AND((AB17&gt;25),(AB17&lt;=30)),30,IF(AND((AB17&gt;30),(AB17&lt;=35)),35,IF(AND((AB17&gt;35),(AB17&lt;=40)),40,IF(AND((AB17&gt;40),(AB17&lt;=45)),45,IF(AND((AB17&gt;45),(AB17&lt;=50)),50,IF(AND((AB17&gt;50),(AB17&lt;=55)),55,IF(AND((AB17&gt;55),(AB17&lt;=60)),60,0))))))))))))</f>
        <v>0</v>
      </c>
      <c r="C49" s="218" t="s">
        <v>70</v>
      </c>
      <c r="D49" s="214"/>
      <c r="E49" s="214"/>
      <c r="F49" s="214"/>
      <c r="G49" s="218" t="s">
        <v>117</v>
      </c>
      <c r="H49" s="211">
        <f>IF(AND((Table1319[[#This Row],[عدد]]&gt;0),(Table1319[[#This Row],[عدد]]&lt;=5)),"جالون",IF(AND((Table1319[[#This Row],[عدد]]&gt;5),(Table1319[[#This Row],[عدد]]&lt;=10)),"2جالون",IF(AND((Table1319[[#This Row],[عدد]]&gt;10),(Table1319[[#This Row],[عدد]]&lt;=15)),"3",IF(AND((Table1319[[#This Row],[عدد]]&gt;15),(Table1319[[#This Row],[عدد]]&lt;=20)),"4",IF(AND((Table1319[[#This Row],[عدد]]&gt;20),(Table1319[[#This Row],[عدد]]&lt;=25)),"5",IF(AND((Table1319[[#This Row],[عدد]]&gt;25),(Table1319[[#This Row],[عدد]]&lt;=30)),"6",IF(AND((Table1319[[#This Row],[عدد]]&gt;30),(Table1319[[#This Row],[عدد]]&lt;=35)),"7",IF(AND((Table1319[[#This Row],[عدد]]&gt;35),(Table1319[[#This Row],[عدد]]&lt;=4)),"8",0))))))))</f>
        <v>0</v>
      </c>
      <c r="I49" s="248">
        <f>Sheet2!B23</f>
        <v>190</v>
      </c>
      <c r="J49" s="248"/>
      <c r="K49" s="240">
        <f>B49*Table1319[[#This Row],[سعر الكيلو]]</f>
        <v>0</v>
      </c>
      <c r="L49" s="251">
        <f t="shared" si="11"/>
        <v>0</v>
      </c>
    </row>
    <row r="50" ht="18" s="216" customFormat="1">
      <c r="A50" s="211" t="s">
        <v>54</v>
      </c>
      <c r="B50" s="212"/>
      <c r="C50" s="213" t="s">
        <v>54</v>
      </c>
      <c r="D50" s="214"/>
      <c r="E50" s="214"/>
      <c r="F50" s="214"/>
      <c r="G50" s="211" t="s">
        <v>118</v>
      </c>
      <c r="H50" s="211"/>
      <c r="I50" s="211"/>
      <c r="J50" s="242"/>
      <c r="K50" s="240">
        <f>SUBTOTAL(109,Table1319[اجمالي])</f>
        <v>10112.5</v>
      </c>
      <c r="L50" s="244">
        <f>Table1319[[#Totals],[اجمالي]]/$G$85</f>
        <v>0.061384487486875763</v>
      </c>
    </row>
    <row r="51" ht="18" s="216" customFormat="1">
      <c r="A51" s="211"/>
      <c r="B51" s="212"/>
      <c r="C51" s="213"/>
      <c r="D51" s="214"/>
      <c r="E51" s="214"/>
      <c r="F51" s="214"/>
      <c r="G51" s="211"/>
      <c r="H51" s="211"/>
      <c r="I51" s="211"/>
      <c r="J51" s="242"/>
      <c r="K51" s="240"/>
      <c r="L51" s="244"/>
    </row>
    <row r="52" ht="18" s="216" customFormat="1">
      <c r="C52" s="217"/>
      <c r="D52" s="885" t="s">
        <v>119</v>
      </c>
      <c r="E52" s="885"/>
      <c r="F52" s="885"/>
      <c r="G52" s="885"/>
      <c r="H52" s="885"/>
      <c r="I52" s="885"/>
    </row>
    <row r="53" ht="18" s="216" customFormat="1">
      <c r="A53" s="211" t="s">
        <v>27</v>
      </c>
      <c r="B53" s="211" t="s">
        <v>28</v>
      </c>
      <c r="C53" s="218" t="s">
        <v>29</v>
      </c>
      <c r="D53" s="211" t="s">
        <v>30</v>
      </c>
      <c r="E53" s="211" t="s">
        <v>9</v>
      </c>
      <c r="F53" s="211" t="s">
        <v>61</v>
      </c>
      <c r="G53" s="211" t="s">
        <v>32</v>
      </c>
      <c r="H53" s="211" t="s">
        <v>33</v>
      </c>
      <c r="I53" s="211" t="s">
        <v>74</v>
      </c>
      <c r="J53" s="211" t="s">
        <v>35</v>
      </c>
      <c r="K53" s="245" t="s">
        <v>36</v>
      </c>
      <c r="L53" s="211" t="s">
        <v>37</v>
      </c>
    </row>
    <row r="54" ht="18.6" s="216" customFormat="1">
      <c r="A54" s="211">
        <v>2</v>
      </c>
      <c r="B54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4" s="214" t="s">
        <v>120</v>
      </c>
      <c r="D54" s="214"/>
      <c r="E54" s="214"/>
      <c r="F54" s="214"/>
      <c r="G54" s="398" t="s">
        <v>43</v>
      </c>
      <c r="H54" s="211">
        <v>1.75</v>
      </c>
      <c r="I54" s="247">
        <f>J2/1000</f>
        <v>252</v>
      </c>
      <c r="J54" s="403">
        <f>Table161027[[#This Row],[سعر الكيلو]]*Table161027[[#This Row],[الوزن]]</f>
        <v>441</v>
      </c>
      <c r="K54" s="240">
        <f ref="K54:K55" t="shared" si="13">B54*J54</f>
        <v>1323</v>
      </c>
      <c r="L54" s="241">
        <f>(Table161027[[#This Row],[اجمالي]])/$G$85</f>
        <v>0.0080308209587279748</v>
      </c>
    </row>
    <row r="55" ht="18.6" s="216" customFormat="1">
      <c r="A55" s="211">
        <v>4</v>
      </c>
      <c r="B55" s="219">
        <f>IF((Table2020[Column2]="G1"),3,IF((Table2020[Column2]="G2"),4,IF((Table2020[Column2]="G3"),5,IF((Table2020[Column2]="E1"),3,IF((Table2020[Column2]="E2"),4,IF((Table2020[Column2]="E3"),5,IF((Table2020[Column2]="H1"),3,IF((Table2020[Column2]="H2"),4,IF((Table2020[Column2]="H3"),5,IF((Table2020[Column2]="F1"),3,IF((Table2020[Column2]="F2"),4,IF((Table2020[Column2]="F3"),5,IF((Table2020[Column2]="I1"),3,IF((Table2020[Column2]="I2"),4,IF((Table2020[Column2]="I3"),5,IF((Table2020[Column2]="J1"),3,IF((Table2020[Column2]="J2"),4,IF((Table2020[Column2]="J3"),5,0))))))))))))))))))</f>
        <v>3</v>
      </c>
      <c r="C55" s="214" t="s">
        <v>121</v>
      </c>
      <c r="D55" s="214"/>
      <c r="E55" s="214"/>
      <c r="F55" s="214"/>
      <c r="G55" s="398" t="s">
        <v>122</v>
      </c>
      <c r="H55" s="211"/>
      <c r="I55" s="247"/>
      <c r="J55" s="403">
        <f>Sheet2!B32</f>
        <v>8000</v>
      </c>
      <c r="K55" s="240">
        <f t="shared" si="13"/>
        <v>24000</v>
      </c>
      <c r="L55" s="241">
        <f>(Table161027[[#This Row],[اجمالي]])/$G$85</f>
        <v>0.1456838269157002</v>
      </c>
    </row>
    <row r="56" ht="18.6" s="216" customFormat="1">
      <c r="A56" s="211" t="s">
        <v>54</v>
      </c>
      <c r="B56" s="219"/>
      <c r="C56" s="214" t="s">
        <v>54</v>
      </c>
      <c r="D56" s="214"/>
      <c r="E56" s="214"/>
      <c r="F56" s="214">
        <f>SUBTOTAL(109,Table161027[Column12])</f>
        <v>0</v>
      </c>
      <c r="G56" s="399"/>
      <c r="H56" s="211"/>
      <c r="I56" s="247"/>
      <c r="J56" s="403"/>
      <c r="K56" s="240">
        <f>SUBTOTAL(109,Table161027[اجمالي])</f>
        <v>25323</v>
      </c>
      <c r="L56" s="241">
        <f>Table161027[[#Totals],[اجمالي]]/$G$85</f>
        <v>0.15371464787442818</v>
      </c>
    </row>
    <row r="57" ht="18" s="216" customFormat="1">
      <c r="C57" s="217"/>
      <c r="D57" s="885" t="s">
        <v>123</v>
      </c>
      <c r="E57" s="885"/>
      <c r="F57" s="885"/>
      <c r="G57" s="885"/>
      <c r="H57" s="885"/>
      <c r="I57" s="885"/>
    </row>
    <row r="58" ht="18" s="216" customFormat="1">
      <c r="A58" s="211" t="s">
        <v>27</v>
      </c>
      <c r="B58" s="211" t="s">
        <v>28</v>
      </c>
      <c r="C58" s="214" t="s">
        <v>124</v>
      </c>
      <c r="D58" s="211" t="s">
        <v>61</v>
      </c>
      <c r="E58" s="211" t="s">
        <v>9</v>
      </c>
      <c r="F58" s="400" t="s">
        <v>125</v>
      </c>
      <c r="G58" s="216" t="s">
        <v>126</v>
      </c>
      <c r="H58" s="401" t="s">
        <v>127</v>
      </c>
      <c r="I58" s="211" t="s">
        <v>30</v>
      </c>
      <c r="J58" s="211" t="s">
        <v>128</v>
      </c>
      <c r="K58" s="245" t="s">
        <v>36</v>
      </c>
      <c r="L58" s="211" t="s">
        <v>37</v>
      </c>
    </row>
    <row r="59" ht="18.6" s="216" customFormat="1">
      <c r="A59" s="211">
        <v>1</v>
      </c>
      <c r="B59" s="219">
        <f>IF((تسعير!T31=Sheet2!A6),0,1)</f>
        <v>0</v>
      </c>
      <c r="C59" s="214" t="s">
        <v>129</v>
      </c>
      <c r="D59" s="214"/>
      <c r="E59" s="211"/>
      <c r="F59" s="214"/>
      <c r="G59" s="214"/>
      <c r="H59" s="398">
        <f>'Cutting Ro-2'!$O$7</f>
        <v>3707.7311466796359</v>
      </c>
      <c r="I59" s="247"/>
      <c r="J59" s="403">
        <f>IF((Table161128[[#This Row],[عدد]]&gt;0),'Cutting Ro-2'!O8,0)</f>
        <v>0</v>
      </c>
      <c r="K59" s="240">
        <f>Table161128[[#This Row],[عدد]]*Table161128[[#This Row],[سعر البرجولا كاملة]]</f>
        <v>0</v>
      </c>
      <c r="L59" s="241">
        <f>(K59)/$G$85</f>
        <v>0</v>
      </c>
    </row>
    <row r="60" ht="18.6" s="216" customFormat="1">
      <c r="A60" s="577"/>
      <c r="B60" s="563">
        <f>IF((تسعير!T31=Sheet2!A6),1,0)</f>
        <v>1</v>
      </c>
      <c r="C60" s="573" t="s">
        <v>161</v>
      </c>
      <c r="D60" s="573"/>
      <c r="E60" s="577"/>
      <c r="F60" s="578"/>
      <c r="G60" s="578"/>
      <c r="H60" s="398">
        <f>'Cutting Ro-2'!$O$7</f>
        <v>3707.7311466796359</v>
      </c>
      <c r="I60" s="579"/>
      <c r="J60" s="403">
        <f>IF((Table161128[[#This Row],[عدد]]&gt;0),'Cutting Ro-2'!O8,0)</f>
        <v>59323.698346874175</v>
      </c>
      <c r="K60" s="581">
        <f>Table161128[[#This Row],[عدد]]*Table161128[[#This Row],[سعر البرجولا كاملة]]</f>
        <v>59323.698346874175</v>
      </c>
      <c r="L60" s="241">
        <f>Table161128[[#Totals],[اجمالي]]/$G$85</f>
        <v>0.39611473925673962</v>
      </c>
    </row>
    <row r="61" ht="18" s="216" customFormat="1">
      <c r="A61" s="211">
        <v>4</v>
      </c>
      <c r="B61" s="212">
        <f>IF((F81="الاسكندرية"),0.25,0.1)</f>
        <v>0.1</v>
      </c>
      <c r="C61" s="213" t="s">
        <v>131</v>
      </c>
      <c r="D61" s="214"/>
      <c r="E61" s="211"/>
      <c r="G61" s="214"/>
      <c r="H61" s="211"/>
      <c r="I61" s="247"/>
      <c r="J61" s="248">
        <f>K59+K60</f>
        <v>59323.698346874175</v>
      </c>
      <c r="K61" s="240">
        <f>Table161128[[#This Row],[عدد]]*Table161128[[#This Row],[سعر البرجولا كاملة]]</f>
        <v>5932.369834687418</v>
      </c>
      <c r="L61" s="241">
        <f>(K61)/$G$85</f>
        <v>0.036010430841521786</v>
      </c>
    </row>
    <row r="62" ht="18" s="216" customFormat="1">
      <c r="A62" s="572" t="s">
        <v>54</v>
      </c>
      <c r="B62" s="571"/>
      <c r="C62" s="550" t="s">
        <v>54</v>
      </c>
      <c r="D62" s="574">
        <f>SUBTOTAL(109,Table161128[Column12])</f>
        <v>0</v>
      </c>
      <c r="E62" s="572"/>
      <c r="F62" s="573"/>
      <c r="G62" s="573"/>
      <c r="H62" s="572"/>
      <c r="I62" s="572"/>
      <c r="J62" s="242"/>
      <c r="K62" s="575">
        <f>SUBTOTAL(109,Table161128[اجمالي])</f>
        <v>65256.06818156159</v>
      </c>
      <c r="L62" s="576">
        <f>Table161128[[#Totals],[اجمالي]]/$G$85</f>
        <v>0.39611473925673962</v>
      </c>
    </row>
    <row r="63" ht="18" s="216" customFormat="1">
      <c r="C63" s="217"/>
      <c r="D63" s="885" t="s">
        <v>162</v>
      </c>
      <c r="E63" s="885"/>
      <c r="F63" s="885"/>
      <c r="G63" s="885"/>
      <c r="H63" s="885"/>
      <c r="I63" s="885"/>
    </row>
    <row r="64" ht="18" s="216" customFormat="1">
      <c r="A64" s="211" t="s">
        <v>27</v>
      </c>
      <c r="B64" s="211" t="s">
        <v>28</v>
      </c>
      <c r="C64" s="218" t="s">
        <v>29</v>
      </c>
      <c r="D64" s="211" t="s">
        <v>30</v>
      </c>
      <c r="E64" s="211" t="s">
        <v>9</v>
      </c>
      <c r="F64" s="211" t="s">
        <v>61</v>
      </c>
      <c r="G64" s="211" t="s">
        <v>32</v>
      </c>
      <c r="H64" s="211" t="s">
        <v>33</v>
      </c>
      <c r="I64" s="211" t="s">
        <v>74</v>
      </c>
      <c r="J64" s="211" t="s">
        <v>35</v>
      </c>
      <c r="K64" s="245" t="s">
        <v>36</v>
      </c>
      <c r="L64" s="211" t="s">
        <v>37</v>
      </c>
    </row>
    <row r="65" ht="18" s="216" customFormat="1">
      <c r="A65" s="211">
        <v>1</v>
      </c>
      <c r="B65" s="219">
        <f>IF((تسعير!T25="جلفنة و جوتن"),(Table118[[#Totals],[اجمالي الميزان]]+Table1624[[#Totals],[الوزن]]+Table1421[[#Totals],[الوزن]]),0)</f>
        <v>0</v>
      </c>
      <c r="C65" s="214" t="s">
        <v>112</v>
      </c>
      <c r="D65" s="214"/>
      <c r="E65" s="211"/>
      <c r="G65" s="247"/>
      <c r="H65" s="211"/>
      <c r="I65" s="247"/>
      <c r="J65" s="247">
        <v>30</v>
      </c>
      <c r="K65" s="240">
        <f>B65*Table161330[[#This Row],[سعر الشبك ]]</f>
        <v>0</v>
      </c>
      <c r="L65" s="241">
        <f>(K65)/$G$85</f>
        <v>0</v>
      </c>
    </row>
    <row r="66" ht="18" s="216" customFormat="1">
      <c r="A66" s="211" t="s">
        <v>54</v>
      </c>
      <c r="B66" s="212"/>
      <c r="C66" s="213" t="s">
        <v>54</v>
      </c>
      <c r="D66" s="214"/>
      <c r="E66" s="214"/>
      <c r="F66" s="216">
        <f>SUBTOTAL(109,Table161330[Column12])</f>
        <v>0</v>
      </c>
      <c r="G66" s="211"/>
      <c r="H66" s="211"/>
      <c r="I66" s="211"/>
      <c r="J66" s="242"/>
      <c r="K66" s="240">
        <f>SUBTOTAL(109,Table161330[اجمالي])</f>
        <v>0</v>
      </c>
      <c r="L66" s="241">
        <f>Table161330[[#Totals],[اجمالي]]/$G$85</f>
        <v>0</v>
      </c>
    </row>
    <row r="67" ht="18" s="216" customFormat="1">
      <c r="C67" s="217"/>
      <c r="D67" s="885" t="s">
        <v>132</v>
      </c>
      <c r="E67" s="885"/>
      <c r="F67" s="885"/>
      <c r="G67" s="885"/>
      <c r="H67" s="885"/>
      <c r="I67" s="885"/>
    </row>
    <row r="68" ht="18" s="216" customFormat="1">
      <c r="A68" s="211" t="s">
        <v>27</v>
      </c>
      <c r="B68" s="211" t="s">
        <v>28</v>
      </c>
      <c r="C68" s="218" t="s">
        <v>29</v>
      </c>
      <c r="D68" s="211" t="s">
        <v>133</v>
      </c>
      <c r="E68" s="211" t="s">
        <v>12</v>
      </c>
      <c r="F68" s="211" t="s">
        <v>134</v>
      </c>
      <c r="G68" s="211" t="s">
        <v>135</v>
      </c>
      <c r="H68" s="211" t="s">
        <v>61</v>
      </c>
      <c r="I68" s="211" t="s">
        <v>136</v>
      </c>
      <c r="J68" s="211" t="s">
        <v>137</v>
      </c>
      <c r="K68" s="245" t="s">
        <v>36</v>
      </c>
      <c r="L68" s="211" t="s">
        <v>37</v>
      </c>
    </row>
    <row r="69" ht="18" s="216" customFormat="1">
      <c r="A69" s="211">
        <v>1</v>
      </c>
      <c r="B69" s="219">
        <v>4</v>
      </c>
      <c r="C69" s="220" t="s">
        <v>138</v>
      </c>
      <c r="D69" s="211">
        <f>IF((Table161229[[#This Row],[موقع العمل]]="المصنع"),280,IF((Table161229[[#This Row],[موقع العمل]]="الاسكندرية"),320,400))</f>
        <v>280</v>
      </c>
      <c r="E69" s="211">
        <f>SUMIF(Table1731[Column1],Table161229[[#This Row],[موقع العمل]],$Q$2:$Q$26)</f>
        <v>0</v>
      </c>
      <c r="F69" s="211" t="s">
        <v>139</v>
      </c>
      <c r="G69" s="214" t="s">
        <v>39</v>
      </c>
      <c r="I69" s="404">
        <v>1.5</v>
      </c>
      <c r="J69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420</v>
      </c>
      <c r="K69" s="240">
        <f ref="K69:K81" t="shared" si="14">B69*J69</f>
        <v>1680</v>
      </c>
      <c r="L69" s="241">
        <f ref="L69:L81" t="shared" si="15">(K69)/$G$85</f>
        <v>0.010197867884099014</v>
      </c>
    </row>
    <row r="70" ht="18" s="216" customFormat="1">
      <c r="A70" s="211">
        <v>2</v>
      </c>
      <c r="B70" s="219">
        <v>3</v>
      </c>
      <c r="C70" s="220" t="s">
        <v>140</v>
      </c>
      <c r="D70" s="211">
        <f>IF((Table161229[[#This Row],[موقع العمل]]="المصنع"),280,IF((Table161229[[#This Row],[موقع العمل]]="الاسكندرية"),320,400))</f>
        <v>280</v>
      </c>
      <c r="E70" s="211">
        <f>SUMIF(Table1731[Column1],Table161229[[#This Row],[موقع العمل]],$Q$2:$Q$26)</f>
        <v>0</v>
      </c>
      <c r="F70" s="211" t="s">
        <v>139</v>
      </c>
      <c r="G70" s="214" t="s">
        <v>39</v>
      </c>
      <c r="I70" s="243">
        <v>1</v>
      </c>
      <c r="J70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0" s="240">
        <f t="shared" si="14"/>
        <v>840</v>
      </c>
      <c r="L70" s="241">
        <f t="shared" si="15"/>
        <v>0.0050989339420495069</v>
      </c>
    </row>
    <row r="71" ht="18" s="216" customFormat="1">
      <c r="A71" s="211">
        <v>3</v>
      </c>
      <c r="B71" s="219">
        <v>3</v>
      </c>
      <c r="C71" s="220" t="s">
        <v>141</v>
      </c>
      <c r="D71" s="211">
        <f>IF((Table161229[[#This Row],[موقع العمل]]="المصنع"),280,IF((Table161229[[#This Row],[موقع العمل]]="الاسكندرية"),320,400))</f>
        <v>280</v>
      </c>
      <c r="E71" s="211">
        <f>SUMIF(Table1731[Column1],Table161229[[#This Row],[موقع العمل]],$Q$2:$Q$26)</f>
        <v>0</v>
      </c>
      <c r="F71" s="211" t="s">
        <v>139</v>
      </c>
      <c r="G71" s="214" t="s">
        <v>39</v>
      </c>
      <c r="I71" s="243">
        <f>IF((Table2020[Column2]="G1"),2,IF((Table2020[Column2]="G2"),2,IF((Table2020[Column2]="G3"),3,IF((Table2020[Column2]="E1"),2,IF((Table2020[Column2]="E2"),2,IF((Table2020[Column2]="E3"),3,IF((Table2020[Column2]="H1"),3,IF((Table2020[Column2]="H2"),3,IF((Table2020[Column2]="H3"),3,IF((Table2020[Column2]="F1"),2,IF((Table2020[Column2]="F2"),2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1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560</v>
      </c>
      <c r="K71" s="240">
        <f t="shared" si="14"/>
        <v>1680</v>
      </c>
      <c r="L71" s="241">
        <f t="shared" si="15"/>
        <v>0.010197867884099014</v>
      </c>
    </row>
    <row r="72" ht="18" s="216" customFormat="1">
      <c r="A72" s="211">
        <v>4</v>
      </c>
      <c r="B72" s="212">
        <v>3</v>
      </c>
      <c r="C72" s="220" t="s">
        <v>142</v>
      </c>
      <c r="D72" s="211">
        <f>IF((Table161229[[#This Row],[موقع العمل]]="المصنع"),280,IF((Table161229[[#This Row],[موقع العمل]]="الاسكندرية"),320,400))</f>
        <v>280</v>
      </c>
      <c r="E72" s="211">
        <f>SUMIF(Table1731[Column1],Table161229[[#This Row],[موقع العمل]],$Q$2:$Q$26)</f>
        <v>0</v>
      </c>
      <c r="F72" s="211" t="s">
        <v>139</v>
      </c>
      <c r="G72" s="214" t="s">
        <v>39</v>
      </c>
      <c r="I72" s="243">
        <f>IF((Table2020[Column2]="G1"),1,IF((Table2020[Column2]="G2"),1,IF((Table2020[Column2]="G3"),2,IF((Table2020[Column2]="E1"),1,IF((Table2020[Column2]="E2"),1,IF((Table2020[Column2]="E3"),2,IF((Table2020[Column2]="H1"),2,IF((Table2020[Column2]="H2"),2,IF((Table2020[Column2]="H3"),2,IF((Table2020[Column2]="F1"),2,IF((Table2020[Column2]="F2"),2,IF((Table2020[Column2]="F3"),2,IF((Table2020[Column2]="I1"),2,IF((Table2020[Column2]="I2"),2,IF((Table2020[Column2]="I3"),2,IF((Table2020[Column2]="J1"),2,IF((Table2020[Column2]="J2"),2,IF((Table2020[Column2]="J3"),2,0))))))))))))))))))</f>
        <v>1</v>
      </c>
      <c r="J72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280</v>
      </c>
      <c r="K72" s="240">
        <f t="shared" si="14"/>
        <v>840</v>
      </c>
      <c r="L72" s="241">
        <f t="shared" si="15"/>
        <v>0.0050989339420495069</v>
      </c>
    </row>
    <row r="73" ht="18" s="216" customFormat="1">
      <c r="A73" s="211">
        <v>5</v>
      </c>
      <c r="B73" s="212">
        <v>4</v>
      </c>
      <c r="C73" s="220" t="s">
        <v>143</v>
      </c>
      <c r="D73" s="211">
        <f>IF((Table161229[[#This Row],[موقع العمل]]="المصنع"),280,IF((Table161229[[#This Row],[موقع العمل]]="الاسكندرية"),320,400))</f>
        <v>400</v>
      </c>
      <c r="E73" s="211">
        <f>SUMIF(Table1731[Column1],Table161229[[#This Row],[موقع العمل]],$Q$2:$Q$26)</f>
        <v>100</v>
      </c>
      <c r="F73" s="211" t="str">
        <f>تسعير!$T$24</f>
        <v>الشيخ زايد</v>
      </c>
      <c r="G73" s="214" t="s">
        <v>39</v>
      </c>
      <c r="I73" s="243">
        <f>IF((Table2020[Column2]="G1"),3,IF((Table2020[Column2]="G2"),3,IF((Table2020[Column2]="G3"),3,IF((Table2020[Column2]="E1"),2,IF((Table2020[Column2]="E2"),2,IF((Table2020[Column2]="E3"),2,IF((Table2020[Column2]="H1"),3,IF((Table2020[Column2]="H2"),3,IF((Table2020[Column2]="H3"),3,IF((Table2020[Column2]="F1"),2,IF((Table2020[Column2]="F2"),3,IF((Table2020[Column2]="F3"),3,IF((Table2020[Column2]="I1"),3,IF((Table2020[Column2]="I2"),3,IF((Table2020[Column2]="I3"),3,IF((Table2020[Column2]="J1"),4,IF((Table2020[Column2]="J2"),4,IF((Table2020[Column2]="J3"),4,0))))))))))))))))))</f>
        <v>2</v>
      </c>
      <c r="J73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3" s="240">
        <f t="shared" si="14"/>
        <v>4000</v>
      </c>
      <c r="L73" s="241">
        <f t="shared" si="15"/>
        <v>0.024280637819283368</v>
      </c>
    </row>
    <row r="74" ht="18" s="216" customFormat="1">
      <c r="A74" s="211">
        <v>6</v>
      </c>
      <c r="B74" s="212">
        <v>3</v>
      </c>
      <c r="C74" s="220" t="s">
        <v>144</v>
      </c>
      <c r="D74" s="211">
        <f>IF((Table161229[[#This Row],[موقع العمل]]="المصنع"),280,IF((Table161229[[#This Row],[موقع العمل]]="الاسكندرية"),320,400))</f>
        <v>400</v>
      </c>
      <c r="E74" s="211">
        <f>SUMIF(Table1731[Column1],Table161229[[#This Row],[موقع العمل]],$Q$2:$Q$26)</f>
        <v>100</v>
      </c>
      <c r="F74" s="211" t="str">
        <f>تسعير!$T$24</f>
        <v>الشيخ زايد</v>
      </c>
      <c r="G74" s="214" t="s">
        <v>39</v>
      </c>
      <c r="I74" s="243">
        <f>IF((Table2020[Column2]="G1"),3,IF((Table2020[Column2]="G2"),3,IF((Table2020[Column2]="G3"),3,IF((Table2020[Column2]="E1"),3,IF((Table2020[Column2]="E2"),3,IF((Table2020[Column2]="E3"),3,IF((Table2020[Column2]="H1"),3,IF((Table2020[Column2]="H2"),4,IF((Table2020[Column2]="H3"),4,IF((Table2020[Column2]="F1"),3,IF((Table2020[Column2]="F2"),4,IF((Table2020[Column2]="F3"),4,IF((Table2020[Column2]="I1"),4,IF((Table2020[Column2]="I2"),4,IF((Table2020[Column2]="I3"),4,IF((Table2020[Column2]="J1"),4,IF((Table2020[Column2]="J2"),4,IF((Table2020[Column2]="J3"),4,0))))))))))))))))))</f>
        <v>3</v>
      </c>
      <c r="J74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1500</v>
      </c>
      <c r="K74" s="240">
        <f t="shared" si="14"/>
        <v>4500</v>
      </c>
      <c r="L74" s="241">
        <f t="shared" si="15"/>
        <v>0.027315717546693791</v>
      </c>
      <c r="N74" s="207"/>
      <c r="O74" s="207"/>
      <c r="P74" s="207"/>
      <c r="Q74" s="207"/>
      <c r="R74" s="207"/>
      <c r="S74" s="207"/>
      <c r="T74" s="207"/>
    </row>
    <row r="75" ht="18" s="216" customFormat="1">
      <c r="A75" s="211">
        <v>7</v>
      </c>
      <c r="B75" s="212">
        <v>0</v>
      </c>
      <c r="C75" s="220" t="s">
        <v>145</v>
      </c>
      <c r="D75" s="211">
        <f>IF((Table161229[[#This Row],[موقع العمل]]="المصنع"),280,IF((Table161229[[#This Row],[موقع العمل]]="الاسكندرية"),320,400))</f>
        <v>400</v>
      </c>
      <c r="E75" s="211">
        <f>SUMIF(Table1731[Column1],Table161229[[#This Row],[موقع العمل]],$Q$2:$Q$26)</f>
        <v>100</v>
      </c>
      <c r="F75" s="211" t="str">
        <f>تسعير!$T$24</f>
        <v>الشيخ زايد</v>
      </c>
      <c r="G75" s="214" t="s">
        <v>39</v>
      </c>
      <c r="I75" s="243"/>
      <c r="J75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0</v>
      </c>
      <c r="K75" s="240">
        <f t="shared" si="14"/>
        <v>0</v>
      </c>
      <c r="L75" s="241">
        <f t="shared" si="15"/>
        <v>0</v>
      </c>
      <c r="N75" s="207"/>
      <c r="O75" s="207"/>
      <c r="P75" s="207"/>
      <c r="Q75" s="207"/>
      <c r="R75" s="207"/>
      <c r="S75" s="207"/>
      <c r="T75" s="207"/>
    </row>
    <row r="76" ht="18" s="216" customFormat="1">
      <c r="A76" s="211">
        <v>8</v>
      </c>
      <c r="B76" s="212">
        <v>4</v>
      </c>
      <c r="C76" s="220" t="s">
        <v>146</v>
      </c>
      <c r="D76" s="211">
        <f>IF((Table161229[[#This Row],[موقع العمل]]="المصنع"),280,IF((Table161229[[#This Row],[موقع العمل]]="الاسكندرية"),320,400))</f>
        <v>400</v>
      </c>
      <c r="E76" s="211">
        <f>SUMIF(Table1731[Column1],Table161229[[#This Row],[موقع العمل]],$Q$2:$Q$26)</f>
        <v>100</v>
      </c>
      <c r="F76" s="211" t="str">
        <f>تسعير!$T$24</f>
        <v>الشيخ زايد</v>
      </c>
      <c r="G76" s="214" t="s">
        <v>39</v>
      </c>
      <c r="I76" s="243">
        <f>IF((Table2020[Column2]="G1"),2,IF((Table2020[Column2]="G2"),2,IF((Table2020[Column2]="G3"),2,IF((Table2020[Column2]="E1"),2,IF((Table2020[Column2]="E2"),2,IF((Table2020[Column2]="E3"),2,IF((Table2020[Column2]="H1"),3,IF((Table2020[Column2]="H2"),3,IF((Table2020[Column2]="H3"),3,IF((Table2020[Column2]="F1"),3,IF((Table2020[Column2]="F2"),3,IF((Table2020[Column2]="F3"),3,IF((Table2020[Column2]="I1"),3,IF((Table2020[Column2]="I2"),3,IF((Table2020[Column2]="I3"),3,IF((Table2020[Column2]="J1"),3,IF((Table2020[Column2]="J2"),3,IF((Table2020[Column2]="J3"),3,0))))))))))))))))))</f>
        <v>2</v>
      </c>
      <c r="J76" s="243">
        <f>IF(Table161229[[#This Row],[عدد الايام]]=0,0,IF((Table161229[[#This Row],[شيفت العمل]]="صباحي"),((Table161229[[#This Row],[بدل الوجبة]]+Table161229[[#This Row],[اليومية / الاجرة]])*Table161229[[#This Row],[عدد الايام]]),IF((Table161229[[#This Row],[شيفت العمل]]="ليلي"),(((Table161229[[#This Row],[بدل الوجبة]]+Table161229[[#This Row],[اليومية / الاجرة]])*Table161229[[#This Row],[عدد الايام]])+Table161229[[#This Row],[اليومية / الاجرة]]),"ERROR")))</f>
        <v>1000</v>
      </c>
      <c r="K76" s="240">
        <f t="shared" si="14"/>
        <v>4000</v>
      </c>
      <c r="L76" s="241">
        <f t="shared" si="15"/>
        <v>0.024280637819283368</v>
      </c>
      <c r="N76" s="207"/>
      <c r="O76" s="207"/>
      <c r="P76" s="207"/>
      <c r="Q76" s="207"/>
      <c r="R76" s="207"/>
      <c r="S76" s="207"/>
      <c r="T76" s="207"/>
    </row>
    <row r="77" ht="18" s="216" customFormat="1">
      <c r="A77" s="211">
        <v>9</v>
      </c>
      <c r="B77" s="212">
        <f>(B73+B74+B75+B76)*2</f>
        <v>22</v>
      </c>
      <c r="C77" s="220" t="s">
        <v>147</v>
      </c>
      <c r="D77" s="211"/>
      <c r="E77" s="211"/>
      <c r="F77" s="211" t="str">
        <f>تسعير!$T$24</f>
        <v>الشيخ زايد</v>
      </c>
      <c r="G77" s="214"/>
      <c r="H77" s="247">
        <f>SUMIF(Table1731[Column1],Table161229[[#This Row],[موقع العمل]],$O$2:$O$26)</f>
        <v>400</v>
      </c>
      <c r="I77" s="247"/>
      <c r="J77" s="243">
        <f>Table161229[[#This Row],[Column12]]</f>
        <v>400</v>
      </c>
      <c r="K77" s="240">
        <f t="shared" si="14"/>
        <v>8800</v>
      </c>
      <c r="L77" s="241">
        <f t="shared" si="15"/>
        <v>0.053417403202423414</v>
      </c>
      <c r="N77" s="207"/>
      <c r="O77" s="207"/>
      <c r="P77" s="207"/>
      <c r="Q77" s="207"/>
      <c r="R77" s="207"/>
      <c r="S77" s="207"/>
      <c r="T77" s="207"/>
    </row>
    <row r="78" ht="18" s="216" customFormat="1">
      <c r="A78" s="211">
        <v>10</v>
      </c>
      <c r="B78" s="212">
        <f>((I73+I74+I75+I76)*2)-2</f>
        <v>12</v>
      </c>
      <c r="C78" s="220" t="s">
        <v>148</v>
      </c>
      <c r="D78" s="211"/>
      <c r="E78" s="211"/>
      <c r="F78" s="211" t="str">
        <f>تسعير!$T$24</f>
        <v>الشيخ زايد</v>
      </c>
      <c r="G78" s="214"/>
      <c r="H78" s="247">
        <f>SUMIF(Table1731[Column1],Table161229[[#This Row],[موقع العمل]],$P$2:$P$26)</f>
        <v>400</v>
      </c>
      <c r="I78" s="247"/>
      <c r="J78" s="243">
        <f>Table161229[[#This Row],[Column12]]</f>
        <v>400</v>
      </c>
      <c r="K78" s="240">
        <f t="shared" si="14"/>
        <v>4800</v>
      </c>
      <c r="L78" s="241">
        <f t="shared" si="15"/>
        <v>0.029136765383140042</v>
      </c>
      <c r="N78" s="207"/>
      <c r="O78" s="207"/>
      <c r="P78" s="207"/>
      <c r="Q78" s="207"/>
      <c r="R78" s="207"/>
      <c r="S78" s="207"/>
      <c r="T78" s="207"/>
    </row>
    <row r="79" ht="18" s="216" customFormat="1">
      <c r="A79" s="211">
        <v>11</v>
      </c>
      <c r="B79" s="212">
        <v>2</v>
      </c>
      <c r="C79" s="220" t="s">
        <v>149</v>
      </c>
      <c r="D79" s="211"/>
      <c r="E79" s="211"/>
      <c r="F79" s="211" t="str">
        <f>تسعير!$T$24</f>
        <v>الشيخ زايد</v>
      </c>
      <c r="G79" s="214"/>
      <c r="H79" s="247">
        <f>SUMIF(Table1731[Column1],Table161229[[#This Row],[موقع العمل]],$R$2:$R$26)</f>
        <v>3500</v>
      </c>
      <c r="I79" s="247"/>
      <c r="J79" s="243">
        <f>Table161229[[#This Row],[Column12]]</f>
        <v>3500</v>
      </c>
      <c r="K79" s="240">
        <f t="shared" si="14"/>
        <v>7000</v>
      </c>
      <c r="L79" s="241">
        <f t="shared" si="15"/>
        <v>0.042491116183745896</v>
      </c>
      <c r="N79" s="207"/>
      <c r="O79" s="207"/>
      <c r="P79" s="207"/>
      <c r="Q79" s="207"/>
      <c r="R79" s="207"/>
      <c r="S79" s="207"/>
      <c r="T79" s="207"/>
    </row>
    <row r="80" ht="18" s="216" customFormat="1">
      <c r="A80" s="211">
        <v>12</v>
      </c>
      <c r="B80" s="212">
        <v>1</v>
      </c>
      <c r="C80" s="220" t="s">
        <v>150</v>
      </c>
      <c r="D80" s="211"/>
      <c r="E80" s="211"/>
      <c r="F80" s="211" t="str">
        <f>تسعير!$T$24</f>
        <v>الشيخ زايد</v>
      </c>
      <c r="G80" s="214"/>
      <c r="H80" s="247">
        <f>SUMIF(Table1731[Column1],Table161229[[#This Row],[موقع العمل]],$S$2:$S$26)</f>
        <v>6000</v>
      </c>
      <c r="I80" s="247"/>
      <c r="J80" s="243">
        <f>Table161229[[#This Row],[Column12]]</f>
        <v>6000</v>
      </c>
      <c r="K80" s="240">
        <f t="shared" si="14"/>
        <v>6000</v>
      </c>
      <c r="L80" s="241">
        <f t="shared" si="15"/>
        <v>0.03642095672892505</v>
      </c>
      <c r="N80" s="207"/>
      <c r="O80" s="207"/>
      <c r="P80" s="207"/>
      <c r="Q80" s="207"/>
      <c r="R80" s="207"/>
      <c r="S80" s="207"/>
      <c r="T80" s="207"/>
    </row>
    <row r="81" ht="18" s="216" customFormat="1">
      <c r="A81" s="211">
        <v>13</v>
      </c>
      <c r="B81" s="212">
        <f>B78</f>
        <v>12</v>
      </c>
      <c r="C81" s="220" t="s">
        <v>15</v>
      </c>
      <c r="D81" s="211"/>
      <c r="E81" s="211"/>
      <c r="F81" s="211" t="str">
        <f>تسعير!$T$24</f>
        <v>الشيخ زايد</v>
      </c>
      <c r="G81" s="214"/>
      <c r="H81" s="247">
        <f>SUMIF(Table1731[Column1],Table161229[[#This Row],[موقع العمل]],$T$2:$T$26)</f>
        <v>150</v>
      </c>
      <c r="I81" s="247"/>
      <c r="J81" s="243">
        <f>Table161229[[#This Row],[Column12]]</f>
        <v>150</v>
      </c>
      <c r="K81" s="240">
        <f t="shared" si="14"/>
        <v>1800</v>
      </c>
      <c r="L81" s="241">
        <f t="shared" si="15"/>
        <v>0.010926287018677516</v>
      </c>
      <c r="N81" s="207"/>
      <c r="O81" s="207"/>
      <c r="P81" s="207"/>
      <c r="Q81" s="207"/>
      <c r="R81" s="207"/>
      <c r="S81" s="207"/>
      <c r="T81" s="207"/>
    </row>
    <row r="82" ht="18">
      <c r="A82" s="572" t="s">
        <v>54</v>
      </c>
      <c r="B82" s="571"/>
      <c r="C82" s="550" t="s">
        <v>54</v>
      </c>
      <c r="D82" s="572"/>
      <c r="E82" s="572"/>
      <c r="F82" s="573"/>
      <c r="G82" s="573"/>
      <c r="H82" s="574">
        <f>SUBTOTAL(109,Table161229[Column12])</f>
        <v>10450</v>
      </c>
      <c r="I82" s="572"/>
      <c r="J82" s="242"/>
      <c r="K82" s="575">
        <f>SUBTOTAL(109,Table161229[اجمالي])</f>
        <v>45940</v>
      </c>
      <c r="L82" s="576">
        <f>Table161229[[#Totals],[اجمالي]]/$G$85</f>
        <v>0.2788631253544695</v>
      </c>
    </row>
    <row r="83" ht="18">
      <c r="A83" s="216"/>
      <c r="B83" s="216"/>
      <c r="C83" s="217"/>
      <c r="D83" s="890"/>
      <c r="E83" s="890"/>
      <c r="F83" s="890"/>
      <c r="G83" s="890"/>
      <c r="H83" s="890"/>
      <c r="I83" s="890"/>
      <c r="J83" s="216"/>
      <c r="K83" s="216"/>
      <c r="L83" s="216"/>
    </row>
    <row r="84" ht="18">
      <c r="A84" s="211"/>
      <c r="B84" s="211"/>
      <c r="C84" s="218" t="s">
        <v>9</v>
      </c>
      <c r="D84" s="211" t="s">
        <v>151</v>
      </c>
      <c r="E84" s="211" t="s">
        <v>152</v>
      </c>
      <c r="F84" s="211" t="s">
        <v>96</v>
      </c>
      <c r="G84" s="211" t="s">
        <v>30</v>
      </c>
      <c r="H84" s="211"/>
      <c r="I84" s="211"/>
      <c r="J84" s="211"/>
      <c r="K84" s="245"/>
      <c r="L84" s="211"/>
    </row>
    <row r="85" ht="18">
      <c r="A85" s="211"/>
      <c r="B85" s="219"/>
      <c r="C85" s="213" t="s">
        <v>153</v>
      </c>
      <c r="D85" s="214"/>
      <c r="E85" s="211"/>
      <c r="F85" s="280"/>
      <c r="G85" s="281">
        <f>Table161229[[#Totals],[اجمالي]]+Table161330[[#Totals],[اجمالي]]+Table161128[[#Totals],[اجمالي]]+Table161027[[#Totals],[اجمالي]]+Table1319[[#Totals],[اجمالي]]+Table1624[[#Totals],[اجمالي]]+Table1522[[#Totals],[اجمالي]]+Table1421[[#Totals],[اجمالي]]+Table118[[#Totals],[اجمالي]]</f>
        <v>164740.3181815616</v>
      </c>
      <c r="H85" s="211"/>
      <c r="I85" s="211"/>
      <c r="J85" s="243"/>
      <c r="K85" s="282"/>
      <c r="L85" s="283"/>
    </row>
    <row r="86" ht="18">
      <c r="A86" s="211"/>
      <c r="B86" s="212"/>
      <c r="C86" s="213" t="s">
        <v>154</v>
      </c>
      <c r="D86" s="214"/>
      <c r="E86" s="211"/>
      <c r="F86" s="310">
        <f>IF((F81="المقطم"),0.3,IF((F81="التجمع"),0.3,IF((F81="الشيخ زايد"),0.3,IF((F81="الاسكندرية"),0.5,IF((F75="الساحل"),0.5,0.35)))))</f>
        <v>0.3</v>
      </c>
      <c r="G86" s="281">
        <f>G85*(1+Table1832[[#This Row],[Column3]])</f>
        <v>214162.41363603008</v>
      </c>
      <c r="H86" s="211"/>
      <c r="I86" s="211"/>
      <c r="J86" s="243"/>
      <c r="K86" s="282"/>
      <c r="L86" s="283"/>
    </row>
    <row r="87" ht="18">
      <c r="A87" s="211"/>
      <c r="B87" s="219"/>
      <c r="H87" s="211"/>
      <c r="I87" s="211"/>
      <c r="J87" s="243"/>
      <c r="K87" s="282"/>
      <c r="L87" s="283"/>
    </row>
    <row r="88" ht="18">
      <c r="A88" s="211"/>
      <c r="B88" s="212"/>
      <c r="H88" s="211"/>
      <c r="I88" s="242"/>
      <c r="J88" s="243"/>
      <c r="K88" s="282"/>
      <c r="L88" s="283"/>
    </row>
    <row r="89" ht="18">
      <c r="A89" s="211"/>
      <c r="B89" s="219"/>
      <c r="H89" s="211"/>
      <c r="I89" s="242"/>
      <c r="J89" s="247"/>
      <c r="K89" s="282"/>
      <c r="L89" s="283"/>
    </row>
    <row r="90" ht="18">
      <c r="A90" s="211"/>
      <c r="B90" s="212"/>
      <c r="H90" s="211"/>
      <c r="I90" s="211"/>
      <c r="J90" s="242"/>
      <c r="K90" s="282"/>
      <c r="L90" s="216"/>
    </row>
  </sheetData>
  <sheetProtection selectLockedCells="1" selectUnlockedCells="1"/>
  <mergeCells>
    <mergeCell ref="D67:I67"/>
    <mergeCell ref="D83:I83"/>
    <mergeCell ref="A1:C2"/>
    <mergeCell ref="D29:I29"/>
    <mergeCell ref="D34:I34"/>
    <mergeCell ref="D52:I52"/>
    <mergeCell ref="D57:I57"/>
    <mergeCell ref="D63:I63"/>
    <mergeCell ref="A3:B3"/>
    <mergeCell ref="G3:I3"/>
    <mergeCell ref="D4:I4"/>
    <mergeCell ref="D11:I11"/>
    <mergeCell ref="D16:I16"/>
  </mergeCells>
  <dataValidations count="2">
    <dataValidation type="list" allowBlank="1" showInputMessage="1" showErrorMessage="1" sqref="G69:G81" xr:uid="{00000000-0002-0000-0300-000000000000}">
      <formula1>$U$4:$U$5</formula1>
    </dataValidation>
    <dataValidation type="list" allowBlank="1" showInputMessage="1" showErrorMessage="1" sqref="F73:F81" xr:uid="{00000000-0002-0000-0300-000001000000}">
      <formula1>$N$2:$N$20</formula1>
    </dataValidation>
  </dataValidations>
  <pageMargins left="0.70866141732283505" right="0.70866141732283505" top="0.74803149606299202" bottom="0.74803149606299202" header="0.31496062992126" footer="0.31496062992126"/>
  <pageSetup paperSize="9" scale="45" orientation="portrait" horizontalDpi="300" verticalDpi="300"/>
  <headerFooter/>
  <legacyDrawing r:id="rId2"/>
  <tableParts count="12"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22"/>
  <dimension ref="A1:BB179"/>
  <sheetViews>
    <sheetView rightToLeft="1" topLeftCell="A28" zoomScale="40" zoomScaleNormal="40" workbookViewId="0">
      <selection activeCell="O55" sqref="O55:O62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40.33203125" customWidth="1" style="1"/>
    <col min="37" max="37" width="9.109375" customWidth="1" style="1"/>
    <col min="38" max="38" width="16.6640625" customWidth="1" style="1"/>
    <col min="39" max="39" width="17" customWidth="1" style="1"/>
    <col min="40" max="16384" width="9.109375" customWidth="1" style="1"/>
  </cols>
  <sheetData>
    <row r="1" ht="21">
      <c r="A1" s="382" t="s">
        <v>163</v>
      </c>
      <c r="B1" s="269">
        <f>(F1*D1)/10000</f>
        <v>12.5</v>
      </c>
      <c r="C1" s="270" t="s">
        <v>164</v>
      </c>
      <c r="D1" s="271">
        <f>تسعير!BA12</f>
        <v>500</v>
      </c>
      <c r="E1" s="270" t="s">
        <v>125</v>
      </c>
      <c r="F1" s="271">
        <f>تسعير!AV10</f>
        <v>250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  <c r="AT1" s="207"/>
      <c r="AU1" s="207"/>
      <c r="AV1" s="207"/>
      <c r="AW1" s="207"/>
      <c r="AX1" s="207"/>
      <c r="AY1" s="207"/>
      <c r="AZ1" s="207"/>
      <c r="BA1" s="207"/>
      <c r="BB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07"/>
      <c r="AU2" s="207"/>
      <c r="AV2" s="207"/>
      <c r="AW2" s="207"/>
      <c r="AX2" s="207"/>
      <c r="AY2" s="207"/>
      <c r="AZ2" s="207"/>
      <c r="BA2" s="207"/>
      <c r="BB2" s="207"/>
    </row>
    <row r="3" ht="21">
      <c r="A3" s="187" t="s">
        <v>169</v>
      </c>
      <c r="B3" s="187">
        <f>MAX(G3:I3)</f>
        <v>5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6345</v>
      </c>
      <c r="G3" s="195">
        <f>IF(D1&lt;=350,3.5,0)</f>
        <v>0</v>
      </c>
      <c r="H3" s="195">
        <f>IF(AND((D1&gt;350),(D1&lt;=500)),5,0)</f>
        <v>5</v>
      </c>
      <c r="I3" s="195">
        <f>IF(D1&gt;500,7,0)</f>
        <v>0</v>
      </c>
      <c r="J3" s="195"/>
      <c r="L3" s="886" t="s">
        <v>17</v>
      </c>
      <c r="M3" s="887"/>
      <c r="N3" s="206" t="str">
        <f>IF(AND((تسعير!AU14="بالتات"),(تسعير!AV10&lt;=300)),"A1",IF(AND((تسعير!AU14="بالتات"),(تسعير!AV10&gt;300)),"A2",IF(AND((تسعير!AU14="قواعد عادية"),(تسعير!AV10&lt;=300)),"B1",IF(AND((تسعير!AU14="قواعد عادية"),(تسعير!AV10&gt;300)),"B2",0))))</f>
        <v>B1</v>
      </c>
      <c r="O3" s="207"/>
      <c r="P3" s="207"/>
      <c r="Q3" s="234" t="s">
        <v>18</v>
      </c>
      <c r="R3" s="888">
        <f>NOW()</f>
        <v>46132.450658726855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07"/>
      <c r="AU3" s="207"/>
      <c r="AV3" s="207"/>
      <c r="AW3" s="207"/>
      <c r="AX3" s="207"/>
      <c r="AY3" s="207"/>
      <c r="AZ3" s="207"/>
      <c r="BA3" s="207"/>
      <c r="BB3" s="207"/>
    </row>
    <row r="4" ht="18" s="187" customFormat="1">
      <c r="A4" s="187" t="s">
        <v>170</v>
      </c>
      <c r="B4" s="187">
        <f>MAX(G4:J4)</f>
        <v>2.5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10</v>
      </c>
      <c r="F4" s="384">
        <f>B4*C4*D4*E4</f>
        <v>3948</v>
      </c>
      <c r="G4" s="195">
        <f>IF(F1&lt;=200,2,0)</f>
        <v>0</v>
      </c>
      <c r="H4" s="195">
        <f>IF(AND((F1&gt;200),(F1&lt;=250)),2.5,0)</f>
        <v>2.5</v>
      </c>
      <c r="I4" s="195">
        <f>IF(AND((F1&gt;250),(F1&lt;=400)),4,0)</f>
        <v>0</v>
      </c>
      <c r="J4" s="195">
        <f>IF(F1&gt;400,5,0)</f>
        <v>0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07"/>
      <c r="AU4" s="207"/>
      <c r="AV4" s="207"/>
      <c r="AW4" s="207"/>
      <c r="AX4" s="207"/>
      <c r="AY4" s="207"/>
      <c r="AZ4" s="207"/>
      <c r="BA4" s="207"/>
      <c r="BB4" s="207"/>
    </row>
    <row r="5" ht="18" s="187" customFormat="1">
      <c r="A5" s="187" t="s">
        <v>172</v>
      </c>
      <c r="B5" s="187">
        <f>B3*3</f>
        <v>15</v>
      </c>
      <c r="D5" s="187">
        <v>50</v>
      </c>
      <c r="E5" s="187">
        <v>2</v>
      </c>
      <c r="F5" s="384">
        <f>B5*D5*E5</f>
        <v>1500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07"/>
      <c r="AU5" s="207"/>
      <c r="AV5" s="207"/>
      <c r="AW5" s="207"/>
      <c r="AX5" s="207"/>
      <c r="AY5" s="207"/>
      <c r="AZ5" s="207"/>
      <c r="BA5" s="207"/>
      <c r="BB5" s="207"/>
    </row>
    <row r="6" ht="18" s="187" customFormat="1">
      <c r="A6" s="187" t="s">
        <v>174</v>
      </c>
      <c r="B6" s="187">
        <f>E4*2</f>
        <v>20</v>
      </c>
      <c r="D6" s="187">
        <v>15</v>
      </c>
      <c r="F6" s="384">
        <f ref="F6:F14" t="shared" si="0">B6*D6</f>
        <v>300</v>
      </c>
      <c r="G6" s="195"/>
      <c r="H6" s="195"/>
      <c r="I6" s="195"/>
      <c r="J6" s="195"/>
      <c r="L6" s="211">
        <v>1</v>
      </c>
      <c r="M6" s="212">
        <f>IF((N3="A1"),0,IF((N3="A2"),0,IF((N3="B1"),3,IF((N3="B2"),3,0))))</f>
        <v>3</v>
      </c>
      <c r="N6" s="215" t="s">
        <v>42</v>
      </c>
      <c r="O6" s="214">
        <v>0.03</v>
      </c>
      <c r="P6" s="214">
        <v>0.03</v>
      </c>
      <c r="Q6" s="214">
        <f>(Table158[[#This Row],[Column1]]+Table158[[#This Row],[Column2]])*12*Table158[[#This Row],[عدد]]</f>
        <v>2.16</v>
      </c>
      <c r="R6" s="242" t="s">
        <v>43</v>
      </c>
      <c r="S6" s="211">
        <v>8.5</v>
      </c>
      <c r="T6" s="211">
        <f>Table158[[#This Row],[المسطح]]*Table158[[#This Row],[عدد]]</f>
        <v>6.48</v>
      </c>
      <c r="U6" s="243">
        <f>S6*$S$2/1000</f>
        <v>382.5</v>
      </c>
      <c r="V6" s="240">
        <f>M6*U6</f>
        <v>1147.5</v>
      </c>
      <c r="W6" s="241">
        <f>(V6)/$R$71</f>
        <v>0.013739613470847872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AM5*Table663[[#This Row],[المعدل]]+4</f>
        <v>4.55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16"/>
      <c r="AU6" s="216"/>
      <c r="AV6" s="216"/>
      <c r="AW6" s="216"/>
      <c r="AX6" s="216"/>
      <c r="AY6" s="216"/>
      <c r="AZ6" s="216"/>
      <c r="BA6" s="216"/>
      <c r="BB6" s="216"/>
    </row>
    <row r="7" ht="18" s="187" customFormat="1">
      <c r="A7" s="187" t="s">
        <v>176</v>
      </c>
      <c r="B7" s="187">
        <f>(((D1/(E4-1)+10)*(E4-1))*F1)/10000</f>
        <v>14.75</v>
      </c>
      <c r="D7" s="187">
        <f>Sheet2!B16</f>
        <v>950</v>
      </c>
      <c r="F7" s="384">
        <f t="shared" si="0"/>
        <v>14012.5</v>
      </c>
      <c r="G7" s="195"/>
      <c r="H7" s="195"/>
      <c r="I7" s="195"/>
      <c r="J7" s="195"/>
      <c r="L7" s="211">
        <v>2</v>
      </c>
      <c r="M7" s="212">
        <f>IF((N3="A1"),2,IF((N3="A2"),3,IF((N3="B1"),2.5,IF((N3="B2"),3,0))))</f>
        <v>2.5</v>
      </c>
      <c r="N7" s="215" t="s">
        <v>156</v>
      </c>
      <c r="O7" s="391">
        <v>0.1</v>
      </c>
      <c r="P7" s="391">
        <v>0.05</v>
      </c>
      <c r="Q7" s="216">
        <f>(Table158[[#This Row],[Column1]]+Table158[[#This Row],[Column2]])*12*Table158[[#This Row],[عدد]]</f>
        <v>4.5000000000000009</v>
      </c>
      <c r="R7" s="211" t="s">
        <v>43</v>
      </c>
      <c r="S7" s="211">
        <v>28.5</v>
      </c>
      <c r="T7" s="211">
        <f>Table158[[#This Row],[المسطح]]*Table158[[#This Row],[عدد]]</f>
        <v>11.250000000000002</v>
      </c>
      <c r="U7" s="243">
        <f>S7*$S$2/1000</f>
        <v>1282.5</v>
      </c>
      <c r="V7" s="240">
        <f>M7*U7</f>
        <v>3206.25</v>
      </c>
      <c r="W7" s="241">
        <f>(V7)/$R$71</f>
        <v>0.038390096462663177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IF((تسعير!AT5="A"),IF(((Table158[[#Totals],[المسطح]]+Table1662[[#Totals],[Column12]])&gt;0),(Table158[[#Totals],[المسطح]]+Table1662[[#Totals],[Column12]]+1)*Table663[[#This Row],[المعدل]]),0)</f>
        <v>1.9150000000000003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16"/>
      <c r="AU7" s="216"/>
      <c r="AV7" s="216"/>
      <c r="AW7" s="216"/>
      <c r="AX7" s="216"/>
      <c r="AY7" s="216"/>
      <c r="AZ7" s="216"/>
      <c r="BA7" s="216"/>
      <c r="BB7" s="216"/>
    </row>
    <row r="8" ht="18" s="187" customFormat="1">
      <c r="A8" s="187" t="s">
        <v>178</v>
      </c>
      <c r="B8" s="187">
        <f>MAX(G8:H8)</f>
        <v>3</v>
      </c>
      <c r="D8" s="187">
        <v>320</v>
      </c>
      <c r="F8" s="384">
        <f t="shared" si="0"/>
        <v>960</v>
      </c>
      <c r="G8" s="195">
        <f>IF(F1&lt;=300,3,0)</f>
        <v>3</v>
      </c>
      <c r="H8" s="195">
        <f>IF(F1&gt;300,6,0)</f>
        <v>0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SUBTOTAL(109,Table158[المسطح])</f>
        <v>6.660000000000001</v>
      </c>
      <c r="R8" s="211"/>
      <c r="S8" s="211">
        <f>(S7*M7)</f>
        <v>71.25</v>
      </c>
      <c r="T8" s="211">
        <f>SUBTOTAL(109,Table158[سعر الكيلو])</f>
        <v>17.730000000000004</v>
      </c>
      <c r="U8" s="242"/>
      <c r="V8" s="240">
        <f>SUBTOTAL(109,Table158[اجمالي])</f>
        <v>4353.75</v>
      </c>
      <c r="W8" s="244">
        <f>Table158[[#Totals],[اجمالي]]/$R$71</f>
        <v>0.052129709933511049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IF((تسعير!AT5="A"),IF(((Table158[[#Totals],[المسطح]]+Table1662[[#Totals],[Column12]])&gt;0),(Table158[[#Totals],[المسطح]]+Table1662[[#Totals],[Column12]]-Q6+1)*Table663[[#This Row],[المعدل]]),0)</f>
        <v>2.2000000000000006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16"/>
      <c r="AU8" s="216"/>
      <c r="AV8" s="216"/>
      <c r="AW8" s="216"/>
      <c r="AX8" s="216"/>
      <c r="AY8" s="216"/>
      <c r="AZ8" s="216"/>
      <c r="BA8" s="216"/>
      <c r="BB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16"/>
      <c r="AU9" s="216"/>
      <c r="AV9" s="216"/>
      <c r="AW9" s="216"/>
      <c r="AX9" s="216"/>
      <c r="AY9" s="216"/>
      <c r="AZ9" s="216"/>
      <c r="BA9" s="216"/>
      <c r="BB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16"/>
      <c r="AU10" s="216"/>
      <c r="AV10" s="216"/>
      <c r="AW10" s="216"/>
      <c r="AX10" s="216"/>
      <c r="AY10" s="216"/>
      <c r="AZ10" s="216"/>
      <c r="BA10" s="216"/>
      <c r="BB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 ca="1">(V11)/$R$71</f>
        <v>0.0047894077458293244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16"/>
      <c r="AU11" s="216"/>
      <c r="AV11" s="216"/>
      <c r="AW11" s="216"/>
      <c r="AX11" s="216"/>
      <c r="AY11" s="216"/>
      <c r="AZ11" s="216"/>
      <c r="BA11" s="216"/>
      <c r="BB11" s="216"/>
    </row>
    <row r="12" ht="18" s="187" customFormat="1">
      <c r="A12" s="187" t="s">
        <v>186</v>
      </c>
      <c r="B12" s="187">
        <f>IF((تسعير!AT9=wavy1!A20),0,1)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 ca="1"/>
        <v>0.0026341742602061283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16"/>
      <c r="AU12" s="216"/>
      <c r="AV12" s="216"/>
      <c r="AW12" s="216"/>
      <c r="AX12" s="216"/>
      <c r="AY12" s="216"/>
      <c r="AZ12" s="216"/>
      <c r="BA12" s="216"/>
      <c r="BB12" s="216"/>
    </row>
    <row r="13" ht="18" s="187" customFormat="1">
      <c r="A13" s="187" t="s">
        <v>188</v>
      </c>
      <c r="B13" s="187">
        <f>E4*2</f>
        <v>20</v>
      </c>
      <c r="D13" s="187">
        <v>10</v>
      </c>
      <c r="F13" s="384">
        <f t="shared" si="0"/>
        <v>200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 ca="1"/>
        <v>0.0015565575173945303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IF(AND((تسعير!$AT$5="B"),(Table158[[#Totals],[المسطح]]+Table1662[[#Totals],[Column12]])&gt;0),(((Table158[[#Totals],[المسطح]]+Table1662[[#Totals],[Column12]])+1)*Table663[[#This Row],[المعدل]]),0)</f>
        <v>0</v>
      </c>
      <c r="AN13" s="216"/>
      <c r="AO13" s="216"/>
      <c r="AP13" s="216"/>
      <c r="AQ13" s="216"/>
      <c r="AR13" s="216"/>
      <c r="AS13" s="216"/>
      <c r="AT13" s="216"/>
      <c r="AU13" s="216"/>
      <c r="AV13" s="216"/>
      <c r="AW13" s="216"/>
      <c r="AX13" s="216"/>
      <c r="AY13" s="216"/>
      <c r="AZ13" s="216"/>
      <c r="BA13" s="216"/>
      <c r="BB13" s="216"/>
    </row>
    <row r="14" ht="18" s="187" customFormat="1">
      <c r="A14" s="195" t="s">
        <v>189</v>
      </c>
      <c r="B14" s="195">
        <f>IF((تسعير!AT9=wavy1!A20),1,0)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IF((N3="A1"),12,IF((N3="A2"),12,IF((N3="b1"),4,IF((N3="b2"),4,0))))</f>
        <v>4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200</v>
      </c>
      <c r="W14" s="241">
        <f t="shared" si="2" ca="1"/>
        <v>0.0023947038729146622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16"/>
      <c r="AU14" s="216"/>
      <c r="AV14" s="216"/>
      <c r="AW14" s="216"/>
      <c r="AX14" s="216"/>
      <c r="AY14" s="216"/>
      <c r="AZ14" s="216"/>
      <c r="BA14" s="216"/>
      <c r="BB14" s="216"/>
    </row>
    <row r="15" ht="18" s="187" customFormat="1">
      <c r="A15" s="386" t="s">
        <v>54</v>
      </c>
      <c r="B15" s="386"/>
      <c r="C15" s="386"/>
      <c r="D15" s="386"/>
      <c r="E15" s="386">
        <f>Table8[[#Totals],[اجمالي التكلفة]]/B1</f>
        <v>2707.64</v>
      </c>
      <c r="F15" s="387">
        <f>SUBTOTAL(109,Table8[اجمالي التكلفة])</f>
        <v>33845.5</v>
      </c>
      <c r="G15" s="386"/>
      <c r="H15" s="386"/>
      <c r="I15" s="386"/>
      <c r="J15" s="386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 ca="1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16"/>
      <c r="AU15" s="216"/>
      <c r="AV15" s="216"/>
      <c r="AW15" s="216"/>
      <c r="AX15" s="216"/>
      <c r="AY15" s="216"/>
      <c r="AZ15" s="216"/>
      <c r="BA15" s="216"/>
      <c r="BB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 ca="1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16"/>
      <c r="AU16" s="216"/>
      <c r="AV16" s="216"/>
      <c r="AW16" s="216"/>
      <c r="AX16" s="216"/>
      <c r="AY16" s="216"/>
      <c r="AZ16" s="216"/>
      <c r="BA16" s="216"/>
      <c r="BB16" s="216"/>
    </row>
    <row r="17" ht="18" s="187" customFormat="1">
      <c r="B17" s="195"/>
      <c r="C17" s="195"/>
      <c r="D17" s="195"/>
      <c r="E17" s="195"/>
      <c r="F17" s="385"/>
      <c r="G17" s="195"/>
      <c r="H17" s="195"/>
      <c r="I17" s="195"/>
      <c r="J17" s="195"/>
      <c r="L17" s="211">
        <v>7</v>
      </c>
      <c r="M17" s="212">
        <f>IF((N3="B1"),2,IF((N3="B2"),2,0))</f>
        <v>2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2400</v>
      </c>
      <c r="W17" s="241">
        <f t="shared" si="2" ca="1"/>
        <v>0.028736446474975943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16"/>
      <c r="AU17" s="216"/>
      <c r="AV17" s="216"/>
      <c r="AW17" s="216"/>
      <c r="AX17" s="216"/>
      <c r="AY17" s="216"/>
      <c r="AZ17" s="216"/>
      <c r="BA17" s="216"/>
      <c r="BB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SUBTOTAL(109,Table1561[اجمالي])</f>
        <v>3350</v>
      </c>
      <c r="W18" s="244">
        <f>Table1561[[#Totals],[اجمالي]]/$R$71</f>
        <v>0.040111289871320586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16"/>
      <c r="AU18" s="216"/>
      <c r="AV18" s="216"/>
      <c r="AW18" s="216"/>
      <c r="AX18" s="216"/>
      <c r="AY18" s="216"/>
      <c r="AZ18" s="216"/>
      <c r="BA18" s="216"/>
      <c r="BB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16"/>
      <c r="AU19" s="216"/>
      <c r="AV19" s="216"/>
      <c r="AW19" s="216"/>
      <c r="AX19" s="216"/>
      <c r="AY19" s="216"/>
      <c r="AZ19" s="216"/>
      <c r="BA19" s="216"/>
      <c r="BB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16"/>
      <c r="AU20" s="216"/>
      <c r="AV20" s="216"/>
      <c r="AW20" s="216"/>
      <c r="AX20" s="216"/>
      <c r="AY20" s="216"/>
      <c r="AZ20" s="216"/>
      <c r="BA20" s="216"/>
      <c r="BB20" s="216"/>
    </row>
    <row r="21" ht="18">
      <c r="A21" s="390"/>
      <c r="L21" s="211">
        <v>3</v>
      </c>
      <c r="M21" s="219">
        <f>IF((N3="A1"),2,IF((N3="A2"),2,0))</f>
        <v>0</v>
      </c>
      <c r="N21" s="220" t="s">
        <v>195</v>
      </c>
      <c r="O21" s="221">
        <v>0.3</v>
      </c>
      <c r="P21" s="221">
        <v>0.3</v>
      </c>
      <c r="Q21" s="221">
        <f>(Table1662[[#This Row],[Column1]]*Table1662[[#This Row],[Column2]])*2*Table1662[[#This Row],[عدد]]</f>
        <v>0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0</v>
      </c>
      <c r="W21" s="241">
        <f>(V21)/$R$71</f>
        <v>0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16"/>
      <c r="AU21" s="216"/>
      <c r="AV21" s="216"/>
      <c r="AW21" s="216"/>
      <c r="AX21" s="216"/>
      <c r="AY21" s="216"/>
      <c r="AZ21" s="216"/>
      <c r="BA21" s="216"/>
      <c r="BB21" s="216"/>
    </row>
    <row r="22" ht="18">
      <c r="L22" s="211">
        <v>8</v>
      </c>
      <c r="M22" s="212">
        <f>M21*4</f>
        <v>0</v>
      </c>
      <c r="N22" s="213" t="s">
        <v>98</v>
      </c>
      <c r="O22" s="214">
        <v>0.1</v>
      </c>
      <c r="P22" s="214">
        <v>0.1</v>
      </c>
      <c r="Q22" s="221">
        <f>(Table1662[[#This Row],[Column1]]*Table1662[[#This Row],[Column2]])*Table1662[[#This Row],[عدد]]</f>
        <v>0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0</v>
      </c>
      <c r="W22" s="251">
        <f>(V22)/$R$71</f>
        <v>0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16"/>
      <c r="AU22" s="216"/>
      <c r="AV22" s="216"/>
      <c r="AW22" s="216"/>
      <c r="AX22" s="216"/>
      <c r="AY22" s="216"/>
      <c r="AZ22" s="216"/>
      <c r="BA22" s="216"/>
      <c r="BB22" s="216"/>
    </row>
    <row r="23" ht="18">
      <c r="L23" s="211" t="s">
        <v>54</v>
      </c>
      <c r="M23" s="212">
        <f>SUBTOTAL(103,Table1662[عدد])</f>
        <v>2</v>
      </c>
      <c r="N23" s="213" t="s">
        <v>54</v>
      </c>
      <c r="O23" s="214"/>
      <c r="P23" s="214"/>
      <c r="Q23" s="216">
        <f>SUBTOTAL(109,Table1662[Column12])</f>
        <v>0</v>
      </c>
      <c r="R23" s="211"/>
      <c r="S23" s="211">
        <f>(S21*M21)+(M22*S22)</f>
        <v>0</v>
      </c>
      <c r="T23" s="211"/>
      <c r="U23" s="242"/>
      <c r="V23" s="240">
        <f>SUBTOTAL(109,Table1662[اجمالي])</f>
        <v>0</v>
      </c>
      <c r="W23" s="244">
        <f>Table1662[[#Totals],[اجمالي]]/$R$71</f>
        <v>0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16"/>
      <c r="AU23" s="216"/>
      <c r="AV23" s="216"/>
      <c r="AW23" s="216"/>
      <c r="AX23" s="216"/>
      <c r="AY23" s="216"/>
      <c r="AZ23" s="216"/>
      <c r="BA23" s="216"/>
      <c r="BB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16"/>
      <c r="AU24" s="216"/>
      <c r="AV24" s="216"/>
      <c r="AW24" s="216"/>
      <c r="AX24" s="216"/>
      <c r="AY24" s="216"/>
      <c r="AZ24" s="216"/>
      <c r="BA24" s="216"/>
      <c r="BB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16"/>
      <c r="AU25" s="216"/>
      <c r="AV25" s="216"/>
      <c r="AW25" s="216"/>
      <c r="AX25" s="216"/>
      <c r="AY25" s="216"/>
      <c r="AZ25" s="216"/>
      <c r="BA25" s="216"/>
      <c r="BB25" s="216"/>
    </row>
    <row r="26" ht="18">
      <c r="L26" s="211">
        <v>3</v>
      </c>
      <c r="M26" s="222">
        <f>AM7/3</f>
        <v>0.63833333333333342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255.33333333333337</v>
      </c>
      <c r="W26" s="241">
        <f ref="W26:W44" t="shared" si="4" ca="1">(V26)/$R$71</f>
        <v>0.0030572386110877189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16"/>
      <c r="AU26" s="216"/>
      <c r="AV26" s="216"/>
      <c r="AW26" s="216"/>
      <c r="AX26" s="216"/>
      <c r="AY26" s="216"/>
      <c r="AZ26" s="216"/>
      <c r="BA26" s="216"/>
      <c r="BB26" s="216"/>
    </row>
    <row r="27" ht="18">
      <c r="L27" s="211">
        <v>4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 ca="1"/>
        <v>0.00053880837140579891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16"/>
      <c r="AU27" s="216"/>
      <c r="AV27" s="216"/>
      <c r="AW27" s="216"/>
      <c r="AX27" s="216"/>
      <c r="AY27" s="216"/>
      <c r="AZ27" s="216"/>
      <c r="BA27" s="216"/>
      <c r="BB27" s="216"/>
    </row>
    <row r="28" ht="18">
      <c r="L28" s="211">
        <v>5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 ca="1"/>
        <v>0.00053880837140579891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16"/>
      <c r="AU28" s="216"/>
      <c r="AV28" s="216"/>
      <c r="AW28" s="216"/>
      <c r="AX28" s="216"/>
      <c r="AY28" s="216"/>
      <c r="AZ28" s="216"/>
      <c r="BA28" s="216"/>
      <c r="BB28" s="216"/>
    </row>
    <row r="29" ht="18">
      <c r="L29" s="211">
        <v>6</v>
      </c>
      <c r="M29" s="219">
        <v>1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25</v>
      </c>
      <c r="W29" s="241">
        <f t="shared" si="4" ca="1"/>
        <v>0.00029933798411433277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16"/>
      <c r="AU29" s="216"/>
      <c r="AV29" s="216"/>
      <c r="AW29" s="216"/>
      <c r="AX29" s="216"/>
      <c r="AY29" s="216"/>
      <c r="AZ29" s="216"/>
      <c r="BA29" s="216"/>
      <c r="BB29" s="216"/>
    </row>
    <row r="30" ht="18">
      <c r="L30" s="211">
        <v>7</v>
      </c>
      <c r="M30" s="212">
        <v>1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150</v>
      </c>
      <c r="W30" s="241">
        <f t="shared" si="4" ca="1"/>
        <v>0.0017960279046859964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16"/>
      <c r="AU30" s="216"/>
      <c r="AV30" s="216"/>
      <c r="AW30" s="216"/>
      <c r="AX30" s="216"/>
      <c r="AY30" s="216"/>
      <c r="AZ30" s="216"/>
      <c r="BA30" s="216"/>
      <c r="BB30" s="216"/>
    </row>
    <row r="31" ht="18">
      <c r="L31" s="211">
        <v>8</v>
      </c>
      <c r="M31" s="219">
        <v>2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80</v>
      </c>
      <c r="W31" s="241">
        <f t="shared" si="4" ca="1"/>
        <v>0.00095788154916586475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16"/>
      <c r="AU31" s="216"/>
      <c r="AV31" s="216"/>
      <c r="AW31" s="216"/>
      <c r="AX31" s="216"/>
      <c r="AY31" s="216"/>
      <c r="AZ31" s="216"/>
      <c r="BA31" s="216"/>
      <c r="BB31" s="216"/>
    </row>
    <row r="32" ht="18">
      <c r="L32" s="211">
        <v>2</v>
      </c>
      <c r="M32" s="222">
        <f>AM6/1.9</f>
        <v>2.3947368421052633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227.5</v>
      </c>
      <c r="W32" s="241">
        <f t="shared" si="4" ca="1"/>
        <v>0.0027239756554404281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16"/>
      <c r="AU32" s="216"/>
      <c r="AV32" s="216"/>
      <c r="AW32" s="216"/>
      <c r="AX32" s="216"/>
      <c r="AY32" s="216"/>
      <c r="AZ32" s="216"/>
      <c r="BA32" s="216"/>
      <c r="BB32" s="216"/>
    </row>
    <row r="33" ht="18">
      <c r="L33" s="211">
        <v>1</v>
      </c>
      <c r="M33" s="222">
        <f>AM5</f>
        <v>2.2000000000000006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484.00000000000011</v>
      </c>
      <c r="W33" s="241">
        <f t="shared" si="4" ca="1"/>
        <v>0.0057951833724534836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16"/>
      <c r="AU33" s="216"/>
      <c r="AV33" s="216"/>
      <c r="AW33" s="216"/>
      <c r="AX33" s="216"/>
      <c r="AY33" s="216"/>
      <c r="AZ33" s="216"/>
      <c r="BA33" s="216"/>
      <c r="BB33" s="216"/>
    </row>
    <row r="34" ht="18">
      <c r="L34" s="211">
        <v>9</v>
      </c>
      <c r="M34" s="222">
        <f>AM8</f>
        <v>2.2000000000000006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1122.0000000000002</v>
      </c>
      <c r="W34" s="241">
        <f t="shared" si="4" ca="1"/>
        <v>0.013434288727051257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16"/>
      <c r="AU34" s="216"/>
      <c r="AV34" s="216"/>
      <c r="AW34" s="216"/>
      <c r="AX34" s="216"/>
      <c r="AY34" s="216"/>
      <c r="AZ34" s="216"/>
      <c r="BA34" s="216"/>
      <c r="BB34" s="216"/>
    </row>
    <row r="35" ht="18">
      <c r="L35" s="211"/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 ca="1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16"/>
      <c r="AU35" s="216"/>
      <c r="AV35" s="216"/>
      <c r="AW35" s="216"/>
      <c r="AX35" s="216"/>
      <c r="AY35" s="216"/>
      <c r="AZ35" s="216"/>
      <c r="BA35" s="216"/>
      <c r="BB35" s="216"/>
    </row>
    <row r="36" ht="18">
      <c r="L36" s="211"/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 ca="1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16"/>
      <c r="AU36" s="216"/>
      <c r="AV36" s="216"/>
      <c r="AW36" s="216"/>
      <c r="AX36" s="216"/>
      <c r="AY36" s="216"/>
      <c r="AZ36" s="216"/>
      <c r="BA36" s="216"/>
      <c r="BB36" s="216"/>
    </row>
    <row r="37" ht="18">
      <c r="L37" s="211"/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16"/>
      <c r="AU37" s="216"/>
      <c r="AV37" s="216"/>
      <c r="AW37" s="216"/>
      <c r="AX37" s="216"/>
      <c r="AY37" s="216"/>
      <c r="AZ37" s="216"/>
      <c r="BA37" s="216"/>
      <c r="BB37" s="216"/>
    </row>
    <row r="38" ht="18">
      <c r="L38" s="211"/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16"/>
      <c r="AU38" s="216"/>
      <c r="AV38" s="216"/>
      <c r="AW38" s="216"/>
      <c r="AX38" s="216"/>
      <c r="AY38" s="216"/>
      <c r="AZ38" s="216"/>
      <c r="BA38" s="216"/>
      <c r="BB38" s="216"/>
    </row>
    <row r="39" ht="18">
      <c r="L39" s="211"/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16"/>
      <c r="AU39" s="216"/>
      <c r="AV39" s="216"/>
      <c r="AW39" s="216"/>
      <c r="AX39" s="216"/>
      <c r="AY39" s="216"/>
      <c r="AZ39" s="216"/>
      <c r="BA39" s="216"/>
      <c r="BB39" s="216"/>
    </row>
    <row r="40" ht="18">
      <c r="L40" s="211"/>
      <c r="M40" s="212">
        <f>IF((تسعير!AT5="جلفنة و جوتن"),(Table158[[#Totals],[الوزن]]+Table1662[[#Totals],[الوزن]]),0)</f>
        <v>0</v>
      </c>
      <c r="N40" s="213" t="s">
        <v>112</v>
      </c>
      <c r="O40" s="214"/>
      <c r="P40" s="214"/>
      <c r="Q40" s="214"/>
      <c r="R40" s="211"/>
      <c r="S40" s="211"/>
      <c r="T40" s="211"/>
      <c r="U40" s="248">
        <v>30</v>
      </c>
      <c r="V40" s="240">
        <f t="shared" si="5"/>
        <v>0</v>
      </c>
      <c r="W40" s="251">
        <f t="shared" si="4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16"/>
      <c r="AU40" s="216"/>
      <c r="AV40" s="216"/>
      <c r="AW40" s="216"/>
      <c r="AX40" s="216"/>
      <c r="AY40" s="216"/>
      <c r="AZ40" s="216"/>
      <c r="BA40" s="216"/>
      <c r="BB40" s="216"/>
    </row>
    <row r="41" ht="18">
      <c r="L41" s="211"/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0</v>
      </c>
      <c r="W41" s="251">
        <f t="shared" si="4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16"/>
      <c r="AU41" s="216"/>
      <c r="AV41" s="216"/>
      <c r="AW41" s="216"/>
      <c r="AX41" s="216"/>
      <c r="AY41" s="216"/>
      <c r="AZ41" s="216"/>
      <c r="BA41" s="216"/>
      <c r="BB41" s="216"/>
    </row>
    <row r="42" ht="18">
      <c r="L42" s="211"/>
      <c r="M42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0</v>
      </c>
      <c r="W42" s="251">
        <f t="shared" si="4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16"/>
      <c r="AU42" s="216"/>
      <c r="AV42" s="216"/>
      <c r="AW42" s="216"/>
      <c r="AX42" s="216"/>
      <c r="AY42" s="216"/>
      <c r="AZ42" s="216"/>
      <c r="BA42" s="216"/>
      <c r="BB42" s="216"/>
    </row>
    <row r="43" ht="18">
      <c r="L43" s="211"/>
      <c r="M43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0</v>
      </c>
      <c r="W43" s="251">
        <f t="shared" si="4" ca="1"/>
        <v>0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16"/>
      <c r="AU43" s="216"/>
      <c r="AV43" s="216"/>
      <c r="AW43" s="216"/>
      <c r="AX43" s="216"/>
      <c r="AY43" s="216"/>
      <c r="AZ43" s="216"/>
      <c r="BA43" s="216"/>
      <c r="BB43" s="216"/>
    </row>
    <row r="44" ht="18">
      <c r="L44" s="211"/>
      <c r="M44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0</v>
      </c>
      <c r="W44" s="251">
        <f t="shared" si="4" ca="1"/>
        <v>0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16"/>
      <c r="AU44" s="216"/>
      <c r="AV44" s="216"/>
      <c r="AW44" s="216"/>
      <c r="AX44" s="216"/>
      <c r="AY44" s="216"/>
      <c r="AZ44" s="216"/>
      <c r="BA44" s="216"/>
      <c r="BB44" s="216"/>
    </row>
    <row r="45" ht="18">
      <c r="L45" s="211" t="s">
        <v>54</v>
      </c>
      <c r="M45" s="212"/>
      <c r="N45" s="213" t="s">
        <v>54</v>
      </c>
      <c r="O45" s="214"/>
      <c r="P45" s="214"/>
      <c r="Q45" s="214"/>
      <c r="R45" s="211" t="s">
        <v>118</v>
      </c>
      <c r="S45" s="211"/>
      <c r="T45" s="211"/>
      <c r="U45" s="242"/>
      <c r="V45" s="240">
        <f>SUBTOTAL(109,Table1359[اجمالي])</f>
        <v>2433.8333333333339</v>
      </c>
      <c r="W45" s="244">
        <f>Table1359[[#Totals],[اجمالي]]/$R$71</f>
        <v>0.029141550546810682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16"/>
      <c r="AU45" s="216"/>
      <c r="AV45" s="216"/>
      <c r="AW45" s="216"/>
      <c r="AX45" s="216"/>
      <c r="AY45" s="216"/>
      <c r="AZ45" s="216"/>
      <c r="BA45" s="216"/>
      <c r="BB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16"/>
      <c r="AU46" s="216"/>
      <c r="AV46" s="216"/>
      <c r="AW46" s="216"/>
      <c r="AX46" s="216"/>
      <c r="AY46" s="216"/>
      <c r="AZ46" s="216"/>
      <c r="BA46" s="216"/>
      <c r="BB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16"/>
      <c r="AU47" s="216"/>
      <c r="AV47" s="216"/>
      <c r="AW47" s="216"/>
      <c r="AX47" s="216"/>
      <c r="AY47" s="216"/>
      <c r="AZ47" s="216"/>
      <c r="BA47" s="216"/>
      <c r="BB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16"/>
      <c r="AU48" s="216"/>
      <c r="AV48" s="216"/>
      <c r="AW48" s="216"/>
      <c r="AX48" s="216"/>
      <c r="AY48" s="216"/>
      <c r="AZ48" s="216"/>
      <c r="BA48" s="216"/>
      <c r="BB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M49*Table161368[[#This Row],[سعر الشبك ]]</f>
        <v>0</v>
      </c>
      <c r="W49" s="241">
        <f ref="W49:W51" t="shared" si="6" ca="1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16"/>
      <c r="AU49" s="216"/>
      <c r="AV49" s="216"/>
      <c r="AW49" s="216"/>
      <c r="AX49" s="216"/>
      <c r="AY49" s="216"/>
      <c r="AZ49" s="216"/>
      <c r="BA49" s="216"/>
      <c r="BB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Table8[[#Totals],[اجمالي التكلفة]]</f>
        <v>33845.5</v>
      </c>
      <c r="V50" s="240">
        <f>M50*Table161368[[#This Row],[سعر الشبك ]]</f>
        <v>33845.5</v>
      </c>
      <c r="W50" s="241">
        <f t="shared" si="6" ca="1"/>
        <v>0.40524974965366595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16"/>
      <c r="AU50" s="216"/>
      <c r="AV50" s="216"/>
      <c r="AW50" s="216"/>
      <c r="AX50" s="216"/>
      <c r="AY50" s="216"/>
      <c r="AZ50" s="216"/>
      <c r="BA50" s="216"/>
      <c r="BB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33845.5</v>
      </c>
      <c r="V51" s="240">
        <f>M51*Table161368[[#This Row],[سعر الشبك ]]</f>
        <v>3384.55</v>
      </c>
      <c r="W51" s="241">
        <f t="shared" si="6" ca="1"/>
        <v>0.0405249749653666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16"/>
      <c r="AU51" s="216"/>
      <c r="AV51" s="216"/>
      <c r="AW51" s="216"/>
      <c r="AX51" s="216"/>
      <c r="AY51" s="216"/>
      <c r="AZ51" s="216"/>
      <c r="BA51" s="216"/>
      <c r="BB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SUBTOTAL(109,Table161368[Column12])</f>
        <v>0</v>
      </c>
      <c r="R52" s="211"/>
      <c r="S52" s="211"/>
      <c r="T52" s="211"/>
      <c r="U52" s="242"/>
      <c r="V52" s="240">
        <f>SUBTOTAL(109,Table161368[اجمالي])</f>
        <v>37230.05</v>
      </c>
      <c r="W52" s="244">
        <f>Table161368[[#Totals],[اجمالي]]/$R$71</f>
        <v>0.44577472461903261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16"/>
      <c r="AU52" s="216"/>
      <c r="AV52" s="216"/>
      <c r="AW52" s="216"/>
      <c r="AX52" s="216"/>
      <c r="AY52" s="216"/>
      <c r="AZ52" s="216"/>
      <c r="BA52" s="216"/>
      <c r="BB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16"/>
      <c r="AU53" s="216"/>
      <c r="AV53" s="216"/>
      <c r="AW53" s="216"/>
      <c r="AX53" s="216"/>
      <c r="AY53" s="216"/>
      <c r="AZ53" s="216"/>
      <c r="BA53" s="216"/>
      <c r="BB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16"/>
      <c r="AU54" s="216"/>
      <c r="AV54" s="216"/>
      <c r="AW54" s="216"/>
      <c r="AX54" s="216"/>
      <c r="AY54" s="216"/>
      <c r="AZ54" s="216"/>
      <c r="BA54" s="216"/>
      <c r="BB54" s="216"/>
    </row>
    <row r="55" ht="18">
      <c r="L55" s="211">
        <v>1</v>
      </c>
      <c r="M55" s="219">
        <v>2</v>
      </c>
      <c r="N55" s="220" t="s">
        <v>138</v>
      </c>
      <c r="O55" s="211">
        <f>IF((Table161267[[#This Row],[موقع العمل]]="المصنع"),280,IF((Table161267[[#This Row],[موقع العمل]]="الاسكندرية"),320,400))</f>
        <v>280</v>
      </c>
      <c r="P55" s="211">
        <f>SUMIF(Table1769[Column1],Table161267[[#This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IF((تسعير!$AU$14="بالتات"),2,1)</f>
        <v>1</v>
      </c>
      <c r="U55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5" s="240">
        <f ref="V55:V67" t="shared" si="7" ca="1">M55*U55</f>
        <v>560</v>
      </c>
      <c r="W55" s="241">
        <f ref="W55:W67" t="shared" si="8" ca="1">(V55)/$R$71</f>
        <v>0.0067051708441610534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3"/>
      <c r="AU55" s="253"/>
      <c r="AV55" s="253"/>
      <c r="AW55" s="253"/>
      <c r="AX55" s="253"/>
      <c r="AY55" s="253"/>
      <c r="AZ55" s="253"/>
      <c r="BA55" s="253"/>
      <c r="BB55" s="253"/>
    </row>
    <row r="56" ht="18">
      <c r="L56" s="211">
        <v>2</v>
      </c>
      <c r="M56" s="219">
        <v>2</v>
      </c>
      <c r="N56" s="220" t="s">
        <v>140</v>
      </c>
      <c r="O56" s="211">
        <f>IF((Table161267[[#This Row],[موقع العمل]]="المصنع"),280,IF((Table161267[[#This Row],[موقع العمل]]="الاسكندرية"),320,400))</f>
        <v>280</v>
      </c>
      <c r="P56" s="211">
        <f>SUMIF(Table1769[Column1],Table161267[[#This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IF((تسعير!$AU$14="بالتات"),2,1)</f>
        <v>1</v>
      </c>
      <c r="U56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6" s="240">
        <f t="shared" si="7" ca="1"/>
        <v>560</v>
      </c>
      <c r="W56" s="241">
        <f t="shared" si="8" ca="1"/>
        <v>0.0067051708441610534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3"/>
      <c r="AU56" s="253"/>
      <c r="AV56" s="253"/>
      <c r="AW56" s="253"/>
      <c r="AX56" s="253"/>
      <c r="AY56" s="253"/>
      <c r="AZ56" s="253"/>
      <c r="BA56" s="253"/>
      <c r="BB56" s="253"/>
    </row>
    <row r="57" ht="18">
      <c r="L57" s="211">
        <v>3</v>
      </c>
      <c r="M57" s="219">
        <v>3</v>
      </c>
      <c r="N57" s="220" t="s">
        <v>141</v>
      </c>
      <c r="O57" s="211">
        <f>IF((Table161267[[#This Row],[موقع العمل]]="المصنع"),280,IF((Table161267[[#This Row],[موقع العمل]]="الاسكندرية"),320,400))</f>
        <v>280</v>
      </c>
      <c r="P57" s="211">
        <f>SUMIF(Table1769[Column1],Table161267[[#This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7" s="240">
        <f t="shared" si="7" ca="1"/>
        <v>840</v>
      </c>
      <c r="W57" s="241">
        <f t="shared" si="8" ca="1"/>
        <v>0.01005775626624158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16"/>
      <c r="AU57" s="216"/>
      <c r="AV57" s="216"/>
      <c r="AW57" s="216"/>
      <c r="AX57" s="216"/>
      <c r="AY57" s="216"/>
      <c r="AZ57" s="216"/>
      <c r="BA57" s="216"/>
      <c r="BB57" s="216"/>
    </row>
    <row r="58" ht="18">
      <c r="L58" s="211">
        <v>4</v>
      </c>
      <c r="M58" s="212">
        <v>3</v>
      </c>
      <c r="N58" s="220" t="s">
        <v>142</v>
      </c>
      <c r="O58" s="211">
        <f>IF((Table161267[[#This Row],[موقع العمل]]="المصنع"),280,IF((Table161267[[#This Row],[موقع العمل]]="الاسكندرية"),320,400))</f>
        <v>280</v>
      </c>
      <c r="P58" s="211">
        <f>SUMIF(Table1769[Column1],Table161267[[#This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280</v>
      </c>
      <c r="V58" s="240">
        <f t="shared" si="7" ca="1"/>
        <v>840</v>
      </c>
      <c r="W58" s="241">
        <f t="shared" si="8" ca="1"/>
        <v>0.01005775626624158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16"/>
      <c r="AU58" s="216"/>
      <c r="AV58" s="216"/>
      <c r="AW58" s="216"/>
      <c r="AX58" s="216"/>
      <c r="AY58" s="216"/>
      <c r="AZ58" s="216"/>
      <c r="BA58" s="216"/>
      <c r="BB58" s="216"/>
    </row>
    <row r="59" ht="18">
      <c r="L59" s="211">
        <v>5</v>
      </c>
      <c r="M59" s="212">
        <v>4</v>
      </c>
      <c r="N59" s="220" t="s">
        <v>143</v>
      </c>
      <c r="O59" s="211">
        <f>IF((Table161267[[#This Row],[موقع العمل]]="المصنع"),280,IF((Table161267[[#This Row],[موقع العمل]]="الاسكندرية"),320,400))</f>
        <v>400</v>
      </c>
      <c r="P59" s="211">
        <f>SUMIF(Table1769[Column1],Table161267[[#This Row],[موقع العمل]],$AB$2:$AB$20)</f>
        <v>100</v>
      </c>
      <c r="Q59" s="211" t="str">
        <f>تسعير!$AT$4</f>
        <v>الشيخ زايد</v>
      </c>
      <c r="R59" s="214" t="s">
        <v>39</v>
      </c>
      <c r="S59" s="216"/>
      <c r="T59" s="243">
        <f>IF((تسعير!$AU$14="بالتات"),1,2)</f>
        <v>2</v>
      </c>
      <c r="U59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59" s="240">
        <f t="shared" si="7" ca="1"/>
        <v>4000</v>
      </c>
      <c r="W59" s="241">
        <f t="shared" si="8" ca="1"/>
        <v>0.047894077458293237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16"/>
      <c r="AU59" s="216"/>
      <c r="AV59" s="216"/>
      <c r="AW59" s="216"/>
      <c r="AX59" s="216"/>
      <c r="AY59" s="216"/>
      <c r="AZ59" s="216"/>
      <c r="BA59" s="216"/>
      <c r="BB59" s="216"/>
    </row>
    <row r="60" ht="18">
      <c r="L60" s="211">
        <v>6</v>
      </c>
      <c r="M60" s="212">
        <v>3</v>
      </c>
      <c r="N60" s="220" t="s">
        <v>144</v>
      </c>
      <c r="O60" s="211">
        <f>IF((Table161267[[#This Row],[موقع العمل]]="المصنع"),280,IF((Table161267[[#This Row],[موقع العمل]]="الاسكندرية"),320,400))</f>
        <v>400</v>
      </c>
      <c r="P60" s="211">
        <f>SUMIF(Table1769[Column1],Table161267[[#This Row],[موقع العمل]],$AB$2:$AB$20)</f>
        <v>100</v>
      </c>
      <c r="Q60" s="211" t="str">
        <f>تسعير!$AT$4</f>
        <v>الشيخ زايد</v>
      </c>
      <c r="R60" s="214" t="s">
        <v>39</v>
      </c>
      <c r="S60" s="216"/>
      <c r="T60" s="243">
        <f>IF((تسعير!$AU$14="بالتات"),0,2)</f>
        <v>2</v>
      </c>
      <c r="U60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1000</v>
      </c>
      <c r="V60" s="240">
        <f t="shared" si="7" ca="1"/>
        <v>3000</v>
      </c>
      <c r="W60" s="241">
        <f t="shared" si="8" ca="1"/>
        <v>0.035920558093719933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16"/>
      <c r="AU60" s="216"/>
      <c r="AV60" s="216"/>
      <c r="AW60" s="216"/>
      <c r="AX60" s="216"/>
      <c r="AY60" s="216"/>
      <c r="AZ60" s="216"/>
      <c r="BA60" s="216"/>
      <c r="BB60" s="216"/>
    </row>
    <row r="61" ht="18">
      <c r="L61" s="211">
        <v>7</v>
      </c>
      <c r="M61" s="212">
        <v>0</v>
      </c>
      <c r="N61" s="220" t="s">
        <v>145</v>
      </c>
      <c r="O61" s="211">
        <f>IF((Table161267[[#This Row],[موقع العمل]]="المصنع"),280,IF((Table161267[[#This Row],[موقع العمل]]="الاسكندرية"),320,400))</f>
        <v>400</v>
      </c>
      <c r="P61" s="211">
        <f>SUMIF(Table1769[Column1],Table161267[[#This Row],[موقع العمل]],$AB$2:$AB$20)</f>
        <v>100</v>
      </c>
      <c r="Q61" s="211" t="str">
        <f>تسعير!$AT$4</f>
        <v>الشيخ زايد</v>
      </c>
      <c r="R61" s="214" t="s">
        <v>39</v>
      </c>
      <c r="S61" s="216"/>
      <c r="T61" s="243"/>
      <c r="U61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0</v>
      </c>
      <c r="V61" s="240">
        <f t="shared" si="7"/>
        <v>0</v>
      </c>
      <c r="W61" s="241">
        <f t="shared" si="8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16"/>
      <c r="AU61" s="216"/>
      <c r="AV61" s="216"/>
      <c r="AW61" s="216"/>
      <c r="AX61" s="216"/>
      <c r="AY61" s="216"/>
      <c r="AZ61" s="216"/>
      <c r="BA61" s="216"/>
      <c r="BB61" s="216"/>
    </row>
    <row r="62" ht="18">
      <c r="L62" s="211">
        <v>8</v>
      </c>
      <c r="M62" s="212">
        <v>4</v>
      </c>
      <c r="N62" s="220" t="s">
        <v>146</v>
      </c>
      <c r="O62" s="211">
        <f>IF((Table161267[[#This Row],[موقع العمل]]="المصنع"),280,IF((Table161267[[#This Row],[موقع العمل]]="الاسكندرية"),320,400))</f>
        <v>400</v>
      </c>
      <c r="P62" s="211">
        <f>SUMIF(Table1769[Column1],Table161267[[#This Row],[موقع العمل]],$AB$2:$AB$20)</f>
        <v>100</v>
      </c>
      <c r="Q62" s="211" t="str">
        <f>تسعير!$AT$4</f>
        <v>الشيخ زايد</v>
      </c>
      <c r="R62" s="214" t="s">
        <v>39</v>
      </c>
      <c r="S62" s="216"/>
      <c r="T62" s="243">
        <v>1</v>
      </c>
      <c r="U62" s="243">
        <f>IF(Table161267[[#This Row],[عدد الايام]]=0,0,IF((Table161267[[#This Row],[شيفت العمل]]="صباحي"),((Table161267[[#This Row],[بدل الوجبة]]+Table161267[[#This Row],[اليومية / الاجرة]])*Table161267[[#This Row],[عدد الايام]]),IF((Table161267[[#This Row],[شيفت العمل]]="ليلي"),(((Table161267[[#This Row],[بدل الوجبة]]+Table161267[[#This Row],[اليومية / الاجرة]])*Table161267[[#This Row],[عدد الايام]])+Table161267[[#This Row],[اليومية / الاجرة]]),"ERROR")))</f>
        <v>500</v>
      </c>
      <c r="V62" s="240">
        <f t="shared" si="7" ca="1"/>
        <v>2000</v>
      </c>
      <c r="W62" s="241">
        <f t="shared" si="8" ca="1"/>
        <v>0.023947038729146618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16"/>
      <c r="AU62" s="216"/>
      <c r="AV62" s="216"/>
      <c r="AW62" s="216"/>
      <c r="AX62" s="216"/>
      <c r="AY62" s="216"/>
      <c r="AZ62" s="216"/>
      <c r="BA62" s="216"/>
      <c r="BB62" s="216"/>
    </row>
    <row r="63" ht="18">
      <c r="L63" s="211">
        <v>9</v>
      </c>
      <c r="M63" s="212">
        <f>(M59+M60+M61+M62)*2</f>
        <v>22</v>
      </c>
      <c r="N63" s="220" t="s">
        <v>147</v>
      </c>
      <c r="O63" s="211"/>
      <c r="P63" s="211"/>
      <c r="Q63" s="211" t="str">
        <f>تسعير!$AT$4</f>
        <v>الشيخ زايد</v>
      </c>
      <c r="R63" s="214"/>
      <c r="S63" s="247">
        <f>SUMIF(Table1769[Column1],Table161267[[#This Row],[موقع العمل]],$Z$2:$Z$20)</f>
        <v>400</v>
      </c>
      <c r="T63" s="247"/>
      <c r="U63" s="243">
        <f>Table161267[[#This Row],[Column12]]</f>
        <v>400</v>
      </c>
      <c r="V63" s="240">
        <f t="shared" si="7" ca="1"/>
        <v>8800</v>
      </c>
      <c r="W63" s="241">
        <f t="shared" si="8" ca="1"/>
        <v>0.10536697040824512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16"/>
      <c r="AU63" s="216"/>
      <c r="AV63" s="216"/>
      <c r="AW63" s="216"/>
      <c r="AX63" s="216"/>
      <c r="AY63" s="216"/>
      <c r="AZ63" s="216"/>
      <c r="BA63" s="216"/>
      <c r="BB63" s="216"/>
    </row>
    <row r="64" ht="18">
      <c r="L64" s="211">
        <v>10</v>
      </c>
      <c r="M64" s="212">
        <f>IF((تسعير!$AU$14="بالتات"),0,((T59+T60+T61+T62)*2)-3)</f>
        <v>7</v>
      </c>
      <c r="N64" s="220" t="s">
        <v>148</v>
      </c>
      <c r="O64" s="211"/>
      <c r="P64" s="211"/>
      <c r="Q64" s="211" t="str">
        <f>تسعير!$AT$4</f>
        <v>الشيخ زايد</v>
      </c>
      <c r="R64" s="214"/>
      <c r="S64" s="247">
        <f>SUMIF(Table1769[Column1],Table161267[[#This Row],[موقع العمل]],$AA$2:$AA$20)</f>
        <v>400</v>
      </c>
      <c r="T64" s="247"/>
      <c r="U64" s="243">
        <f>Table161267[[#This Row],[Column12]]</f>
        <v>400</v>
      </c>
      <c r="V64" s="240">
        <f t="shared" si="7" ca="1"/>
        <v>2800</v>
      </c>
      <c r="W64" s="241">
        <f t="shared" si="8" ca="1"/>
        <v>0.033525854220805271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16"/>
      <c r="AU64" s="216"/>
      <c r="AV64" s="216"/>
      <c r="AW64" s="216"/>
      <c r="AX64" s="216"/>
      <c r="AY64" s="216"/>
      <c r="AZ64" s="216"/>
      <c r="BA64" s="216"/>
      <c r="BB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211" t="str">
        <f>تسعير!$AT$4</f>
        <v>الشيخ زايد</v>
      </c>
      <c r="R65" s="214"/>
      <c r="S65" s="247">
        <f>SUMIF(Table1769[Column1],Table161267[[#This Row],[موقع العمل]],$AC$2:$AC$20)</f>
        <v>3500</v>
      </c>
      <c r="T65" s="247"/>
      <c r="U65" s="243">
        <f>Table161267[[#This Row],[Column12]]</f>
        <v>3500</v>
      </c>
      <c r="V65" s="240">
        <f t="shared" si="7" ca="1"/>
        <v>0</v>
      </c>
      <c r="W65" s="241">
        <f t="shared" si="8" ca="1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16"/>
      <c r="AU65" s="216"/>
      <c r="AV65" s="216"/>
      <c r="AW65" s="216"/>
      <c r="AX65" s="216"/>
      <c r="AY65" s="216"/>
      <c r="AZ65" s="216"/>
      <c r="BA65" s="216"/>
      <c r="BB65" s="216"/>
    </row>
    <row r="66" ht="18">
      <c r="L66" s="211">
        <v>12</v>
      </c>
      <c r="M66" s="212">
        <f>IF((تسعير!$AU$14="بالتات"),1,2)</f>
        <v>2</v>
      </c>
      <c r="N66" s="220" t="s">
        <v>150</v>
      </c>
      <c r="O66" s="211"/>
      <c r="P66" s="211"/>
      <c r="Q66" s="211" t="str">
        <f>تسعير!$AT$4</f>
        <v>الشيخ زايد</v>
      </c>
      <c r="R66" s="214"/>
      <c r="S66" s="247">
        <f>SUMIF(Table1769[Column1],Table161267[[#This Row],[موقع العمل]],$AD$2:$AD$20)</f>
        <v>6000</v>
      </c>
      <c r="T66" s="247"/>
      <c r="U66" s="243">
        <f>Table161267[[#This Row],[Column12]]</f>
        <v>6000</v>
      </c>
      <c r="V66" s="240">
        <f t="shared" si="7" ca="1"/>
        <v>12000</v>
      </c>
      <c r="W66" s="241">
        <f t="shared" si="8" ca="1"/>
        <v>0.14368223237487973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16"/>
      <c r="AU66" s="216"/>
      <c r="AV66" s="216"/>
      <c r="AW66" s="216"/>
      <c r="AX66" s="216"/>
      <c r="AY66" s="216"/>
      <c r="AZ66" s="216"/>
      <c r="BA66" s="216"/>
      <c r="BB66" s="216"/>
    </row>
    <row r="67" ht="18">
      <c r="L67" s="211">
        <v>13</v>
      </c>
      <c r="M67" s="212">
        <f>IF((تسعير!$AU$14="بالتات"),0,M64-2)</f>
        <v>5</v>
      </c>
      <c r="N67" s="220" t="s">
        <v>15</v>
      </c>
      <c r="O67" s="211"/>
      <c r="P67" s="211"/>
      <c r="Q67" s="211" t="str">
        <f>تسعير!$AT$4</f>
        <v>الشيخ زايد</v>
      </c>
      <c r="R67" s="214"/>
      <c r="S67" s="247">
        <f>SUMIF(Table1769[Column1],Table161267[[#This Row],[موقع العمل]],$AE$2:$AE$8)</f>
        <v>150</v>
      </c>
      <c r="T67" s="247"/>
      <c r="U67" s="243">
        <f>Table161267[[#This Row],[Column12]]</f>
        <v>150</v>
      </c>
      <c r="V67" s="240">
        <f t="shared" si="7" ca="1"/>
        <v>750</v>
      </c>
      <c r="W67" s="241">
        <f t="shared" si="8" ca="1"/>
        <v>0.0089801395234299832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16"/>
      <c r="AU67" s="216"/>
      <c r="AV67" s="216"/>
      <c r="AW67" s="216"/>
      <c r="AX67" s="216"/>
      <c r="AY67" s="216"/>
      <c r="AZ67" s="216"/>
      <c r="BA67" s="216"/>
      <c r="BB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SUBTOTAL(109,Table161267[Column12])</f>
        <v>10450</v>
      </c>
      <c r="T68" s="572"/>
      <c r="U68" s="242"/>
      <c r="V68" s="575">
        <f>SUBTOTAL(109,Table161267[اجمالي])</f>
        <v>36150</v>
      </c>
      <c r="W68" s="576">
        <f>Table161267[[#Totals],[اجمالي]]/$R$71</f>
        <v>0.43284272502932514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16"/>
      <c r="AU68" s="216"/>
      <c r="AV68" s="216"/>
      <c r="AW68" s="216"/>
      <c r="AX68" s="216"/>
      <c r="AY68" s="216"/>
      <c r="AZ68" s="216"/>
      <c r="BA68" s="216"/>
      <c r="BB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  <c r="AT69" s="216"/>
      <c r="AU69" s="216"/>
      <c r="AV69" s="216"/>
      <c r="AW69" s="216"/>
      <c r="AX69" s="216"/>
      <c r="AY69" s="216"/>
      <c r="AZ69" s="216"/>
      <c r="BA69" s="216"/>
      <c r="BB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  <c r="AT70" s="216"/>
      <c r="AU70" s="216"/>
      <c r="AV70" s="216"/>
      <c r="AW70" s="216"/>
      <c r="AX70" s="216"/>
      <c r="AY70" s="216"/>
      <c r="AZ70" s="216"/>
      <c r="BA70" s="216"/>
      <c r="BB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Table161267[[#Totals],[اجمالي]]+Table161368[[#Totals],[اجمالي]]+Table1359[[#Totals],[اجمالي]]+Table1662[[#Totals],[اجمالي]]+Table1561[[#Totals],[اجمالي]]+Table158[[#Totals],[اجمالي]]</f>
        <v>83517.633333333331</v>
      </c>
      <c r="S71" s="211"/>
      <c r="T71" s="211"/>
      <c r="U71" s="243"/>
      <c r="V71" s="282"/>
      <c r="W71" s="283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16"/>
      <c r="AU71" s="216"/>
      <c r="AV71" s="216"/>
      <c r="AW71" s="216"/>
      <c r="AX71" s="216"/>
      <c r="AY71" s="216"/>
      <c r="AZ71" s="216"/>
      <c r="BA71" s="216"/>
      <c r="BB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R71*(1+Table1870[[#This Row],[Column3]])</f>
        <v>108572.92333333334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16"/>
      <c r="AU72" s="216"/>
      <c r="AV72" s="216"/>
      <c r="AW72" s="216"/>
      <c r="AX72" s="216"/>
      <c r="AY72" s="216"/>
      <c r="AZ72" s="216"/>
      <c r="BA72" s="216"/>
      <c r="BB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  <c r="AT73" s="216"/>
      <c r="AU73" s="216"/>
      <c r="AV73" s="216"/>
      <c r="AW73" s="216"/>
      <c r="AX73" s="216"/>
      <c r="AY73" s="216"/>
      <c r="AZ73" s="216"/>
      <c r="BA73" s="216"/>
      <c r="BB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  <c r="AT74" s="216"/>
      <c r="AU74" s="216"/>
      <c r="AV74" s="216"/>
      <c r="AW74" s="216"/>
      <c r="AX74" s="216"/>
      <c r="AY74" s="216"/>
      <c r="AZ74" s="216"/>
      <c r="BA74" s="216"/>
      <c r="BB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  <c r="AT75" s="216"/>
      <c r="AU75" s="216"/>
      <c r="AV75" s="216"/>
      <c r="AW75" s="216"/>
      <c r="AX75" s="216"/>
      <c r="AY75" s="216"/>
      <c r="AZ75" s="216"/>
      <c r="BA75" s="216"/>
      <c r="BB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  <c r="AT76" s="216"/>
      <c r="AU76" s="216"/>
      <c r="AV76" s="216"/>
      <c r="AW76" s="216"/>
      <c r="AX76" s="216"/>
      <c r="AY76" s="216"/>
      <c r="AZ76" s="216"/>
      <c r="BA76" s="216"/>
      <c r="BB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  <c r="AT77" s="216"/>
      <c r="AU77" s="216"/>
      <c r="AV77" s="216"/>
      <c r="AW77" s="216"/>
      <c r="AX77" s="216"/>
      <c r="AY77" s="216"/>
      <c r="AZ77" s="216"/>
      <c r="BA77" s="216"/>
      <c r="BB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  <c r="AT78" s="216"/>
      <c r="AU78" s="216"/>
      <c r="AV78" s="216"/>
      <c r="AW78" s="216"/>
      <c r="AX78" s="216"/>
      <c r="AY78" s="216"/>
      <c r="AZ78" s="216"/>
      <c r="BA78" s="216"/>
      <c r="BB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  <c r="AT79" s="216"/>
      <c r="AU79" s="216"/>
      <c r="AV79" s="216"/>
      <c r="AW79" s="216"/>
      <c r="AX79" s="216"/>
      <c r="AY79" s="216"/>
      <c r="AZ79" s="216"/>
      <c r="BA79" s="216"/>
      <c r="BB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  <c r="AT80" s="216"/>
      <c r="AU80" s="216"/>
      <c r="AV80" s="216"/>
      <c r="AW80" s="216"/>
      <c r="AX80" s="216"/>
      <c r="AY80" s="216"/>
      <c r="AZ80" s="216"/>
      <c r="BA80" s="216"/>
      <c r="BB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  <c r="AT81" s="216"/>
      <c r="AU81" s="216"/>
      <c r="AV81" s="216"/>
      <c r="AW81" s="216"/>
      <c r="AX81" s="216"/>
      <c r="AY81" s="216"/>
      <c r="AZ81" s="216"/>
      <c r="BA81" s="216"/>
      <c r="BB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  <c r="AT82" s="216"/>
      <c r="AU82" s="216"/>
      <c r="AV82" s="216"/>
      <c r="AW82" s="216"/>
      <c r="AX82" s="216"/>
      <c r="AY82" s="216"/>
      <c r="AZ82" s="216"/>
      <c r="BA82" s="216"/>
      <c r="BB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  <c r="AT83" s="216"/>
      <c r="AU83" s="216"/>
      <c r="AV83" s="216"/>
      <c r="AW83" s="216"/>
      <c r="AX83" s="216"/>
      <c r="AY83" s="216"/>
      <c r="AZ83" s="216"/>
      <c r="BA83" s="216"/>
      <c r="BB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  <c r="AT84" s="216"/>
      <c r="AU84" s="216"/>
      <c r="AV84" s="216"/>
      <c r="AW84" s="216"/>
      <c r="AX84" s="216"/>
      <c r="AY84" s="216"/>
      <c r="AZ84" s="216"/>
      <c r="BA84" s="216"/>
      <c r="BB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  <c r="AT85" s="216"/>
      <c r="AU85" s="216"/>
      <c r="AV85" s="216"/>
      <c r="AW85" s="216"/>
      <c r="AX85" s="216"/>
      <c r="AY85" s="216"/>
      <c r="AZ85" s="216"/>
      <c r="BA85" s="216"/>
      <c r="BB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  <c r="AT86" s="216"/>
      <c r="AU86" s="216"/>
      <c r="AV86" s="216"/>
      <c r="AW86" s="216"/>
      <c r="AX86" s="216"/>
      <c r="AY86" s="216"/>
      <c r="AZ86" s="216"/>
      <c r="BA86" s="216"/>
      <c r="BB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  <c r="AT87" s="216"/>
      <c r="AU87" s="216"/>
      <c r="AV87" s="216"/>
      <c r="AW87" s="216"/>
      <c r="AX87" s="216"/>
      <c r="AY87" s="216"/>
      <c r="AZ87" s="216"/>
      <c r="BA87" s="216"/>
      <c r="BB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16"/>
      <c r="AU89" s="216"/>
      <c r="AV89" s="216"/>
      <c r="AW89" s="216"/>
      <c r="AX89" s="216"/>
      <c r="AY89" s="216"/>
      <c r="AZ89" s="216"/>
      <c r="BA89" s="216"/>
      <c r="BB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16"/>
      <c r="AU90" s="216"/>
      <c r="AV90" s="216"/>
      <c r="AW90" s="216"/>
      <c r="AX90" s="216"/>
      <c r="AY90" s="216"/>
      <c r="AZ90" s="216"/>
      <c r="BA90" s="216"/>
      <c r="BB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16"/>
      <c r="AU91" s="216"/>
      <c r="AV91" s="216"/>
      <c r="AW91" s="216"/>
      <c r="AX91" s="216"/>
      <c r="AY91" s="216"/>
      <c r="AZ91" s="216"/>
      <c r="BA91" s="216"/>
      <c r="BB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16"/>
      <c r="AU92" s="216"/>
      <c r="AV92" s="216"/>
      <c r="AW92" s="216"/>
      <c r="AX92" s="216"/>
      <c r="AY92" s="216"/>
      <c r="AZ92" s="216"/>
      <c r="BA92" s="216"/>
      <c r="BB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16"/>
      <c r="AU93" s="216"/>
      <c r="AV93" s="216"/>
      <c r="AW93" s="216"/>
      <c r="AX93" s="216"/>
      <c r="AY93" s="216"/>
      <c r="AZ93" s="216"/>
      <c r="BA93" s="216"/>
      <c r="BB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16"/>
      <c r="AU94" s="216"/>
      <c r="AV94" s="216"/>
      <c r="AW94" s="216"/>
      <c r="AX94" s="216"/>
      <c r="AY94" s="216"/>
      <c r="AZ94" s="216"/>
      <c r="BA94" s="216"/>
      <c r="BB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16"/>
      <c r="AU95" s="216"/>
      <c r="AV95" s="216"/>
      <c r="AW95" s="216"/>
      <c r="AX95" s="216"/>
      <c r="AY95" s="216"/>
      <c r="AZ95" s="216"/>
      <c r="BA95" s="216"/>
      <c r="BB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16"/>
      <c r="AU96" s="216"/>
      <c r="AV96" s="216"/>
      <c r="AW96" s="216"/>
      <c r="AX96" s="216"/>
      <c r="AY96" s="216"/>
      <c r="AZ96" s="216"/>
      <c r="BA96" s="216"/>
      <c r="BB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16"/>
      <c r="AU97" s="216"/>
      <c r="AV97" s="216"/>
      <c r="AW97" s="216"/>
      <c r="AX97" s="216"/>
      <c r="AY97" s="216"/>
      <c r="AZ97" s="216"/>
      <c r="BA97" s="216"/>
      <c r="BB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16"/>
      <c r="AU98" s="216"/>
      <c r="AV98" s="216"/>
      <c r="AW98" s="216"/>
      <c r="AX98" s="216"/>
      <c r="AY98" s="216"/>
      <c r="AZ98" s="216"/>
      <c r="BA98" s="216"/>
      <c r="BB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16"/>
      <c r="AU99" s="216"/>
      <c r="AV99" s="216"/>
      <c r="AW99" s="216"/>
      <c r="AX99" s="216"/>
      <c r="AY99" s="216"/>
      <c r="AZ99" s="216"/>
      <c r="BA99" s="216"/>
      <c r="BB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16"/>
      <c r="AU100" s="216"/>
      <c r="AV100" s="216"/>
      <c r="AW100" s="216"/>
      <c r="AX100" s="216"/>
      <c r="AY100" s="216"/>
      <c r="AZ100" s="216"/>
      <c r="BA100" s="216"/>
      <c r="BB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16"/>
      <c r="AU101" s="216"/>
      <c r="AV101" s="216"/>
      <c r="AW101" s="216"/>
      <c r="AX101" s="216"/>
      <c r="AY101" s="216"/>
      <c r="AZ101" s="216"/>
      <c r="BA101" s="216"/>
      <c r="BB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16"/>
      <c r="AU102" s="216"/>
      <c r="AV102" s="216"/>
      <c r="AW102" s="216"/>
      <c r="AX102" s="216"/>
      <c r="AY102" s="216"/>
      <c r="AZ102" s="216"/>
      <c r="BA102" s="216"/>
      <c r="BB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16"/>
      <c r="AU103" s="216"/>
      <c r="AV103" s="216"/>
      <c r="AW103" s="216"/>
      <c r="AX103" s="216"/>
      <c r="AY103" s="216"/>
      <c r="AZ103" s="216"/>
      <c r="BA103" s="216"/>
      <c r="BB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16"/>
      <c r="AU104" s="216"/>
      <c r="AV104" s="216"/>
      <c r="AW104" s="216"/>
      <c r="AX104" s="216"/>
      <c r="AY104" s="216"/>
      <c r="AZ104" s="216"/>
      <c r="BA104" s="216"/>
      <c r="BB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16"/>
      <c r="AU105" s="216"/>
      <c r="AV105" s="216"/>
      <c r="AW105" s="216"/>
      <c r="AX105" s="216"/>
      <c r="AY105" s="216"/>
      <c r="AZ105" s="216"/>
      <c r="BA105" s="216"/>
      <c r="BB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16"/>
      <c r="AU106" s="216"/>
      <c r="AV106" s="216"/>
      <c r="AW106" s="216"/>
      <c r="AX106" s="216"/>
      <c r="AY106" s="216"/>
      <c r="AZ106" s="216"/>
      <c r="BA106" s="216"/>
      <c r="BB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16"/>
      <c r="AU108" s="216"/>
      <c r="AV108" s="216"/>
      <c r="AW108" s="216"/>
      <c r="AX108" s="216"/>
      <c r="AY108" s="216"/>
      <c r="AZ108" s="216"/>
      <c r="BA108" s="216"/>
      <c r="BB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16"/>
      <c r="AU109" s="216"/>
      <c r="AV109" s="216"/>
      <c r="AW109" s="216"/>
      <c r="AX109" s="216"/>
      <c r="AY109" s="216"/>
      <c r="AZ109" s="216"/>
      <c r="BA109" s="216"/>
      <c r="BB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16"/>
      <c r="AU110" s="216"/>
      <c r="AV110" s="216"/>
      <c r="AW110" s="216"/>
      <c r="AX110" s="216"/>
      <c r="AY110" s="216"/>
      <c r="AZ110" s="216"/>
      <c r="BA110" s="216"/>
      <c r="BB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16"/>
      <c r="AU111" s="216"/>
      <c r="AV111" s="216"/>
      <c r="AW111" s="216"/>
      <c r="AX111" s="216"/>
      <c r="AY111" s="216"/>
      <c r="AZ111" s="216"/>
      <c r="BA111" s="216"/>
      <c r="BB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16"/>
      <c r="AU112" s="216"/>
      <c r="AV112" s="216"/>
      <c r="AW112" s="216"/>
      <c r="AX112" s="216"/>
      <c r="AY112" s="216"/>
      <c r="AZ112" s="216"/>
      <c r="BA112" s="216"/>
      <c r="BB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16"/>
      <c r="AU113" s="216"/>
      <c r="AV113" s="216"/>
      <c r="AW113" s="216"/>
      <c r="AX113" s="216"/>
      <c r="AY113" s="216"/>
      <c r="AZ113" s="216"/>
      <c r="BA113" s="216"/>
      <c r="BB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16"/>
      <c r="AU114" s="216"/>
      <c r="AV114" s="216"/>
      <c r="AW114" s="216"/>
      <c r="AX114" s="216"/>
      <c r="AY114" s="216"/>
      <c r="AZ114" s="216"/>
      <c r="BA114" s="216"/>
      <c r="BB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16"/>
      <c r="AU115" s="216"/>
      <c r="AV115" s="216"/>
      <c r="AW115" s="216"/>
      <c r="AX115" s="216"/>
      <c r="AY115" s="216"/>
      <c r="AZ115" s="216"/>
      <c r="BA115" s="216"/>
      <c r="BB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16"/>
      <c r="AU116" s="216"/>
      <c r="AV116" s="216"/>
      <c r="AW116" s="216"/>
      <c r="AX116" s="216"/>
      <c r="AY116" s="216"/>
      <c r="AZ116" s="216"/>
      <c r="BA116" s="216"/>
      <c r="BB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16"/>
      <c r="AU117" s="216"/>
      <c r="AV117" s="216"/>
      <c r="AW117" s="216"/>
      <c r="AX117" s="216"/>
      <c r="AY117" s="216"/>
      <c r="AZ117" s="216"/>
      <c r="BA117" s="216"/>
      <c r="BB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16"/>
      <c r="AU118" s="216"/>
      <c r="AV118" s="216"/>
      <c r="AW118" s="216"/>
      <c r="AX118" s="216"/>
      <c r="AY118" s="216"/>
      <c r="AZ118" s="216"/>
      <c r="BA118" s="216"/>
      <c r="BB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16"/>
      <c r="AU119" s="216"/>
      <c r="AV119" s="216"/>
      <c r="AW119" s="216"/>
      <c r="AX119" s="216"/>
      <c r="AY119" s="216"/>
      <c r="AZ119" s="216"/>
      <c r="BA119" s="216"/>
      <c r="BB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16"/>
      <c r="AU120" s="216"/>
      <c r="AV120" s="216"/>
      <c r="AW120" s="216"/>
      <c r="AX120" s="216"/>
      <c r="AY120" s="216"/>
      <c r="AZ120" s="216"/>
      <c r="BA120" s="216"/>
      <c r="BB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16"/>
      <c r="AU121" s="216"/>
      <c r="AV121" s="216"/>
      <c r="AW121" s="216"/>
      <c r="AX121" s="216"/>
      <c r="AY121" s="216"/>
      <c r="AZ121" s="216"/>
      <c r="BA121" s="216"/>
      <c r="BB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16"/>
      <c r="AU122" s="216"/>
      <c r="AV122" s="216"/>
      <c r="AW122" s="216"/>
      <c r="AX122" s="216"/>
      <c r="AY122" s="216"/>
      <c r="AZ122" s="216"/>
      <c r="BA122" s="216"/>
      <c r="BB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16"/>
      <c r="AU123" s="216"/>
      <c r="AV123" s="216"/>
      <c r="AW123" s="216"/>
      <c r="AX123" s="216"/>
      <c r="AY123" s="216"/>
      <c r="AZ123" s="216"/>
      <c r="BA123" s="216"/>
      <c r="BB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16"/>
      <c r="AU124" s="216"/>
      <c r="AV124" s="216"/>
      <c r="AW124" s="216"/>
      <c r="AX124" s="216"/>
      <c r="AY124" s="216"/>
      <c r="AZ124" s="216"/>
      <c r="BA124" s="216"/>
      <c r="BB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  <c r="AT125" s="216"/>
      <c r="AU125" s="216"/>
      <c r="AV125" s="216"/>
      <c r="AW125" s="216"/>
      <c r="AX125" s="216"/>
      <c r="AY125" s="216"/>
      <c r="AZ125" s="216"/>
      <c r="BA125" s="216"/>
      <c r="BB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  <c r="AT126" s="216"/>
      <c r="AU126" s="216"/>
      <c r="AV126" s="216"/>
      <c r="AW126" s="216"/>
      <c r="AX126" s="216"/>
      <c r="AY126" s="216"/>
      <c r="AZ126" s="216"/>
      <c r="BA126" s="216"/>
      <c r="BB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  <c r="AT127" s="216"/>
      <c r="AU127" s="216"/>
      <c r="AV127" s="216"/>
      <c r="AW127" s="216"/>
      <c r="AX127" s="216"/>
      <c r="AY127" s="216"/>
      <c r="AZ127" s="216"/>
      <c r="BA127" s="216"/>
      <c r="BB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  <c r="AT128" s="216"/>
      <c r="AU128" s="216"/>
      <c r="AV128" s="216"/>
      <c r="AW128" s="216"/>
      <c r="AX128" s="216"/>
      <c r="AY128" s="216"/>
      <c r="AZ128" s="216"/>
      <c r="BA128" s="216"/>
      <c r="BB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  <c r="AT129" s="216"/>
      <c r="AU129" s="216"/>
      <c r="AV129" s="216"/>
      <c r="AW129" s="216"/>
      <c r="AX129" s="216"/>
      <c r="AY129" s="216"/>
      <c r="AZ129" s="216"/>
      <c r="BA129" s="216"/>
      <c r="BB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16"/>
      <c r="AU130" s="216"/>
      <c r="AV130" s="216"/>
      <c r="AW130" s="216"/>
      <c r="AX130" s="216"/>
      <c r="AY130" s="216"/>
      <c r="AZ130" s="216"/>
      <c r="BA130" s="216"/>
      <c r="BB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16"/>
      <c r="AU131" s="216"/>
      <c r="AV131" s="216"/>
      <c r="AW131" s="216"/>
      <c r="AX131" s="216"/>
      <c r="AY131" s="216"/>
      <c r="AZ131" s="216"/>
      <c r="BA131" s="216"/>
      <c r="BB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16"/>
      <c r="AU132" s="216"/>
      <c r="AV132" s="216"/>
      <c r="AW132" s="216"/>
      <c r="AX132" s="216"/>
      <c r="AY132" s="216"/>
      <c r="AZ132" s="216"/>
      <c r="BA132" s="216"/>
      <c r="BB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16"/>
      <c r="AU133" s="216"/>
      <c r="AV133" s="216"/>
      <c r="AW133" s="216"/>
      <c r="AX133" s="216"/>
      <c r="AY133" s="216"/>
      <c r="AZ133" s="216"/>
      <c r="BA133" s="216"/>
      <c r="BB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16"/>
      <c r="AU134" s="216"/>
      <c r="AV134" s="216"/>
      <c r="AW134" s="216"/>
      <c r="AX134" s="216"/>
      <c r="AY134" s="216"/>
      <c r="AZ134" s="216"/>
      <c r="BA134" s="216"/>
      <c r="BB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16"/>
      <c r="AU135" s="216"/>
      <c r="AV135" s="216"/>
      <c r="AW135" s="216"/>
      <c r="AX135" s="216"/>
      <c r="AY135" s="216"/>
      <c r="AZ135" s="216"/>
      <c r="BA135" s="216"/>
      <c r="BB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16"/>
      <c r="AU136" s="216"/>
      <c r="AV136" s="216"/>
      <c r="AW136" s="216"/>
      <c r="AX136" s="216"/>
      <c r="AY136" s="216"/>
      <c r="AZ136" s="216"/>
      <c r="BA136" s="216"/>
      <c r="BB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07"/>
      <c r="AK137" s="207"/>
      <c r="AL137" s="207"/>
      <c r="AM137" s="207"/>
      <c r="AN137" s="216"/>
      <c r="AO137" s="216"/>
      <c r="AP137" s="216"/>
      <c r="AQ137" s="216"/>
      <c r="AR137" s="216"/>
      <c r="AS137" s="216"/>
      <c r="AT137" s="216"/>
      <c r="AU137" s="216"/>
      <c r="AV137" s="216"/>
      <c r="AW137" s="216"/>
      <c r="AX137" s="216"/>
      <c r="AY137" s="216"/>
      <c r="AZ137" s="216"/>
      <c r="BA137" s="216"/>
      <c r="BB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07"/>
      <c r="AK138" s="207"/>
      <c r="AL138" s="207"/>
      <c r="AM138" s="207"/>
      <c r="AN138" s="216"/>
      <c r="AO138" s="216"/>
      <c r="AP138" s="216"/>
      <c r="AQ138" s="216"/>
      <c r="AR138" s="216"/>
      <c r="AS138" s="216"/>
      <c r="AT138" s="216"/>
      <c r="AU138" s="216"/>
      <c r="AV138" s="216"/>
      <c r="AW138" s="216"/>
      <c r="AX138" s="216"/>
      <c r="AY138" s="216"/>
      <c r="AZ138" s="216"/>
      <c r="BA138" s="216"/>
      <c r="BB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07"/>
      <c r="AK139" s="207"/>
      <c r="AL139" s="207"/>
      <c r="AM139" s="207"/>
      <c r="AN139" s="216"/>
      <c r="AO139" s="216"/>
      <c r="AP139" s="216"/>
      <c r="AQ139" s="216"/>
      <c r="AR139" s="216"/>
      <c r="AS139" s="216"/>
      <c r="AT139" s="216"/>
      <c r="AU139" s="216"/>
      <c r="AV139" s="216"/>
      <c r="AW139" s="216"/>
      <c r="AX139" s="216"/>
      <c r="AY139" s="216"/>
      <c r="AZ139" s="216"/>
      <c r="BA139" s="216"/>
      <c r="BB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  <c r="AT140" s="207"/>
      <c r="AU140" s="207"/>
      <c r="AV140" s="207"/>
      <c r="AW140" s="207"/>
      <c r="AX140" s="207"/>
      <c r="AY140" s="207"/>
      <c r="AZ140" s="207"/>
      <c r="BA140" s="207"/>
      <c r="BB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  <c r="AT141" s="207"/>
      <c r="AU141" s="207"/>
      <c r="AV141" s="207"/>
      <c r="AW141" s="207"/>
      <c r="AX141" s="207"/>
      <c r="AY141" s="207"/>
      <c r="AZ141" s="207"/>
      <c r="BA141" s="207"/>
      <c r="BB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  <c r="AT142" s="207"/>
      <c r="AU142" s="207"/>
      <c r="AV142" s="207"/>
      <c r="AW142" s="207"/>
      <c r="AX142" s="207"/>
      <c r="AY142" s="207"/>
      <c r="AZ142" s="207"/>
      <c r="BA142" s="207"/>
      <c r="BB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  <c r="AT143" s="207"/>
      <c r="AU143" s="207"/>
      <c r="AV143" s="207"/>
      <c r="AW143" s="207"/>
      <c r="AX143" s="207"/>
      <c r="AY143" s="207"/>
      <c r="AZ143" s="207"/>
      <c r="BA143" s="207"/>
      <c r="BB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  <c r="AT144" s="207"/>
      <c r="AU144" s="207"/>
      <c r="AV144" s="207"/>
      <c r="AW144" s="207"/>
      <c r="AX144" s="207"/>
      <c r="AY144" s="207"/>
      <c r="AZ144" s="207"/>
      <c r="BA144" s="207"/>
      <c r="BB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  <c r="AT145" s="207"/>
      <c r="AU145" s="207"/>
      <c r="AV145" s="207"/>
      <c r="AW145" s="207"/>
      <c r="AX145" s="207"/>
      <c r="AY145" s="207"/>
      <c r="AZ145" s="207"/>
      <c r="BA145" s="207"/>
      <c r="BB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  <c r="AT146" s="207"/>
      <c r="AU146" s="207"/>
      <c r="AV146" s="207"/>
      <c r="AW146" s="207"/>
      <c r="AX146" s="207"/>
      <c r="AY146" s="207"/>
      <c r="AZ146" s="207"/>
      <c r="BA146" s="207"/>
      <c r="BB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  <c r="AT147" s="207"/>
      <c r="AU147" s="207"/>
      <c r="AV147" s="207"/>
      <c r="AW147" s="207"/>
      <c r="AX147" s="207"/>
      <c r="AY147" s="207"/>
      <c r="AZ147" s="207"/>
      <c r="BA147" s="207"/>
      <c r="BB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  <c r="AT148" s="207"/>
      <c r="AU148" s="207"/>
      <c r="AV148" s="207"/>
      <c r="AW148" s="207"/>
      <c r="AX148" s="207"/>
      <c r="AY148" s="207"/>
      <c r="AZ148" s="207"/>
      <c r="BA148" s="207"/>
      <c r="BB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  <c r="AT149" s="207"/>
      <c r="AU149" s="207"/>
      <c r="AV149" s="207"/>
      <c r="AW149" s="207"/>
      <c r="AX149" s="207"/>
      <c r="AY149" s="207"/>
      <c r="AZ149" s="207"/>
      <c r="BA149" s="207"/>
      <c r="BB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  <c r="AT150" s="207"/>
      <c r="AU150" s="207"/>
      <c r="AV150" s="207"/>
      <c r="AW150" s="207"/>
      <c r="AX150" s="207"/>
      <c r="AY150" s="207"/>
      <c r="AZ150" s="207"/>
      <c r="BA150" s="207"/>
      <c r="BB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  <c r="AT151" s="207"/>
      <c r="AU151" s="207"/>
      <c r="AV151" s="207"/>
      <c r="AW151" s="207"/>
      <c r="AX151" s="207"/>
      <c r="AY151" s="207"/>
      <c r="AZ151" s="207"/>
      <c r="BA151" s="207"/>
      <c r="BB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  <c r="AT152" s="207"/>
      <c r="AU152" s="207"/>
      <c r="AV152" s="207"/>
      <c r="AW152" s="207"/>
      <c r="AX152" s="207"/>
      <c r="AY152" s="207"/>
      <c r="AZ152" s="207"/>
      <c r="BA152" s="207"/>
      <c r="BB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  <c r="AT153" s="207"/>
      <c r="AU153" s="207"/>
      <c r="AV153" s="207"/>
      <c r="AW153" s="207"/>
      <c r="AX153" s="207"/>
      <c r="AY153" s="207"/>
      <c r="AZ153" s="207"/>
      <c r="BA153" s="207"/>
      <c r="BB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  <c r="AT154" s="207"/>
      <c r="AU154" s="207"/>
      <c r="AV154" s="207"/>
      <c r="AW154" s="207"/>
      <c r="AX154" s="207"/>
      <c r="AY154" s="207"/>
      <c r="AZ154" s="207"/>
      <c r="BA154" s="207"/>
      <c r="BB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  <c r="AT155" s="207"/>
      <c r="AU155" s="207"/>
      <c r="AV155" s="207"/>
      <c r="AW155" s="207"/>
      <c r="AX155" s="207"/>
      <c r="AY155" s="207"/>
      <c r="AZ155" s="207"/>
      <c r="BA155" s="207"/>
      <c r="BB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  <c r="AT156" s="207"/>
      <c r="AU156" s="207"/>
      <c r="AV156" s="207"/>
      <c r="AW156" s="207"/>
      <c r="AX156" s="207"/>
      <c r="AY156" s="207"/>
      <c r="AZ156" s="207"/>
      <c r="BA156" s="207"/>
      <c r="BB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U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U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U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U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  <c r="AT161" s="207"/>
      <c r="AU161" s="207"/>
      <c r="AV161" s="207"/>
      <c r="AW161" s="207"/>
      <c r="AX161" s="207"/>
      <c r="AY161" s="207"/>
      <c r="AZ161" s="207"/>
      <c r="BA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  <c r="AT162" s="207"/>
      <c r="AU162" s="207"/>
      <c r="AV162" s="207"/>
      <c r="AW162" s="207"/>
      <c r="AX162" s="207"/>
      <c r="AY162" s="207"/>
      <c r="AZ162" s="207"/>
      <c r="BA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  <c r="AT163" s="207"/>
      <c r="AU163" s="207"/>
      <c r="AV163" s="207"/>
      <c r="AW163" s="207"/>
      <c r="AX163" s="207"/>
      <c r="AY163" s="207"/>
      <c r="AZ163" s="207"/>
      <c r="BA163" s="207"/>
      <c r="BB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  <c r="AT164" s="207"/>
      <c r="AU164" s="207"/>
      <c r="AV164" s="207"/>
      <c r="AW164" s="207"/>
      <c r="AX164" s="207"/>
      <c r="AY164" s="207"/>
      <c r="AZ164" s="207"/>
      <c r="BA164" s="207"/>
      <c r="BB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  <c r="AT165" s="207"/>
      <c r="AU165" s="207"/>
      <c r="AV165" s="207"/>
      <c r="AW165" s="207"/>
      <c r="AX165" s="207"/>
      <c r="AY165" s="207"/>
      <c r="AZ165" s="207"/>
      <c r="BA165" s="207"/>
      <c r="BB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  <c r="AT166" s="207"/>
      <c r="AU166" s="207"/>
      <c r="AV166" s="207"/>
      <c r="AW166" s="207"/>
      <c r="AX166" s="207"/>
      <c r="AY166" s="207"/>
      <c r="AZ166" s="207"/>
      <c r="BA166" s="207"/>
      <c r="BB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  <c r="AT167" s="207"/>
      <c r="AU167" s="207"/>
      <c r="AV167" s="207"/>
      <c r="AW167" s="207"/>
      <c r="AX167" s="207"/>
      <c r="AY167" s="207"/>
      <c r="AZ167" s="207"/>
      <c r="BA167" s="207"/>
      <c r="BB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  <c r="AT168" s="207"/>
      <c r="AU168" s="207"/>
      <c r="AV168" s="207"/>
      <c r="AW168" s="207"/>
      <c r="AX168" s="207"/>
      <c r="AY168" s="207"/>
      <c r="AZ168" s="207"/>
      <c r="BA168" s="207"/>
      <c r="BB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  <c r="AT169" s="207"/>
      <c r="AU169" s="207"/>
      <c r="AV169" s="207"/>
      <c r="AW169" s="207"/>
      <c r="AX169" s="207"/>
      <c r="AY169" s="207"/>
      <c r="AZ169" s="207"/>
      <c r="BA169" s="207"/>
      <c r="BB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  <c r="AT170" s="207"/>
      <c r="AU170" s="207"/>
      <c r="AV170" s="207"/>
      <c r="AW170" s="207"/>
      <c r="AX170" s="207"/>
      <c r="AY170" s="207"/>
      <c r="AZ170" s="207"/>
      <c r="BA170" s="207"/>
      <c r="BB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  <c r="AT171" s="207"/>
      <c r="AU171" s="207"/>
      <c r="AV171" s="207"/>
      <c r="AW171" s="207"/>
      <c r="AX171" s="207"/>
      <c r="AY171" s="207"/>
      <c r="AZ171" s="207"/>
      <c r="BA171" s="207"/>
      <c r="BB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  <c r="AT172" s="207"/>
      <c r="AU172" s="207"/>
      <c r="AV172" s="207"/>
      <c r="AW172" s="207"/>
      <c r="AX172" s="207"/>
      <c r="AY172" s="207"/>
      <c r="AZ172" s="207"/>
      <c r="BA172" s="207"/>
      <c r="BB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  <c r="AT173" s="207"/>
      <c r="AU173" s="207"/>
      <c r="AV173" s="207"/>
      <c r="AW173" s="207"/>
      <c r="AX173" s="207"/>
      <c r="AY173" s="207"/>
      <c r="AZ173" s="207"/>
      <c r="BA173" s="207"/>
      <c r="BB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  <c r="AT174" s="207"/>
      <c r="AU174" s="207"/>
      <c r="AV174" s="207"/>
      <c r="AW174" s="207"/>
      <c r="AX174" s="207"/>
      <c r="AY174" s="207"/>
      <c r="AZ174" s="207"/>
      <c r="BA174" s="207"/>
      <c r="BB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  <c r="AT175" s="207"/>
      <c r="AU175" s="207"/>
      <c r="AV175" s="207"/>
      <c r="AW175" s="207"/>
      <c r="AX175" s="207"/>
      <c r="AY175" s="207"/>
      <c r="AZ175" s="207"/>
      <c r="BA175" s="207"/>
      <c r="BB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  <c r="AT176" s="207"/>
      <c r="AU176" s="207"/>
      <c r="AV176" s="207"/>
      <c r="AW176" s="207"/>
      <c r="AX176" s="207"/>
      <c r="AY176" s="207"/>
      <c r="AZ176" s="207"/>
      <c r="BA176" s="207"/>
      <c r="BB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N177" s="207"/>
      <c r="AO177" s="207"/>
      <c r="AP177" s="207"/>
      <c r="AQ177" s="207"/>
      <c r="AR177" s="207"/>
      <c r="AS177" s="207"/>
      <c r="AT177" s="207"/>
      <c r="AU177" s="207"/>
      <c r="AV177" s="207"/>
      <c r="AW177" s="207"/>
      <c r="AX177" s="207"/>
      <c r="AY177" s="207"/>
      <c r="AZ177" s="207"/>
      <c r="BA177" s="207"/>
      <c r="BB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N178" s="207"/>
      <c r="AO178" s="207"/>
      <c r="AP178" s="207"/>
      <c r="AQ178" s="207"/>
      <c r="AR178" s="207"/>
      <c r="AS178" s="207"/>
      <c r="AT178" s="207"/>
      <c r="AU178" s="207"/>
      <c r="AV178" s="207"/>
      <c r="AW178" s="207"/>
      <c r="AX178" s="207"/>
      <c r="AY178" s="207"/>
      <c r="AZ178" s="207"/>
      <c r="BA178" s="207"/>
      <c r="BB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N179" s="207"/>
      <c r="AO179" s="207"/>
      <c r="AP179" s="207"/>
      <c r="AQ179" s="207"/>
      <c r="AR179" s="207"/>
      <c r="AS179" s="207"/>
      <c r="AT179" s="207"/>
      <c r="AU179" s="207"/>
      <c r="AV179" s="207"/>
      <c r="AW179" s="207"/>
      <c r="AX179" s="207"/>
      <c r="AY179" s="207"/>
      <c r="AZ179" s="207"/>
      <c r="BA179" s="207"/>
      <c r="BB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4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11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S179"/>
  <sheetViews>
    <sheetView rightToLeft="1" zoomScale="25" zoomScaleNormal="25" workbookViewId="0">
      <selection activeCell="N32" sqref="N32:T7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" customWidth="1" style="1"/>
    <col min="5" max="5" width="14.109375" customWidth="1" style="1"/>
    <col min="6" max="6" width="19.88671875" customWidth="1" style="1"/>
    <col min="7" max="7" width="5.5546875" customWidth="1" style="1"/>
    <col min="8" max="8" width="4.33203125" customWidth="1" style="1"/>
    <col min="9" max="9" width="4" customWidth="1" style="1"/>
    <col min="10" max="10" width="9.10937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9.5546875" customWidth="1" style="1"/>
    <col min="39" max="39" width="18.44140625" customWidth="1" style="1"/>
    <col min="40" max="16384" width="9.109375" customWidth="1" style="1"/>
  </cols>
  <sheetData>
    <row r="1" ht="21">
      <c r="A1" s="382" t="s">
        <v>163</v>
      </c>
      <c r="B1" s="269">
        <f>(F1*D1)/10000</f>
        <v>35</v>
      </c>
      <c r="C1" s="270" t="s">
        <v>164</v>
      </c>
      <c r="D1" s="271">
        <f>تسعير!BL12</f>
        <v>700</v>
      </c>
      <c r="E1" s="270" t="s">
        <v>125</v>
      </c>
      <c r="F1" s="271">
        <f>تسعير!BG10</f>
        <v>500</v>
      </c>
      <c r="G1" s="167"/>
      <c r="H1" s="167"/>
      <c r="I1" s="167"/>
      <c r="J1" s="167"/>
      <c r="K1" s="167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392" t="s">
        <v>8</v>
      </c>
      <c r="W1" s="233"/>
      <c r="X1" s="207"/>
      <c r="Y1" s="207" t="s">
        <v>9</v>
      </c>
      <c r="Z1" s="207" t="s">
        <v>10</v>
      </c>
      <c r="AA1" s="207" t="s">
        <v>11</v>
      </c>
      <c r="AB1" s="207" t="s">
        <v>12</v>
      </c>
      <c r="AC1" s="207" t="s">
        <v>13</v>
      </c>
      <c r="AD1" s="207" t="s">
        <v>14</v>
      </c>
      <c r="AE1" s="207" t="s">
        <v>15</v>
      </c>
      <c r="AF1" s="207"/>
      <c r="AG1" s="207"/>
      <c r="AH1" s="207"/>
      <c r="AI1" s="207"/>
      <c r="AJ1" s="207"/>
      <c r="AK1" s="207"/>
      <c r="AL1" s="207"/>
      <c r="AM1" s="207"/>
      <c r="AN1" s="207"/>
      <c r="AO1" s="207"/>
      <c r="AP1" s="207"/>
      <c r="AQ1" s="207"/>
      <c r="AR1" s="207"/>
      <c r="AS1" s="207"/>
    </row>
    <row r="2" ht="21">
      <c r="A2" s="383" t="s">
        <v>165</v>
      </c>
      <c r="B2" s="187" t="s">
        <v>166</v>
      </c>
      <c r="C2" s="187" t="s">
        <v>167</v>
      </c>
      <c r="D2" s="187" t="s">
        <v>74</v>
      </c>
      <c r="E2" s="187" t="s">
        <v>168</v>
      </c>
      <c r="F2" s="187" t="s">
        <v>153</v>
      </c>
      <c r="G2" s="1" t="s">
        <v>9</v>
      </c>
      <c r="H2" s="1" t="s">
        <v>30</v>
      </c>
      <c r="I2" s="1" t="s">
        <v>96</v>
      </c>
      <c r="J2" s="1" t="s">
        <v>26</v>
      </c>
      <c r="L2" s="882"/>
      <c r="M2" s="883"/>
      <c r="N2" s="884"/>
      <c r="O2" s="203"/>
      <c r="P2" s="204"/>
      <c r="Q2" s="228">
        <f>O2*P2</f>
        <v>0</v>
      </c>
      <c r="R2" s="229" t="e">
        <f>R72/Q2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</row>
    <row r="3" ht="21">
      <c r="A3" s="187" t="s">
        <v>169</v>
      </c>
      <c r="B3" s="187">
        <f>MAX(G3:I3)</f>
        <v>7</v>
      </c>
      <c r="C3" s="187">
        <v>2.25</v>
      </c>
      <c r="D3" s="187">
        <f>IF((تسعير!$AT$6="سادة"),((wavy1!$U$2+(Sheet2!B41*1000))/1000),IF((تسعير!$AT$6="خشبي"),((wavy1!$U$2+wavy1!$V$2)/1000),0))</f>
        <v>282</v>
      </c>
      <c r="E3" s="187">
        <v>2</v>
      </c>
      <c r="F3" s="384">
        <f>B3*C3*D3*E3</f>
        <v>8883</v>
      </c>
      <c r="G3" s="195">
        <f>IF(D1&lt;=350,3.5,0)</f>
        <v>0</v>
      </c>
      <c r="H3" s="195">
        <f>IF(AND((D1&gt;350),(D1&lt;=500)),5,0)</f>
        <v>0</v>
      </c>
      <c r="I3" s="195">
        <f>IF(D1&gt;500,7,0)</f>
        <v>7</v>
      </c>
      <c r="J3" s="195"/>
      <c r="L3" s="886" t="s">
        <v>17</v>
      </c>
      <c r="M3" s="887"/>
      <c r="N3" s="206" t="str">
        <f>IF(AND((تسعير!BF14="بالتات"),(تسعير!BG10&lt;=300)),"c1",IF(AND((تسعير!BF14="بالتات"),(تسعير!BG10&gt;300)),"c2",IF(AND((تسعير!BF14="قواعد عادية"),(تسعير!BG10&lt;=300)),"d1",IF(AND((تسعير!BF14="قواعد عادية"),(تسعير!BG10&gt;300)),"d2",0))))</f>
        <v>c2</v>
      </c>
      <c r="O3" s="207"/>
      <c r="P3" s="207"/>
      <c r="Q3" s="234" t="s">
        <v>18</v>
      </c>
      <c r="R3" s="888">
        <f>NOW()</f>
        <v>46132.450658726855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</row>
    <row r="4" ht="18" s="187" customFormat="1">
      <c r="A4" s="187" t="s">
        <v>170</v>
      </c>
      <c r="B4" s="187">
        <f>MAX(G4:J4)</f>
        <v>5</v>
      </c>
      <c r="C4" s="187">
        <v>0.56</v>
      </c>
      <c r="D4" s="187">
        <f>IF((تسعير!$AT$6="سادة"),((wavy1!$U$2+(Sheet2!B41*1000))/1000),IF((تسعير!$AT$6="خشبي"),((wavy1!$U$2+wavy1!$V$2)/1000),0))</f>
        <v>282</v>
      </c>
      <c r="E4" s="187">
        <f>CEILING(D1/60,1)+1</f>
        <v>13</v>
      </c>
      <c r="F4" s="384">
        <f>B4*C4*D4*E4</f>
        <v>10264.800000000001</v>
      </c>
      <c r="G4" s="195">
        <f>IF(F1&lt;=200,2,0)</f>
        <v>0</v>
      </c>
      <c r="H4" s="195">
        <f>IF(AND((F1&gt;200),(F1&lt;=250)),2.5,0)</f>
        <v>0</v>
      </c>
      <c r="I4" s="195">
        <f>IF(AND((F1&gt;250),(F1&lt;=400)),4,0)</f>
        <v>0</v>
      </c>
      <c r="J4" s="195">
        <f>IF(F1&gt;400,5,0)</f>
        <v>5</v>
      </c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/>
      <c r="AP4" s="207"/>
      <c r="AQ4" s="207"/>
      <c r="AR4" s="207"/>
      <c r="AS4" s="207"/>
    </row>
    <row r="5" ht="18" s="187" customFormat="1">
      <c r="A5" s="187" t="s">
        <v>172</v>
      </c>
      <c r="B5" s="187">
        <f>B3*3</f>
        <v>21</v>
      </c>
      <c r="D5" s="187">
        <v>50</v>
      </c>
      <c r="E5" s="187">
        <v>2</v>
      </c>
      <c r="F5" s="384">
        <f>B5*D5*E5</f>
        <v>2100</v>
      </c>
      <c r="G5" s="195"/>
      <c r="H5" s="195"/>
      <c r="I5" s="195"/>
      <c r="J5" s="195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74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5" s="207"/>
      <c r="AO5" s="207"/>
      <c r="AP5" s="207"/>
      <c r="AQ5" s="207"/>
      <c r="AR5" s="207"/>
      <c r="AS5" s="207"/>
    </row>
    <row r="6" ht="18" s="187" customFormat="1">
      <c r="A6" s="187" t="s">
        <v>174</v>
      </c>
      <c r="B6" s="187">
        <f>E4*2</f>
        <v>26</v>
      </c>
      <c r="D6" s="187">
        <v>15</v>
      </c>
      <c r="F6" s="384">
        <f ref="F6:F14" t="shared" si="0">B6*D6</f>
        <v>390</v>
      </c>
      <c r="G6" s="195"/>
      <c r="H6" s="195"/>
      <c r="I6" s="195"/>
      <c r="J6" s="195"/>
      <c r="L6" s="211">
        <v>1</v>
      </c>
      <c r="M6" s="212">
        <f>IF((N3="d1"),6,IF((N3="d2"),6,0))</f>
        <v>0</v>
      </c>
      <c r="N6" s="215" t="s">
        <v>42</v>
      </c>
      <c r="O6" s="214">
        <v>0.03</v>
      </c>
      <c r="P6" s="214">
        <v>0.03</v>
      </c>
      <c r="Q6" s="214">
        <f>(Table15855[[#This Row],[Column1]]+Table15855[[#This Row],[Column2]])*12*Table15855[[#This Row],[عدد]]</f>
        <v>0</v>
      </c>
      <c r="R6" s="242" t="s">
        <v>43</v>
      </c>
      <c r="S6" s="211">
        <v>8.5</v>
      </c>
      <c r="T6" s="211"/>
      <c r="U6" s="243">
        <f>S6*$S$2/1000</f>
        <v>382.5</v>
      </c>
      <c r="V6" s="240">
        <f>M6*U6</f>
        <v>0</v>
      </c>
      <c r="W6" s="241">
        <f>(V6)/$R$71</f>
        <v>0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AM5*Table66342[[#This Row],[المعدل]]+4</f>
        <v>4</v>
      </c>
      <c r="AN6" s="216"/>
      <c r="AO6" s="216"/>
      <c r="AP6" s="216"/>
      <c r="AQ6" s="216"/>
      <c r="AR6" s="216"/>
      <c r="AS6" s="216"/>
    </row>
    <row r="7" ht="18" s="187" customFormat="1">
      <c r="A7" s="187" t="s">
        <v>176</v>
      </c>
      <c r="B7" s="187">
        <f>(((D1/(E4-1)+10)*(E4-1))*F1)/10000</f>
        <v>41.000000000000007</v>
      </c>
      <c r="D7" s="187">
        <f>Sheet2!B16</f>
        <v>950</v>
      </c>
      <c r="F7" s="384">
        <f t="shared" si="0"/>
        <v>38950.000000000007</v>
      </c>
      <c r="G7" s="195"/>
      <c r="H7" s="195"/>
      <c r="I7" s="195"/>
      <c r="J7" s="195"/>
      <c r="L7" s="211">
        <v>2</v>
      </c>
      <c r="M7" s="212">
        <f>IF((N3="c1"),3,IF((N3="c2"),4,IF((N3="d1"),4,IF((N3="d2"),5,0))))</f>
        <v>4</v>
      </c>
      <c r="N7" s="215" t="s">
        <v>156</v>
      </c>
      <c r="O7" s="391">
        <v>0.1</v>
      </c>
      <c r="P7" s="391">
        <v>0.05</v>
      </c>
      <c r="Q7" s="216">
        <f>(Table15855[[#This Row],[Column1]]+Table15855[[#This Row],[Column2]])*12*Table15855[[#This Row],[عدد]]</f>
        <v>7.2000000000000011</v>
      </c>
      <c r="R7" s="211" t="s">
        <v>43</v>
      </c>
      <c r="S7" s="211">
        <v>28.5</v>
      </c>
      <c r="T7" s="211"/>
      <c r="U7" s="243">
        <f>S7*$S$2/1000</f>
        <v>1282.5</v>
      </c>
      <c r="V7" s="240">
        <f>M7*U7</f>
        <v>5130</v>
      </c>
      <c r="W7" s="241">
        <f>(V7)/$R$71</f>
        <v>0.043285555342987253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IF(((Table15855[[#Totals],[المسطح]]+Table166241[[#Totals],[Column12]])&gt;0),((Table15855[[#Totals],[المسطح]]+Table166241[[#Totals],[Column12]]+1)*Table66342[[#This Row],[المعدل]]),0)</f>
        <v>2.2700000000000005</v>
      </c>
      <c r="AN7" s="216"/>
      <c r="AO7" s="216"/>
      <c r="AP7" s="216"/>
      <c r="AQ7" s="216"/>
      <c r="AR7" s="216"/>
      <c r="AS7" s="216"/>
    </row>
    <row r="8" ht="18" s="187" customFormat="1">
      <c r="A8" s="187" t="s">
        <v>178</v>
      </c>
      <c r="B8" s="187">
        <f>MAX(G8:H8)</f>
        <v>6</v>
      </c>
      <c r="D8" s="187">
        <v>320</v>
      </c>
      <c r="F8" s="384">
        <f t="shared" si="0"/>
        <v>1920</v>
      </c>
      <c r="G8" s="195">
        <f>IF(F1&lt;=300,3,0)</f>
        <v>0</v>
      </c>
      <c r="H8" s="195">
        <f>IF(F1&gt;300,6,0)</f>
        <v>6</v>
      </c>
      <c r="I8" s="195"/>
      <c r="J8" s="195"/>
      <c r="L8" s="211"/>
      <c r="M8" s="212"/>
      <c r="N8" s="213" t="s">
        <v>54</v>
      </c>
      <c r="O8" s="214"/>
      <c r="P8" s="214"/>
      <c r="Q8" s="216">
        <f>SUBTOTAL(109,Table15855[المسطح])</f>
        <v>7.2000000000000011</v>
      </c>
      <c r="R8" s="211"/>
      <c r="S8" s="211">
        <f>(S7*M7)</f>
        <v>114</v>
      </c>
      <c r="T8" s="211"/>
      <c r="U8" s="242"/>
      <c r="V8" s="240">
        <f>SUBTOTAL(109,Table15855[اجمالي])</f>
        <v>5130</v>
      </c>
      <c r="W8" s="244">
        <f>Table15855[[#Totals],[اجمالي]]/$R$71</f>
        <v>0.043285555342987253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IF((تسعير!BE5="A"),IF(((Table15855[[#Totals],[المسطح]]+Table166241[[#Totals],[Column12]])&gt;0),(Table15855[[#Totals],[المسطح]]+Table166241[[#Totals],[Column12]]+1)*Table66342[[#This Row],[المعدل]]),0)</f>
        <v>0</v>
      </c>
      <c r="AN8" s="216"/>
      <c r="AO8" s="216"/>
      <c r="AP8" s="216"/>
      <c r="AQ8" s="216"/>
      <c r="AR8" s="216"/>
      <c r="AS8" s="216"/>
    </row>
    <row r="9" ht="18" s="187" customFormat="1">
      <c r="A9" s="187" t="s">
        <v>180</v>
      </c>
      <c r="B9" s="187">
        <v>2</v>
      </c>
      <c r="D9" s="187">
        <v>50</v>
      </c>
      <c r="F9" s="384">
        <f t="shared" si="0"/>
        <v>100</v>
      </c>
      <c r="G9" s="195"/>
      <c r="H9" s="195"/>
      <c r="I9" s="195"/>
      <c r="J9" s="195"/>
      <c r="L9" s="216"/>
      <c r="M9" s="216"/>
      <c r="N9" s="217"/>
      <c r="O9" s="885" t="s">
        <v>72</v>
      </c>
      <c r="P9" s="885"/>
      <c r="Q9" s="885"/>
      <c r="R9" s="885"/>
      <c r="S9" s="885"/>
      <c r="T9" s="885"/>
      <c r="U9" s="216"/>
      <c r="V9" s="216"/>
      <c r="W9" s="216"/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/>
      <c r="AP9" s="216"/>
      <c r="AQ9" s="216"/>
      <c r="AR9" s="216"/>
      <c r="AS9" s="216"/>
    </row>
    <row r="10" ht="18" s="187" customFormat="1">
      <c r="A10" s="187" t="s">
        <v>182</v>
      </c>
      <c r="B10" s="187">
        <v>8</v>
      </c>
      <c r="D10" s="187">
        <v>35</v>
      </c>
      <c r="F10" s="384">
        <f t="shared" si="0"/>
        <v>280</v>
      </c>
      <c r="G10" s="195"/>
      <c r="H10" s="195"/>
      <c r="I10" s="195"/>
      <c r="J10" s="195"/>
      <c r="L10" s="211" t="s">
        <v>27</v>
      </c>
      <c r="M10" s="211" t="s">
        <v>28</v>
      </c>
      <c r="N10" s="218" t="s">
        <v>29</v>
      </c>
      <c r="O10" s="211" t="s">
        <v>30</v>
      </c>
      <c r="P10" s="211" t="s">
        <v>9</v>
      </c>
      <c r="Q10" s="211" t="s">
        <v>61</v>
      </c>
      <c r="R10" s="211" t="s">
        <v>32</v>
      </c>
      <c r="S10" s="211" t="s">
        <v>33</v>
      </c>
      <c r="T10" s="211" t="s">
        <v>74</v>
      </c>
      <c r="U10" s="211" t="s">
        <v>35</v>
      </c>
      <c r="V10" s="245" t="s">
        <v>36</v>
      </c>
      <c r="W10" s="211" t="s">
        <v>37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0" s="216"/>
      <c r="AO10" s="216"/>
      <c r="AP10" s="216"/>
      <c r="AQ10" s="216"/>
      <c r="AR10" s="216"/>
      <c r="AS10" s="216"/>
    </row>
    <row r="11" ht="18" s="187" customFormat="1">
      <c r="A11" s="187" t="s">
        <v>184</v>
      </c>
      <c r="B11" s="187">
        <v>2</v>
      </c>
      <c r="D11" s="187">
        <v>100</v>
      </c>
      <c r="F11" s="384">
        <f t="shared" si="0"/>
        <v>200</v>
      </c>
      <c r="G11" s="195"/>
      <c r="H11" s="195"/>
      <c r="I11" s="195"/>
      <c r="J11" s="195"/>
      <c r="L11" s="211">
        <v>1</v>
      </c>
      <c r="M11" s="212">
        <v>1</v>
      </c>
      <c r="N11" s="213" t="s">
        <v>76</v>
      </c>
      <c r="O11" s="214"/>
      <c r="P11" s="214"/>
      <c r="Q11" s="214"/>
      <c r="R11" s="211" t="s">
        <v>77</v>
      </c>
      <c r="S11" s="211"/>
      <c r="T11" s="242"/>
      <c r="U11" s="246">
        <f>Sheet2!B28</f>
        <v>400</v>
      </c>
      <c r="V11" s="240">
        <f ref="V11:V17" t="shared" si="1">M11*U11</f>
        <v>400</v>
      </c>
      <c r="W11" s="241">
        <f ref="W11:W17" t="shared" si="2">(V11)/$R$71</f>
        <v>0.0033750920345409167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157</v>
      </c>
      <c r="AK11" s="216"/>
      <c r="AL11" s="216"/>
      <c r="AM11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1" s="216"/>
      <c r="AO11" s="216"/>
      <c r="AP11" s="216"/>
      <c r="AQ11" s="216"/>
      <c r="AR11" s="216"/>
      <c r="AS11" s="216"/>
    </row>
    <row r="12" ht="18" s="187" customFormat="1">
      <c r="A12" s="187" t="s">
        <v>186</v>
      </c>
      <c r="B12" s="187">
        <f>IF((تسعير!BE9=A20),0,1)</f>
        <v>0</v>
      </c>
      <c r="D12" s="187">
        <v>500</v>
      </c>
      <c r="F12" s="384">
        <f t="shared" si="0"/>
        <v>0</v>
      </c>
      <c r="G12" s="195"/>
      <c r="H12" s="195"/>
      <c r="I12" s="195"/>
      <c r="J12" s="195"/>
      <c r="L12" s="211">
        <v>2</v>
      </c>
      <c r="M12" s="212">
        <v>2</v>
      </c>
      <c r="N12" s="213" t="s">
        <v>82</v>
      </c>
      <c r="O12" s="214"/>
      <c r="P12" s="214"/>
      <c r="Q12" s="214"/>
      <c r="R12" s="211" t="s">
        <v>28</v>
      </c>
      <c r="S12" s="211"/>
      <c r="T12" s="242"/>
      <c r="U12" s="246">
        <v>110</v>
      </c>
      <c r="V12" s="240">
        <f t="shared" si="1"/>
        <v>220</v>
      </c>
      <c r="W12" s="241">
        <f t="shared" si="2"/>
        <v>0.001856300618997504</v>
      </c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115</v>
      </c>
      <c r="AK12" s="216">
        <v>0.6</v>
      </c>
      <c r="AL12" s="216"/>
      <c r="AM12" s="216">
        <f>IF(AND((تسعير!$BE$5="B"),(Table15855[[#Totals],[المسطح]]+Table166241[[#Totals],[Column12]])&gt;0),(((Table15855[[#Totals],[المسطح]]+Table166241[[#Totals],[Column12]])+1)*Table66342[[#This Row],[المعدل]]),0)</f>
        <v>5.4480000000000013</v>
      </c>
      <c r="AN12" s="216"/>
      <c r="AO12" s="216"/>
      <c r="AP12" s="216"/>
      <c r="AQ12" s="216"/>
      <c r="AR12" s="216"/>
      <c r="AS12" s="216"/>
    </row>
    <row r="13" ht="18" s="187" customFormat="1">
      <c r="A13" s="187" t="s">
        <v>188</v>
      </c>
      <c r="B13" s="187">
        <f>E4*2</f>
        <v>26</v>
      </c>
      <c r="D13" s="187">
        <v>10</v>
      </c>
      <c r="F13" s="384">
        <f t="shared" si="0"/>
        <v>260</v>
      </c>
      <c r="G13" s="195"/>
      <c r="H13" s="195"/>
      <c r="I13" s="195"/>
      <c r="J13" s="195"/>
      <c r="L13" s="211">
        <v>3</v>
      </c>
      <c r="M13" s="219">
        <v>1</v>
      </c>
      <c r="N13" s="213" t="s">
        <v>84</v>
      </c>
      <c r="O13" s="214"/>
      <c r="P13" s="214"/>
      <c r="Q13" s="214"/>
      <c r="R13" s="211" t="s">
        <v>28</v>
      </c>
      <c r="S13" s="211"/>
      <c r="T13" s="242"/>
      <c r="U13" s="246">
        <v>130</v>
      </c>
      <c r="V13" s="240">
        <f t="shared" si="1"/>
        <v>130</v>
      </c>
      <c r="W13" s="241">
        <f t="shared" si="2"/>
        <v>0.0010969049112257978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158</v>
      </c>
      <c r="AK13" s="216"/>
      <c r="AL13" s="216"/>
      <c r="AM13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3" s="216"/>
      <c r="AO13" s="216"/>
      <c r="AP13" s="216"/>
      <c r="AQ13" s="216"/>
      <c r="AR13" s="216"/>
      <c r="AS13" s="216"/>
    </row>
    <row r="14" ht="18" s="187" customFormat="1">
      <c r="A14" s="195" t="s">
        <v>189</v>
      </c>
      <c r="B14" s="195">
        <f>IF((تسعير!BE9=A20),1,0)</f>
        <v>1</v>
      </c>
      <c r="C14" s="195"/>
      <c r="D14" s="195">
        <f>Sheet2!B56</f>
        <v>6000</v>
      </c>
      <c r="E14" s="195"/>
      <c r="F14" s="384">
        <f t="shared" si="0"/>
        <v>6000</v>
      </c>
      <c r="G14" s="195"/>
      <c r="H14" s="195"/>
      <c r="I14" s="195"/>
      <c r="J14" s="195"/>
      <c r="L14" s="211">
        <v>4</v>
      </c>
      <c r="M14" s="212">
        <f>IF((N3="c1"),16,IF((N3="c2"),16,0))</f>
        <v>16</v>
      </c>
      <c r="N14" s="213" t="s">
        <v>86</v>
      </c>
      <c r="O14" s="214"/>
      <c r="P14" s="214"/>
      <c r="Q14" s="214"/>
      <c r="R14" s="247" t="s">
        <v>87</v>
      </c>
      <c r="S14" s="247"/>
      <c r="T14" s="242"/>
      <c r="U14" s="246">
        <v>50</v>
      </c>
      <c r="V14" s="240">
        <f t="shared" si="1"/>
        <v>800</v>
      </c>
      <c r="W14" s="241">
        <f t="shared" si="2"/>
        <v>0.0067501840690818334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8" t="s">
        <v>159</v>
      </c>
      <c r="AK14" s="216"/>
      <c r="AL14" s="216"/>
      <c r="AM14" s="216">
        <f>IF(AND((تسعير!$BE$5="B"),(Table15855[[#Totals],[المسطح]]+Table166241[[#Totals],[Column12]])&gt;0),(((Table15855[[#Totals],[المسطح]]+Table166241[[#Totals],[Column12]])+1)*Table66342[[#This Row],[المعدل]]),0)</f>
        <v>0</v>
      </c>
      <c r="AN14" s="216"/>
      <c r="AO14" s="216"/>
      <c r="AP14" s="216"/>
      <c r="AQ14" s="216"/>
      <c r="AR14" s="216"/>
      <c r="AS14" s="216"/>
    </row>
    <row r="15" ht="18" s="187" customFormat="1">
      <c r="A15" s="195"/>
      <c r="B15" s="195"/>
      <c r="C15" s="195"/>
      <c r="D15" s="195"/>
      <c r="E15" s="195"/>
      <c r="F15" s="385"/>
      <c r="G15" s="195"/>
      <c r="H15" s="195"/>
      <c r="I15" s="195"/>
      <c r="J15" s="195"/>
      <c r="L15" s="211">
        <v>5</v>
      </c>
      <c r="M15" s="212"/>
      <c r="N15" s="213" t="s">
        <v>190</v>
      </c>
      <c r="O15" s="214"/>
      <c r="P15" s="214"/>
      <c r="Q15" s="214"/>
      <c r="R15" s="393" t="s">
        <v>191</v>
      </c>
      <c r="S15" s="250"/>
      <c r="T15" s="393"/>
      <c r="U15" s="248">
        <v>450</v>
      </c>
      <c r="V15" s="240">
        <f t="shared" si="1"/>
        <v>0</v>
      </c>
      <c r="W15" s="241">
        <f t="shared" si="2"/>
        <v>0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8" t="s">
        <v>67</v>
      </c>
      <c r="AK15" s="216">
        <v>0.1</v>
      </c>
      <c r="AL15" s="216"/>
      <c r="AM15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5" s="216"/>
      <c r="AO15" s="216"/>
      <c r="AP15" s="216"/>
      <c r="AQ15" s="216"/>
      <c r="AR15" s="216"/>
      <c r="AS15" s="216"/>
    </row>
    <row r="16" ht="18" s="187" customFormat="1">
      <c r="A16" s="195"/>
      <c r="B16" s="195"/>
      <c r="C16" s="195"/>
      <c r="D16" s="195"/>
      <c r="E16" s="195"/>
      <c r="F16" s="385"/>
      <c r="G16" s="195"/>
      <c r="H16" s="195"/>
      <c r="I16" s="195"/>
      <c r="J16" s="195"/>
      <c r="L16" s="211">
        <v>6</v>
      </c>
      <c r="M16" s="212"/>
      <c r="N16" s="213" t="s">
        <v>192</v>
      </c>
      <c r="O16" s="214"/>
      <c r="P16" s="214"/>
      <c r="Q16" s="214"/>
      <c r="R16" s="211" t="s">
        <v>193</v>
      </c>
      <c r="S16" s="211"/>
      <c r="T16" s="242"/>
      <c r="U16" s="243">
        <v>400</v>
      </c>
      <c r="V16" s="240">
        <f t="shared" si="1"/>
        <v>0</v>
      </c>
      <c r="W16" s="241">
        <f t="shared" si="2"/>
        <v>0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8" t="s">
        <v>70</v>
      </c>
      <c r="AK16" s="216">
        <v>0.1</v>
      </c>
      <c r="AL16" s="216"/>
      <c r="AM16" s="216">
        <f>IF(AND((تسعير!$BE$5="B"),(Table15855[[#Totals],[المسطح]]+Table166241[[#Totals],[Column12]])&gt;0),(((Table15855[[#Totals],[المسطح]]+Table166241[[#Totals],[Column12]])+1)*Table66342[[#This Row],[المعدل]]),0)</f>
        <v>0.90800000000000025</v>
      </c>
      <c r="AN16" s="216"/>
      <c r="AO16" s="216"/>
      <c r="AP16" s="216"/>
      <c r="AQ16" s="216"/>
      <c r="AR16" s="216"/>
      <c r="AS16" s="216"/>
    </row>
    <row r="17" ht="18" s="187" customFormat="1">
      <c r="A17" s="386" t="s">
        <v>54</v>
      </c>
      <c r="B17" s="386"/>
      <c r="C17" s="386"/>
      <c r="D17" s="386"/>
      <c r="E17" s="386">
        <f>Table823[[#Totals],[اجمالي التكلفة]]/B1</f>
        <v>1981.3657142857148</v>
      </c>
      <c r="F17" s="387">
        <f>SUBTOTAL(109,Table823[اجمالي التكلفة])</f>
        <v>69347.800000000017</v>
      </c>
      <c r="G17" s="386"/>
      <c r="H17" s="386"/>
      <c r="I17" s="386"/>
      <c r="J17" s="386"/>
      <c r="L17" s="211">
        <v>7</v>
      </c>
      <c r="M17" s="212">
        <f>IF((N3="d1"),4,IF((N3="d2"),4,0))</f>
        <v>0</v>
      </c>
      <c r="N17" s="213" t="s">
        <v>93</v>
      </c>
      <c r="O17" s="214"/>
      <c r="P17" s="214"/>
      <c r="Q17" s="214"/>
      <c r="R17" s="211" t="s">
        <v>87</v>
      </c>
      <c r="S17" s="211"/>
      <c r="T17" s="242"/>
      <c r="U17" s="243">
        <f>Sheet2!B30</f>
        <v>1200</v>
      </c>
      <c r="V17" s="240">
        <f t="shared" si="1"/>
        <v>0</v>
      </c>
      <c r="W17" s="241">
        <f t="shared" si="2"/>
        <v>0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</row>
    <row r="18" ht="18" s="187" customFormat="1">
      <c r="F18" s="384"/>
      <c r="G18" s="195"/>
      <c r="H18" s="195"/>
      <c r="I18" s="195"/>
      <c r="J18" s="195"/>
      <c r="L18" s="211" t="s">
        <v>54</v>
      </c>
      <c r="M18" s="212"/>
      <c r="N18" s="213" t="s">
        <v>54</v>
      </c>
      <c r="O18" s="214"/>
      <c r="P18" s="214"/>
      <c r="Q18" s="216"/>
      <c r="R18" s="211"/>
      <c r="S18" s="211"/>
      <c r="T18" s="211"/>
      <c r="U18" s="242"/>
      <c r="V18" s="240">
        <f>SUBTOTAL(109,Table156140[اجمالي])</f>
        <v>1550</v>
      </c>
      <c r="W18" s="244">
        <f>Table156140[[#Totals],[اجمالي]]/$R$71</f>
        <v>0.013078481633846052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</row>
    <row r="19" ht="18">
      <c r="A19" s="388" t="s">
        <v>194</v>
      </c>
      <c r="B19" s="389"/>
      <c r="C19" s="389"/>
      <c r="D19" s="389"/>
      <c r="E19" s="389"/>
      <c r="F19" s="389"/>
      <c r="G19" s="187"/>
      <c r="H19" s="187"/>
      <c r="I19" s="187"/>
      <c r="J19" s="187"/>
      <c r="L19" s="216"/>
      <c r="M19" s="216"/>
      <c r="N19" s="217"/>
      <c r="O19" s="885" t="s">
        <v>95</v>
      </c>
      <c r="P19" s="885"/>
      <c r="Q19" s="885"/>
      <c r="R19" s="885"/>
      <c r="S19" s="885"/>
      <c r="T19" s="885"/>
      <c r="U19" s="216"/>
      <c r="V19" s="216"/>
      <c r="W19" s="216"/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</row>
    <row r="20" ht="18">
      <c r="A20" s="384" t="s">
        <v>189</v>
      </c>
      <c r="B20" s="389"/>
      <c r="C20" s="389"/>
      <c r="D20" s="389"/>
      <c r="E20" s="389"/>
      <c r="F20" s="389"/>
      <c r="L20" s="211" t="s">
        <v>27</v>
      </c>
      <c r="M20" s="211" t="s">
        <v>28</v>
      </c>
      <c r="N20" s="218" t="s">
        <v>29</v>
      </c>
      <c r="O20" s="211" t="s">
        <v>30</v>
      </c>
      <c r="P20" s="211" t="s">
        <v>9</v>
      </c>
      <c r="Q20" s="211" t="s">
        <v>61</v>
      </c>
      <c r="R20" s="211" t="s">
        <v>32</v>
      </c>
      <c r="S20" s="211" t="s">
        <v>33</v>
      </c>
      <c r="T20" s="211" t="s">
        <v>74</v>
      </c>
      <c r="U20" s="211" t="s">
        <v>35</v>
      </c>
      <c r="V20" s="245" t="s">
        <v>36</v>
      </c>
      <c r="W20" s="211" t="s">
        <v>37</v>
      </c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</row>
    <row r="21" ht="18">
      <c r="A21" s="390"/>
      <c r="L21" s="211">
        <v>3</v>
      </c>
      <c r="M21" s="219">
        <f>IF((N3="c1"),4,IF((N3="c2"),4,0))</f>
        <v>4</v>
      </c>
      <c r="N21" s="220" t="s">
        <v>195</v>
      </c>
      <c r="O21" s="221">
        <v>0.3</v>
      </c>
      <c r="P21" s="221">
        <v>0.3</v>
      </c>
      <c r="Q21" s="221">
        <f>(Table166241[[#This Row],[Column1]]*Table166241[[#This Row],[Column2]])*2*Table166241[[#This Row],[عدد]]</f>
        <v>0.72</v>
      </c>
      <c r="R21" s="250" t="s">
        <v>80</v>
      </c>
      <c r="S21" s="250">
        <v>7</v>
      </c>
      <c r="T21" s="211"/>
      <c r="U21" s="243">
        <f>S21*$S$2/1000</f>
        <v>315</v>
      </c>
      <c r="V21" s="240">
        <f>M21*U21</f>
        <v>1260</v>
      </c>
      <c r="W21" s="241">
        <f>(V21)/$R$71</f>
        <v>0.010631539908803887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</row>
    <row r="22" ht="18">
      <c r="L22" s="211">
        <v>8</v>
      </c>
      <c r="M22" s="212">
        <f>M21*4</f>
        <v>16</v>
      </c>
      <c r="N22" s="213" t="s">
        <v>98</v>
      </c>
      <c r="O22" s="214">
        <v>0.1</v>
      </c>
      <c r="P22" s="214">
        <v>0.1</v>
      </c>
      <c r="Q22" s="221">
        <f>(Table166241[[#This Row],[Column1]]*Table166241[[#This Row],[Column2]])*Table166241[[#This Row],[عدد]]</f>
        <v>0.16000000000000003</v>
      </c>
      <c r="R22" s="211" t="s">
        <v>80</v>
      </c>
      <c r="S22" s="211">
        <v>0.75</v>
      </c>
      <c r="T22" s="211"/>
      <c r="U22" s="243">
        <f>S22*$S$2/1000</f>
        <v>33.75</v>
      </c>
      <c r="V22" s="240">
        <f>M22*U22</f>
        <v>540</v>
      </c>
      <c r="W22" s="251">
        <f>(V22)/$R$71</f>
        <v>0.0045563742466302373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</row>
    <row r="23" ht="18">
      <c r="L23" s="211" t="s">
        <v>54</v>
      </c>
      <c r="M23" s="212">
        <f>SUBTOTAL(103,Table166241[عدد])</f>
        <v>2</v>
      </c>
      <c r="N23" s="213" t="s">
        <v>54</v>
      </c>
      <c r="O23" s="214"/>
      <c r="P23" s="214"/>
      <c r="Q23" s="216">
        <f>SUBTOTAL(109,Table166241[Column12])</f>
        <v>0.88</v>
      </c>
      <c r="R23" s="211"/>
      <c r="S23" s="211">
        <f>(S21*M21)+(M22*S22)</f>
        <v>40</v>
      </c>
      <c r="T23" s="211"/>
      <c r="U23" s="242"/>
      <c r="V23" s="240">
        <f>SUBTOTAL(109,Table166241[اجمالي])</f>
        <v>1800</v>
      </c>
      <c r="W23" s="244">
        <f>Table166241[[#Totals],[اجمالي]]/$R$71</f>
        <v>0.015187914155434124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</row>
    <row r="24" ht="18">
      <c r="L24" s="216"/>
      <c r="M24" s="216"/>
      <c r="N24" s="217"/>
      <c r="O24" s="885" t="s">
        <v>99</v>
      </c>
      <c r="P24" s="885"/>
      <c r="Q24" s="885"/>
      <c r="R24" s="885"/>
      <c r="S24" s="885"/>
      <c r="T24" s="885"/>
      <c r="U24" s="216"/>
      <c r="V24" s="216"/>
      <c r="W24" s="216"/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</row>
    <row r="25" ht="18">
      <c r="L25" s="211" t="s">
        <v>27</v>
      </c>
      <c r="M25" s="211" t="s">
        <v>28</v>
      </c>
      <c r="N25" s="218" t="s">
        <v>29</v>
      </c>
      <c r="O25" s="211" t="s">
        <v>30</v>
      </c>
      <c r="P25" s="211" t="s">
        <v>9</v>
      </c>
      <c r="Q25" s="211" t="s">
        <v>61</v>
      </c>
      <c r="R25" s="211" t="s">
        <v>32</v>
      </c>
      <c r="S25" s="211" t="s">
        <v>33</v>
      </c>
      <c r="T25" s="211" t="s">
        <v>74</v>
      </c>
      <c r="U25" s="211" t="s">
        <v>35</v>
      </c>
      <c r="V25" s="245" t="s">
        <v>36</v>
      </c>
      <c r="W25" s="211" t="s">
        <v>37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</row>
    <row r="26" ht="18">
      <c r="L26" s="211">
        <v>1</v>
      </c>
      <c r="M26" s="222">
        <f>AM7/3</f>
        <v>0.75666666666666682</v>
      </c>
      <c r="N26" s="213" t="s">
        <v>107</v>
      </c>
      <c r="O26" s="214"/>
      <c r="P26" s="214"/>
      <c r="Q26" s="214"/>
      <c r="R26" s="211" t="s">
        <v>108</v>
      </c>
      <c r="S26" s="211"/>
      <c r="T26" s="211"/>
      <c r="U26" s="248">
        <f>Sheet2!B24</f>
        <v>400</v>
      </c>
      <c r="V26" s="240">
        <f ref="V26:V34" t="shared" si="3">M26*U26</f>
        <v>302.66666666666674</v>
      </c>
      <c r="W26" s="241">
        <f ref="W26:W44" t="shared" si="4">(V26)/$R$71</f>
        <v>0.0025538196394692941</v>
      </c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</row>
    <row r="27" ht="18">
      <c r="L27" s="211">
        <v>2</v>
      </c>
      <c r="M27" s="219">
        <v>3</v>
      </c>
      <c r="N27" s="218" t="s">
        <v>100</v>
      </c>
      <c r="O27" s="211"/>
      <c r="P27" s="211"/>
      <c r="Q27" s="211"/>
      <c r="R27" s="211" t="s">
        <v>101</v>
      </c>
      <c r="S27" s="211"/>
      <c r="T27" s="211"/>
      <c r="U27" s="248">
        <v>15</v>
      </c>
      <c r="V27" s="240">
        <f t="shared" si="3"/>
        <v>45</v>
      </c>
      <c r="W27" s="241">
        <f t="shared" si="4"/>
        <v>0.0003796978538858531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</row>
    <row r="28" ht="18">
      <c r="L28" s="211">
        <v>3</v>
      </c>
      <c r="M28" s="212">
        <v>3</v>
      </c>
      <c r="N28" s="218" t="s">
        <v>102</v>
      </c>
      <c r="O28" s="211"/>
      <c r="P28" s="211"/>
      <c r="Q28" s="211"/>
      <c r="R28" s="211" t="s">
        <v>101</v>
      </c>
      <c r="S28" s="211"/>
      <c r="T28" s="211"/>
      <c r="U28" s="248">
        <v>15</v>
      </c>
      <c r="V28" s="240">
        <f t="shared" si="3"/>
        <v>45</v>
      </c>
      <c r="W28" s="241">
        <f t="shared" si="4"/>
        <v>0.0003796978538858531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</row>
    <row r="29" ht="18">
      <c r="L29" s="211">
        <v>4</v>
      </c>
      <c r="M29" s="219">
        <v>3</v>
      </c>
      <c r="N29" s="213" t="s">
        <v>103</v>
      </c>
      <c r="O29" s="214"/>
      <c r="P29" s="214"/>
      <c r="Q29" s="214"/>
      <c r="R29" s="211" t="s">
        <v>104</v>
      </c>
      <c r="S29" s="211"/>
      <c r="T29" s="211"/>
      <c r="U29" s="248">
        <v>25</v>
      </c>
      <c r="V29" s="240">
        <f t="shared" si="3"/>
        <v>75</v>
      </c>
      <c r="W29" s="241">
        <f t="shared" si="4"/>
        <v>0.00063282975647642188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</row>
    <row r="30" ht="18">
      <c r="L30" s="211">
        <v>5</v>
      </c>
      <c r="M30" s="212">
        <v>3</v>
      </c>
      <c r="N30" s="213" t="s">
        <v>105</v>
      </c>
      <c r="O30" s="214"/>
      <c r="P30" s="214"/>
      <c r="Q30" s="214"/>
      <c r="R30" s="211" t="s">
        <v>104</v>
      </c>
      <c r="S30" s="211"/>
      <c r="T30" s="211"/>
      <c r="U30" s="248">
        <v>150</v>
      </c>
      <c r="V30" s="240">
        <f t="shared" si="3"/>
        <v>450</v>
      </c>
      <c r="W30" s="241">
        <f t="shared" si="4"/>
        <v>0.003796978538858531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</row>
    <row r="31" ht="18">
      <c r="L31" s="211">
        <v>6</v>
      </c>
      <c r="M31" s="219">
        <v>3</v>
      </c>
      <c r="N31" s="213" t="s">
        <v>106</v>
      </c>
      <c r="O31" s="214"/>
      <c r="P31" s="214"/>
      <c r="Q31" s="214"/>
      <c r="R31" s="211" t="s">
        <v>80</v>
      </c>
      <c r="S31" s="211"/>
      <c r="T31" s="211"/>
      <c r="U31" s="248">
        <v>40</v>
      </c>
      <c r="V31" s="240">
        <f t="shared" si="3"/>
        <v>120</v>
      </c>
      <c r="W31" s="241">
        <f t="shared" si="4"/>
        <v>0.0010125276103622749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</row>
    <row r="32" ht="18">
      <c r="L32" s="211">
        <v>7</v>
      </c>
      <c r="M32" s="222">
        <f>AM6/1.9</f>
        <v>2.1052631578947367</v>
      </c>
      <c r="N32" s="213" t="s">
        <v>45</v>
      </c>
      <c r="O32" s="214"/>
      <c r="P32" s="214"/>
      <c r="Q32" s="214"/>
      <c r="R32" s="211" t="s">
        <v>109</v>
      </c>
      <c r="S32" s="211"/>
      <c r="T32" s="211"/>
      <c r="U32" s="248">
        <f>Sheet2!B25</f>
        <v>95</v>
      </c>
      <c r="V32" s="240">
        <f t="shared" si="3"/>
        <v>200</v>
      </c>
      <c r="W32" s="241">
        <f t="shared" si="4"/>
        <v>0.0016875460172704583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</row>
    <row r="33" ht="18">
      <c r="L33" s="211">
        <v>8</v>
      </c>
      <c r="M33" s="222">
        <f>AM5</f>
        <v>0</v>
      </c>
      <c r="N33" s="213" t="s">
        <v>110</v>
      </c>
      <c r="O33" s="214"/>
      <c r="P33" s="214"/>
      <c r="Q33" s="214"/>
      <c r="R33" s="211" t="s">
        <v>80</v>
      </c>
      <c r="S33" s="211"/>
      <c r="T33" s="211"/>
      <c r="U33" s="248">
        <f>Sheet2!B26</f>
        <v>220</v>
      </c>
      <c r="V33" s="240">
        <f t="shared" si="3"/>
        <v>0</v>
      </c>
      <c r="W33" s="241">
        <f t="shared" si="4"/>
        <v>0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</row>
    <row r="34" ht="18">
      <c r="L34" s="211">
        <v>9</v>
      </c>
      <c r="M34" s="222">
        <f>AM8</f>
        <v>0</v>
      </c>
      <c r="N34" s="213" t="s">
        <v>111</v>
      </c>
      <c r="O34" s="214"/>
      <c r="P34" s="214"/>
      <c r="Q34" s="214"/>
      <c r="R34" s="211" t="s">
        <v>80</v>
      </c>
      <c r="S34" s="211"/>
      <c r="T34" s="211"/>
      <c r="U34" s="248">
        <f>Sheet2!B27</f>
        <v>510</v>
      </c>
      <c r="V34" s="240">
        <f t="shared" si="3"/>
        <v>0</v>
      </c>
      <c r="W34" s="241">
        <f t="shared" si="4"/>
        <v>0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</row>
    <row r="35" ht="18">
      <c r="L35" s="211">
        <v>10</v>
      </c>
      <c r="M35" s="212"/>
      <c r="N35" s="213"/>
      <c r="O35" s="214"/>
      <c r="P35" s="214"/>
      <c r="Q35" s="214"/>
      <c r="R35" s="211"/>
      <c r="S35" s="211"/>
      <c r="T35" s="211"/>
      <c r="U35" s="248"/>
      <c r="V35" s="240">
        <f ref="V35:V44" t="shared" si="5">M35*U35</f>
        <v>0</v>
      </c>
      <c r="W35" s="251">
        <f t="shared" si="4"/>
        <v>0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</row>
    <row r="36" ht="18">
      <c r="L36" s="211">
        <v>11</v>
      </c>
      <c r="M36" s="212"/>
      <c r="N36" s="213"/>
      <c r="O36" s="214"/>
      <c r="P36" s="214"/>
      <c r="Q36" s="214"/>
      <c r="R36" s="211"/>
      <c r="S36" s="211"/>
      <c r="T36" s="211"/>
      <c r="U36" s="248"/>
      <c r="V36" s="240">
        <f t="shared" si="5"/>
        <v>0</v>
      </c>
      <c r="W36" s="251">
        <f t="shared" si="4"/>
        <v>0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</row>
    <row r="37" ht="18">
      <c r="L37" s="211">
        <v>12</v>
      </c>
      <c r="M37" s="212"/>
      <c r="N37" s="213"/>
      <c r="O37" s="214"/>
      <c r="P37" s="214"/>
      <c r="Q37" s="214"/>
      <c r="R37" s="211"/>
      <c r="S37" s="211"/>
      <c r="T37" s="211"/>
      <c r="U37" s="248"/>
      <c r="V37" s="240">
        <f t="shared" si="5"/>
        <v>0</v>
      </c>
      <c r="W37" s="251">
        <f t="shared" si="4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</row>
    <row r="38" ht="18">
      <c r="L38" s="211">
        <v>13</v>
      </c>
      <c r="M38" s="212"/>
      <c r="N38" s="213"/>
      <c r="O38" s="214"/>
      <c r="P38" s="214"/>
      <c r="Q38" s="214"/>
      <c r="R38" s="211"/>
      <c r="S38" s="211"/>
      <c r="T38" s="211"/>
      <c r="U38" s="248"/>
      <c r="V38" s="240">
        <f t="shared" si="5"/>
        <v>0</v>
      </c>
      <c r="W38" s="251">
        <f t="shared" si="4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</row>
    <row r="39" ht="18">
      <c r="L39" s="211">
        <v>14</v>
      </c>
      <c r="M39" s="212"/>
      <c r="N39" s="213"/>
      <c r="O39" s="214"/>
      <c r="P39" s="214"/>
      <c r="Q39" s="214"/>
      <c r="R39" s="211"/>
      <c r="S39" s="211"/>
      <c r="T39" s="211"/>
      <c r="U39" s="248"/>
      <c r="V39" s="240">
        <f t="shared" si="5"/>
        <v>0</v>
      </c>
      <c r="W39" s="251">
        <f t="shared" si="4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</row>
    <row r="40" ht="18">
      <c r="L40" s="211">
        <v>15</v>
      </c>
      <c r="M40" s="212">
        <f>IF((تسعير!BE5="B"),(Table15855[[#Totals],[الوزن]]+Table166241[[#Totals],[الوزن]]),0)</f>
        <v>154</v>
      </c>
      <c r="N40" s="213" t="s">
        <v>112</v>
      </c>
      <c r="O40" s="214"/>
      <c r="P40" s="214"/>
      <c r="Q40" s="214"/>
      <c r="R40" s="211"/>
      <c r="S40" s="211"/>
      <c r="T40" s="211"/>
      <c r="U40" s="248">
        <v>20</v>
      </c>
      <c r="V40" s="240">
        <f t="shared" si="5"/>
        <v>3080</v>
      </c>
      <c r="W40" s="251">
        <f t="shared" si="4"/>
        <v>0.025988208665965056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</row>
    <row r="41" ht="18">
      <c r="L41" s="211">
        <v>16</v>
      </c>
      <c r="M41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10</v>
      </c>
      <c r="N41" s="213" t="s">
        <v>113</v>
      </c>
      <c r="O41" s="214"/>
      <c r="P41" s="214"/>
      <c r="Q41" s="214"/>
      <c r="R41" s="211" t="s">
        <v>114</v>
      </c>
      <c r="S41" s="211"/>
      <c r="T41" s="211"/>
      <c r="U41" s="248">
        <f>Sheet2!B18</f>
        <v>360</v>
      </c>
      <c r="V41" s="240">
        <f t="shared" si="5"/>
        <v>3600</v>
      </c>
      <c r="W41" s="251">
        <f t="shared" si="4"/>
        <v>0.030375828310868248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</row>
    <row r="42" ht="18">
      <c r="L42" s="211">
        <v>17</v>
      </c>
      <c r="M42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10</v>
      </c>
      <c r="N42" s="218" t="s">
        <v>115</v>
      </c>
      <c r="O42" s="214"/>
      <c r="P42" s="214"/>
      <c r="Q42" s="214"/>
      <c r="R42" s="218" t="s">
        <v>116</v>
      </c>
      <c r="S42" s="211"/>
      <c r="T42" s="211"/>
      <c r="U42" s="248">
        <f>Sheet2!B20</f>
        <v>435</v>
      </c>
      <c r="V42" s="240">
        <f t="shared" si="5"/>
        <v>4350</v>
      </c>
      <c r="W42" s="251">
        <f t="shared" si="4"/>
        <v>0.036704125875632466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</row>
    <row r="43" ht="18">
      <c r="L43" s="211">
        <v>18</v>
      </c>
      <c r="M43" s="212">
        <f>AM15</f>
        <v>0.90800000000000025</v>
      </c>
      <c r="N43" s="218" t="s">
        <v>67</v>
      </c>
      <c r="O43" s="214"/>
      <c r="P43" s="214"/>
      <c r="Q43" s="214"/>
      <c r="R43" s="218" t="s">
        <v>117</v>
      </c>
      <c r="S43" s="211"/>
      <c r="T43" s="211"/>
      <c r="U43" s="248">
        <f>Sheet2!B22</f>
        <v>190</v>
      </c>
      <c r="V43" s="240">
        <f t="shared" si="5"/>
        <v>172.52000000000004</v>
      </c>
      <c r="W43" s="251">
        <f t="shared" si="4"/>
        <v>0.0014556771944974976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</row>
    <row r="44" ht="18">
      <c r="L44" s="211">
        <v>19</v>
      </c>
      <c r="M44" s="212">
        <f>AM16</f>
        <v>0.90800000000000025</v>
      </c>
      <c r="N44" s="218" t="s">
        <v>70</v>
      </c>
      <c r="O44" s="214"/>
      <c r="P44" s="214"/>
      <c r="Q44" s="214"/>
      <c r="R44" s="218" t="s">
        <v>117</v>
      </c>
      <c r="S44" s="211"/>
      <c r="T44" s="211"/>
      <c r="U44" s="248">
        <f>Sheet2!B23</f>
        <v>190</v>
      </c>
      <c r="V44" s="240">
        <f t="shared" si="5"/>
        <v>172.52000000000004</v>
      </c>
      <c r="W44" s="251">
        <f t="shared" si="4"/>
        <v>0.0014556771944974976</v>
      </c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</row>
    <row r="45" hidden="1" ht="18">
      <c r="L45" s="508" t="s">
        <v>54</v>
      </c>
      <c r="M45" s="509"/>
      <c r="N45" s="510" t="s">
        <v>54</v>
      </c>
      <c r="O45" s="511"/>
      <c r="P45" s="511"/>
      <c r="Q45" s="511"/>
      <c r="R45" s="508" t="s">
        <v>118</v>
      </c>
      <c r="S45" s="508"/>
      <c r="T45" s="508"/>
      <c r="U45" s="512"/>
      <c r="V45" s="513">
        <f>SUBTOTAL(109,Table135926[اجمالي])</f>
        <v>12612.706666666669</v>
      </c>
      <c r="W45" s="514">
        <f>Table135926[[#Totals],[اجمالي]]/$R$71</f>
        <v>0.10642261451166947</v>
      </c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</row>
    <row r="46" ht="18">
      <c r="L46" s="211"/>
      <c r="M46" s="212"/>
      <c r="N46" s="213"/>
      <c r="O46" s="214"/>
      <c r="P46" s="214"/>
      <c r="Q46" s="214"/>
      <c r="R46" s="211"/>
      <c r="S46" s="211"/>
      <c r="T46" s="211"/>
      <c r="U46" s="242"/>
      <c r="V46" s="240"/>
      <c r="W46" s="244"/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</row>
    <row r="47" ht="18">
      <c r="L47" s="216"/>
      <c r="M47" s="216"/>
      <c r="N47" s="217"/>
      <c r="O47" s="885" t="s">
        <v>162</v>
      </c>
      <c r="P47" s="885"/>
      <c r="Q47" s="885"/>
      <c r="R47" s="885"/>
      <c r="S47" s="885"/>
      <c r="T47" s="885"/>
      <c r="U47" s="216"/>
      <c r="V47" s="216"/>
      <c r="W47" s="216"/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</row>
    <row r="48" ht="18">
      <c r="L48" s="211" t="s">
        <v>27</v>
      </c>
      <c r="M48" s="211" t="s">
        <v>28</v>
      </c>
      <c r="N48" s="218" t="s">
        <v>29</v>
      </c>
      <c r="O48" s="211" t="s">
        <v>30</v>
      </c>
      <c r="P48" s="211" t="s">
        <v>9</v>
      </c>
      <c r="Q48" s="211" t="s">
        <v>61</v>
      </c>
      <c r="R48" s="211" t="s">
        <v>32</v>
      </c>
      <c r="S48" s="211" t="s">
        <v>33</v>
      </c>
      <c r="T48" s="211" t="s">
        <v>74</v>
      </c>
      <c r="U48" s="211" t="s">
        <v>35</v>
      </c>
      <c r="V48" s="245" t="s">
        <v>36</v>
      </c>
      <c r="W48" s="211" t="s">
        <v>37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</row>
    <row r="49" ht="18">
      <c r="L49" s="211">
        <v>1</v>
      </c>
      <c r="M49" s="219">
        <v>0</v>
      </c>
      <c r="N49" s="214" t="s">
        <v>196</v>
      </c>
      <c r="O49" s="214"/>
      <c r="P49" s="211"/>
      <c r="Q49" s="216"/>
      <c r="R49" s="247" t="s">
        <v>197</v>
      </c>
      <c r="S49" s="211"/>
      <c r="T49" s="247"/>
      <c r="U49" s="247">
        <v>400</v>
      </c>
      <c r="V49" s="240">
        <f>M49*Table16136845[[#This Row],[سعر الشبك ]]</f>
        <v>0</v>
      </c>
      <c r="W49" s="241">
        <f ref="W49:W51" t="shared" si="6">(V49)/$R$71</f>
        <v>0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</row>
    <row r="50" ht="18">
      <c r="L50" s="211">
        <v>5</v>
      </c>
      <c r="M50" s="219">
        <v>1</v>
      </c>
      <c r="N50" s="213" t="s">
        <v>198</v>
      </c>
      <c r="O50" s="214"/>
      <c r="P50" s="211"/>
      <c r="Q50" s="216"/>
      <c r="R50" s="214"/>
      <c r="S50" s="211"/>
      <c r="T50" s="247"/>
      <c r="U50" s="248">
        <f>Table823[[#Totals],[اجمالي التكلفة]]</f>
        <v>69347.800000000017</v>
      </c>
      <c r="V50" s="240">
        <f>M50*Table16136845[[#This Row],[سعر الشبك ]]</f>
        <v>69347.800000000017</v>
      </c>
      <c r="W50" s="241">
        <f t="shared" si="6"/>
        <v>0.58513801848234159</v>
      </c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</row>
    <row r="51" ht="18">
      <c r="L51" s="211">
        <v>4</v>
      </c>
      <c r="M51" s="212">
        <f>IF((Q67="الاسكندرية"),0.25,0.1)</f>
        <v>0.1</v>
      </c>
      <c r="N51" s="213" t="s">
        <v>131</v>
      </c>
      <c r="O51" s="214"/>
      <c r="P51" s="211"/>
      <c r="Q51" s="216"/>
      <c r="R51" s="214"/>
      <c r="S51" s="211"/>
      <c r="T51" s="247"/>
      <c r="U51" s="248">
        <f>V50</f>
        <v>69347.800000000017</v>
      </c>
      <c r="V51" s="240">
        <f>M51*Table16136845[[#This Row],[سعر الشبك ]]</f>
        <v>6934.7800000000025</v>
      </c>
      <c r="W51" s="241">
        <f t="shared" si="6"/>
        <v>0.058513801848234161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</row>
    <row r="52" ht="18">
      <c r="L52" s="211" t="s">
        <v>54</v>
      </c>
      <c r="M52" s="212"/>
      <c r="N52" s="213" t="s">
        <v>54</v>
      </c>
      <c r="O52" s="214"/>
      <c r="P52" s="214"/>
      <c r="Q52" s="216">
        <f>SUBTOTAL(109,Table16136845[Column12])</f>
        <v>0</v>
      </c>
      <c r="R52" s="211"/>
      <c r="S52" s="211"/>
      <c r="T52" s="211"/>
      <c r="U52" s="242"/>
      <c r="V52" s="240">
        <f>SUBTOTAL(109,Table16136845[اجمالي])</f>
        <v>76282.580000000016</v>
      </c>
      <c r="W52" s="244">
        <f>Table16136845[[#Totals],[اجمالي]]/$R$71</f>
        <v>0.64365182033057566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16"/>
      <c r="AK52" s="216"/>
      <c r="AL52" s="216"/>
      <c r="AM52" s="216"/>
      <c r="AN52" s="216"/>
      <c r="AO52" s="216"/>
      <c r="AP52" s="216"/>
      <c r="AQ52" s="216"/>
      <c r="AR52" s="216"/>
      <c r="AS52" s="216"/>
    </row>
    <row r="53" ht="18">
      <c r="L53" s="216"/>
      <c r="M53" s="216"/>
      <c r="N53" s="217"/>
      <c r="O53" s="885" t="s">
        <v>132</v>
      </c>
      <c r="P53" s="885"/>
      <c r="Q53" s="885"/>
      <c r="R53" s="885"/>
      <c r="S53" s="885"/>
      <c r="T53" s="885"/>
      <c r="U53" s="216"/>
      <c r="V53" s="216"/>
      <c r="W53" s="216"/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16"/>
      <c r="AK53" s="216"/>
      <c r="AL53" s="216"/>
      <c r="AM53" s="216"/>
      <c r="AN53" s="216"/>
      <c r="AO53" s="216"/>
      <c r="AP53" s="216"/>
      <c r="AQ53" s="216"/>
      <c r="AR53" s="216"/>
      <c r="AS53" s="216"/>
    </row>
    <row r="54" ht="18">
      <c r="L54" s="211" t="s">
        <v>27</v>
      </c>
      <c r="M54" s="211" t="s">
        <v>28</v>
      </c>
      <c r="N54" s="218" t="s">
        <v>29</v>
      </c>
      <c r="O54" s="211" t="s">
        <v>133</v>
      </c>
      <c r="P54" s="211" t="s">
        <v>12</v>
      </c>
      <c r="Q54" s="211" t="s">
        <v>134</v>
      </c>
      <c r="R54" s="211" t="s">
        <v>135</v>
      </c>
      <c r="S54" s="211" t="s">
        <v>61</v>
      </c>
      <c r="T54" s="211" t="s">
        <v>136</v>
      </c>
      <c r="U54" s="211" t="s">
        <v>137</v>
      </c>
      <c r="V54" s="245" t="s">
        <v>36</v>
      </c>
      <c r="W54" s="211" t="s">
        <v>37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</row>
    <row r="55" ht="18">
      <c r="L55" s="211">
        <v>1</v>
      </c>
      <c r="M55" s="219">
        <v>2</v>
      </c>
      <c r="N55" s="220" t="s">
        <v>138</v>
      </c>
      <c r="O55" s="211">
        <f>IF((Table16126744[[#This Row],[موقع العمل]]="المصنع"),280,IF((Table16126744[[#This Row],[موقع العمل]]="الاسكندرية"),320,400))</f>
        <v>280</v>
      </c>
      <c r="P55" s="211">
        <f>SUMIF(Table176946[Column1],Table16126744[[#This Row],[موقع العمل]],$AB$2:$AB$20)</f>
        <v>0</v>
      </c>
      <c r="Q55" s="211" t="s">
        <v>139</v>
      </c>
      <c r="R55" s="214" t="s">
        <v>39</v>
      </c>
      <c r="S55" s="216"/>
      <c r="T55" s="243">
        <f>IF((تسعير!$BF$14="بالتات"),2,1)</f>
        <v>2</v>
      </c>
      <c r="U55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5" s="240">
        <f ref="V55:V67" t="shared" si="7">M55*U55</f>
        <v>1120</v>
      </c>
      <c r="W55" s="241">
        <f ref="W55:W67" t="shared" si="8">(V55)/$R$71</f>
        <v>0.0094502576967145663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53"/>
      <c r="AK55" s="253"/>
      <c r="AL55" s="253"/>
      <c r="AM55" s="253"/>
      <c r="AN55" s="253"/>
      <c r="AO55" s="253"/>
      <c r="AP55" s="253"/>
      <c r="AQ55" s="253"/>
      <c r="AR55" s="253"/>
      <c r="AS55" s="253"/>
    </row>
    <row r="56" ht="18">
      <c r="L56" s="211">
        <v>2</v>
      </c>
      <c r="M56" s="219">
        <v>2</v>
      </c>
      <c r="N56" s="220" t="s">
        <v>140</v>
      </c>
      <c r="O56" s="211">
        <f>IF((Table16126744[[#This Row],[موقع العمل]]="المصنع"),280,IF((Table16126744[[#This Row],[موقع العمل]]="الاسكندرية"),320,400))</f>
        <v>280</v>
      </c>
      <c r="P56" s="211">
        <f>SUMIF(Table176946[Column1],Table16126744[[#This Row],[موقع العمل]],$AB$2:$AB$20)</f>
        <v>0</v>
      </c>
      <c r="Q56" s="211" t="s">
        <v>139</v>
      </c>
      <c r="R56" s="214" t="s">
        <v>39</v>
      </c>
      <c r="S56" s="216"/>
      <c r="T56" s="243">
        <f>IF((تسعير!$BF$14="بالتات"),2,1)</f>
        <v>2</v>
      </c>
      <c r="U56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560</v>
      </c>
      <c r="V56" s="240">
        <f t="shared" si="7"/>
        <v>1120</v>
      </c>
      <c r="W56" s="241">
        <f t="shared" si="8"/>
        <v>0.0094502576967145663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53"/>
      <c r="AK56" s="253"/>
      <c r="AL56" s="253"/>
      <c r="AM56" s="253"/>
      <c r="AN56" s="253"/>
      <c r="AO56" s="253"/>
      <c r="AP56" s="253"/>
      <c r="AQ56" s="253"/>
      <c r="AR56" s="253"/>
      <c r="AS56" s="253"/>
    </row>
    <row r="57" ht="18">
      <c r="L57" s="211">
        <v>3</v>
      </c>
      <c r="M57" s="219">
        <v>2</v>
      </c>
      <c r="N57" s="220" t="s">
        <v>141</v>
      </c>
      <c r="O57" s="211">
        <f>IF((Table16126744[[#This Row],[موقع العمل]]="المصنع"),280,IF((Table16126744[[#This Row],[موقع العمل]]="الاسكندرية"),320,400))</f>
        <v>280</v>
      </c>
      <c r="P57" s="211">
        <f>SUMIF(Table176946[Column1],Table16126744[[#This Row],[موقع العمل]],$AB$2:$AB$20)</f>
        <v>0</v>
      </c>
      <c r="Q57" s="211" t="s">
        <v>139</v>
      </c>
      <c r="R57" s="214" t="s">
        <v>39</v>
      </c>
      <c r="S57" s="216"/>
      <c r="T57" s="243">
        <v>1</v>
      </c>
      <c r="U57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7" s="240">
        <f t="shared" si="7"/>
        <v>560</v>
      </c>
      <c r="W57" s="241">
        <f t="shared" si="8"/>
        <v>0.0047251288483572832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16"/>
      <c r="AP57" s="216"/>
      <c r="AQ57" s="216"/>
      <c r="AR57" s="216"/>
      <c r="AS57" s="216"/>
    </row>
    <row r="58" ht="18">
      <c r="L58" s="211">
        <v>4</v>
      </c>
      <c r="M58" s="212">
        <v>3</v>
      </c>
      <c r="N58" s="220" t="s">
        <v>142</v>
      </c>
      <c r="O58" s="211">
        <f>IF((Table16126744[[#This Row],[موقع العمل]]="المصنع"),280,IF((Table16126744[[#This Row],[موقع العمل]]="الاسكندرية"),320,400))</f>
        <v>280</v>
      </c>
      <c r="P58" s="211">
        <f>SUMIF(Table176946[Column1],Table16126744[[#This Row],[موقع العمل]],$AB$2:$AB$20)</f>
        <v>0</v>
      </c>
      <c r="Q58" s="211" t="s">
        <v>139</v>
      </c>
      <c r="R58" s="214" t="s">
        <v>39</v>
      </c>
      <c r="S58" s="216"/>
      <c r="T58" s="243">
        <v>1</v>
      </c>
      <c r="U58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280</v>
      </c>
      <c r="V58" s="240">
        <f t="shared" si="7"/>
        <v>840</v>
      </c>
      <c r="W58" s="241">
        <f t="shared" si="8"/>
        <v>0.0070876932725359243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</row>
    <row r="59" ht="18">
      <c r="L59" s="211">
        <v>5</v>
      </c>
      <c r="M59" s="212">
        <v>4</v>
      </c>
      <c r="N59" s="220" t="s">
        <v>143</v>
      </c>
      <c r="O59" s="211">
        <f>IF((Table16126744[[#This Row],[موقع العمل]]="المصنع"),280,IF((Table16126744[[#This Row],[موقع العمل]]="الاسكندرية"),320,400))</f>
        <v>400</v>
      </c>
      <c r="P59" s="211">
        <f>SUMIF(Table176946[Column1],Table16126744[[#This Row],[موقع العمل]],$AB$2:$AB$20)</f>
        <v>100</v>
      </c>
      <c r="Q59" s="394" t="str">
        <f>تسعير!$BE$4</f>
        <v>التجمع</v>
      </c>
      <c r="R59" s="214" t="s">
        <v>39</v>
      </c>
      <c r="S59" s="216"/>
      <c r="T59" s="243">
        <f>IF((تسعير!$BF$14="بالتات"),1,2)</f>
        <v>1</v>
      </c>
      <c r="U59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59" s="240">
        <f t="shared" si="7"/>
        <v>2000</v>
      </c>
      <c r="W59" s="241">
        <f t="shared" si="8"/>
        <v>0.016875460172704582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</row>
    <row r="60" ht="18">
      <c r="L60" s="211">
        <v>6</v>
      </c>
      <c r="M60" s="212">
        <v>3</v>
      </c>
      <c r="N60" s="220" t="s">
        <v>144</v>
      </c>
      <c r="O60" s="211">
        <f>IF((Table16126744[[#This Row],[موقع العمل]]="المصنع"),280,IF((Table16126744[[#This Row],[موقع العمل]]="الاسكندرية"),320,400))</f>
        <v>400</v>
      </c>
      <c r="P60" s="211">
        <f>SUMIF(Table176946[Column1],Table16126744[[#This Row],[موقع العمل]],$AB$2:$AB$20)</f>
        <v>100</v>
      </c>
      <c r="Q60" s="394" t="str">
        <f>تسعير!$BE$4</f>
        <v>التجمع</v>
      </c>
      <c r="R60" s="214" t="s">
        <v>39</v>
      </c>
      <c r="S60" s="216"/>
      <c r="T60" s="243">
        <f>IF((تسعير!$BF$14="بالتات"),0,2)</f>
        <v>0</v>
      </c>
      <c r="U60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0" s="240">
        <f t="shared" si="7"/>
        <v>0</v>
      </c>
      <c r="W60" s="241">
        <f t="shared" si="8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</row>
    <row r="61" ht="18">
      <c r="L61" s="211">
        <v>7</v>
      </c>
      <c r="M61" s="212">
        <v>0</v>
      </c>
      <c r="N61" s="220" t="s">
        <v>145</v>
      </c>
      <c r="O61" s="211">
        <f>IF((Table16126744[[#This Row],[موقع العمل]]="المصنع"),280,IF((Table16126744[[#This Row],[موقع العمل]]="الاسكندرية"),320,400))</f>
        <v>400</v>
      </c>
      <c r="P61" s="211">
        <f>SUMIF(Table176946[Column1],Table16126744[[#This Row],[موقع العمل]],$AB$2:$AB$20)</f>
        <v>100</v>
      </c>
      <c r="Q61" s="394" t="str">
        <f>تسعير!$BE$4</f>
        <v>التجمع</v>
      </c>
      <c r="R61" s="214" t="s">
        <v>39</v>
      </c>
      <c r="S61" s="216"/>
      <c r="T61" s="243"/>
      <c r="U61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0</v>
      </c>
      <c r="V61" s="240">
        <f t="shared" si="7"/>
        <v>0</v>
      </c>
      <c r="W61" s="241">
        <f t="shared" si="8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</row>
    <row r="62" ht="18">
      <c r="L62" s="211">
        <v>8</v>
      </c>
      <c r="M62" s="212">
        <v>3</v>
      </c>
      <c r="N62" s="220" t="s">
        <v>146</v>
      </c>
      <c r="O62" s="211">
        <f>IF((Table16126744[[#This Row],[موقع العمل]]="المصنع"),280,IF((Table16126744[[#This Row],[موقع العمل]]="الاسكندرية"),320,400))</f>
        <v>400</v>
      </c>
      <c r="P62" s="211">
        <f>SUMIF(Table176946[Column1],Table16126744[[#This Row],[موقع العمل]],$AB$2:$AB$20)</f>
        <v>100</v>
      </c>
      <c r="Q62" s="394" t="str">
        <f>تسعير!$BE$4</f>
        <v>التجمع</v>
      </c>
      <c r="R62" s="214" t="s">
        <v>39</v>
      </c>
      <c r="S62" s="216"/>
      <c r="T62" s="243">
        <v>1</v>
      </c>
      <c r="U62" s="243">
        <f>IF(Table16126744[[#This Row],[عدد الايام]]=0,0,IF((Table16126744[[#This Row],[شيفت العمل]]="صباحي"),((Table16126744[[#This Row],[بدل الوجبة]]+Table16126744[[#This Row],[اليومية / الاجرة]])*Table16126744[[#This Row],[عدد الايام]]),IF((Table16126744[[#This Row],[شيفت العمل]]="ليلي"),(((Table16126744[[#This Row],[بدل الوجبة]]+Table16126744[[#This Row],[اليومية / الاجرة]])*Table16126744[[#This Row],[عدد الايام]])+Table16126744[[#This Row],[اليومية / الاجرة]]),"ERROR")))</f>
        <v>500</v>
      </c>
      <c r="V62" s="240">
        <f t="shared" si="7"/>
        <v>1500</v>
      </c>
      <c r="W62" s="241">
        <f t="shared" si="8"/>
        <v>0.012656595129528436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</row>
    <row r="63" ht="18">
      <c r="L63" s="211">
        <v>9</v>
      </c>
      <c r="M63" s="212">
        <f>(M59+M60+M61+M62)*2</f>
        <v>20</v>
      </c>
      <c r="N63" s="220" t="s">
        <v>147</v>
      </c>
      <c r="O63" s="211"/>
      <c r="P63" s="211"/>
      <c r="Q63" s="394" t="str">
        <f>تسعير!$BE$4</f>
        <v>التجمع</v>
      </c>
      <c r="R63" s="214"/>
      <c r="S63" s="247">
        <f>SUMIF(Y2:Y20,Table16126744[[#This Row],[موقع العمل]],$Z$2:$Z$20)</f>
        <v>400</v>
      </c>
      <c r="T63" s="247"/>
      <c r="U63" s="243">
        <f>Table16126744[[#This Row],[Column12]]</f>
        <v>400</v>
      </c>
      <c r="V63" s="240">
        <f t="shared" si="7"/>
        <v>8000</v>
      </c>
      <c r="W63" s="241">
        <f t="shared" si="8"/>
        <v>0.067501840690818327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</row>
    <row r="64" ht="18">
      <c r="L64" s="211">
        <v>10</v>
      </c>
      <c r="M64" s="212">
        <f>IF((تسعير!$BF$14="بالتات"),0,((T59+T60+T61+T62)*2)-3)</f>
        <v>0</v>
      </c>
      <c r="N64" s="220" t="s">
        <v>148</v>
      </c>
      <c r="O64" s="211"/>
      <c r="P64" s="211"/>
      <c r="Q64" s="394" t="str">
        <f>تسعير!$BE$4</f>
        <v>التجمع</v>
      </c>
      <c r="R64" s="214"/>
      <c r="S64" s="247">
        <f>SUMIF(Y2:Y20,Table16126744[[#This Row],[موقع العمل]],$AA$2:$AA$20)</f>
        <v>400</v>
      </c>
      <c r="T64" s="247"/>
      <c r="U64" s="243">
        <f>Table16126744[[#This Row],[Column12]]</f>
        <v>400</v>
      </c>
      <c r="V64" s="240">
        <f t="shared" si="7"/>
        <v>0</v>
      </c>
      <c r="W64" s="241">
        <f t="shared" si="8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</row>
    <row r="65" ht="18">
      <c r="L65" s="211">
        <v>11</v>
      </c>
      <c r="M65" s="212">
        <v>0</v>
      </c>
      <c r="N65" s="220" t="s">
        <v>149</v>
      </c>
      <c r="O65" s="211"/>
      <c r="P65" s="211"/>
      <c r="Q65" s="394" t="str">
        <f>تسعير!$BE$4</f>
        <v>التجمع</v>
      </c>
      <c r="R65" s="214"/>
      <c r="S65" s="247">
        <f>SUMIF(Y2:Y20,Table16126744[[#This Row],[موقع العمل]],$AC$2:$AC$20)</f>
        <v>3500</v>
      </c>
      <c r="T65" s="247"/>
      <c r="U65" s="243">
        <f>Table16126744[[#This Row],[Column12]]</f>
        <v>3500</v>
      </c>
      <c r="V65" s="240">
        <f t="shared" si="7"/>
        <v>0</v>
      </c>
      <c r="W65" s="241">
        <f t="shared" si="8"/>
        <v>0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</row>
    <row r="66" ht="18">
      <c r="L66" s="211">
        <v>12</v>
      </c>
      <c r="M66" s="212">
        <f>IF((تسعير!$BF$14="بالتات"),1,2)</f>
        <v>1</v>
      </c>
      <c r="N66" s="220" t="s">
        <v>150</v>
      </c>
      <c r="O66" s="211"/>
      <c r="P66" s="211"/>
      <c r="Q66" s="394" t="str">
        <f>تسعير!$BE$4</f>
        <v>التجمع</v>
      </c>
      <c r="R66" s="214"/>
      <c r="S66" s="247">
        <f>SUMIF(Y2:Y20,Table16126744[[#This Row],[موقع العمل]],$AD$2:$AD$20)</f>
        <v>6000</v>
      </c>
      <c r="T66" s="247"/>
      <c r="U66" s="243">
        <f>Table16126744[[#This Row],[Column12]]</f>
        <v>6000</v>
      </c>
      <c r="V66" s="240">
        <f t="shared" si="7"/>
        <v>6000</v>
      </c>
      <c r="W66" s="241">
        <f t="shared" si="8"/>
        <v>0.050626380518113745</v>
      </c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</row>
    <row r="67" ht="18">
      <c r="L67" s="211">
        <v>13</v>
      </c>
      <c r="M67" s="212">
        <f>IF((تسعير!$BF$14="بالتات"),0,M64-2)</f>
        <v>0</v>
      </c>
      <c r="N67" s="220" t="s">
        <v>15</v>
      </c>
      <c r="O67" s="211"/>
      <c r="P67" s="211"/>
      <c r="Q67" s="394" t="str">
        <f>تسعير!$BE$4</f>
        <v>التجمع</v>
      </c>
      <c r="R67" s="214"/>
      <c r="S67" s="247">
        <f>SUMIF(Y2:Y20,Table16126744[[#This Row],[موقع العمل]],$AE$2:$AE$20)</f>
        <v>150</v>
      </c>
      <c r="T67" s="247"/>
      <c r="U67" s="243">
        <f>Table16126744[[#This Row],[Column12]]</f>
        <v>150</v>
      </c>
      <c r="V67" s="240">
        <f t="shared" si="7"/>
        <v>0</v>
      </c>
      <c r="W67" s="241">
        <f t="shared" si="8"/>
        <v>0</v>
      </c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</row>
    <row r="68" ht="18">
      <c r="L68" s="572" t="s">
        <v>54</v>
      </c>
      <c r="M68" s="571"/>
      <c r="N68" s="550" t="s">
        <v>54</v>
      </c>
      <c r="O68" s="572"/>
      <c r="P68" s="572"/>
      <c r="Q68" s="573"/>
      <c r="R68" s="573"/>
      <c r="S68" s="574">
        <f>SUBTOTAL(109,Table16126744[Column12])</f>
        <v>10450</v>
      </c>
      <c r="T68" s="572"/>
      <c r="U68" s="242"/>
      <c r="V68" s="575">
        <f>SUBTOTAL(109,Table16126744[اجمالي])</f>
        <v>21140</v>
      </c>
      <c r="W68" s="576">
        <f>Table16126744[[#Totals],[اجمالي]]/$R$71</f>
        <v>0.17837361402548743</v>
      </c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</row>
    <row r="69" ht="18">
      <c r="L69" s="216"/>
      <c r="M69" s="216"/>
      <c r="N69" s="217"/>
      <c r="O69" s="890"/>
      <c r="P69" s="890"/>
      <c r="Q69" s="890"/>
      <c r="R69" s="890"/>
      <c r="S69" s="890"/>
      <c r="T69" s="890"/>
      <c r="U69" s="216"/>
      <c r="V69" s="216"/>
      <c r="W69" s="216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16"/>
      <c r="AO69" s="216"/>
      <c r="AP69" s="216"/>
      <c r="AQ69" s="216"/>
      <c r="AR69" s="216"/>
      <c r="AS69" s="216"/>
    </row>
    <row r="70" ht="18">
      <c r="L70" s="211"/>
      <c r="M70" s="211"/>
      <c r="N70" s="218" t="s">
        <v>9</v>
      </c>
      <c r="O70" s="211" t="s">
        <v>151</v>
      </c>
      <c r="P70" s="211" t="s">
        <v>152</v>
      </c>
      <c r="Q70" s="211" t="s">
        <v>96</v>
      </c>
      <c r="R70" s="211" t="s">
        <v>30</v>
      </c>
      <c r="S70" s="211"/>
      <c r="T70" s="211"/>
      <c r="U70" s="211"/>
      <c r="V70" s="245"/>
      <c r="W70" s="211"/>
      <c r="X70" s="216"/>
      <c r="Y70" s="216"/>
      <c r="Z70" s="216"/>
      <c r="AA70" s="216"/>
      <c r="AB70" s="216"/>
      <c r="AC70" s="216"/>
      <c r="AD70" s="216"/>
      <c r="AE70" s="216"/>
      <c r="AF70" s="216"/>
      <c r="AG70" s="216"/>
      <c r="AH70" s="216"/>
      <c r="AI70" s="216"/>
      <c r="AJ70" s="216"/>
      <c r="AK70" s="216"/>
      <c r="AL70" s="216"/>
      <c r="AM70" s="216"/>
      <c r="AN70" s="216"/>
      <c r="AO70" s="216"/>
      <c r="AP70" s="216"/>
      <c r="AQ70" s="216"/>
      <c r="AR70" s="216"/>
      <c r="AS70" s="216"/>
    </row>
    <row r="71" ht="18">
      <c r="L71" s="211"/>
      <c r="M71" s="219"/>
      <c r="N71" s="213" t="s">
        <v>153</v>
      </c>
      <c r="O71" s="214"/>
      <c r="P71" s="211"/>
      <c r="Q71" s="280"/>
      <c r="R71" s="281">
        <f>Table16126744[[#Totals],[اجمالي]]+Table16136845[[#Totals],[اجمالي]]+Table135926[[#Totals],[اجمالي]]+Table166241[[#Totals],[اجمالي]]+Table156140[[#Totals],[اجمالي]]+Table15855[[#Totals],[اجمالي]]</f>
        <v>118515.28666666668</v>
      </c>
      <c r="S71" s="211"/>
      <c r="T71" s="211"/>
      <c r="U71" s="243"/>
      <c r="V71" s="282"/>
      <c r="W71" s="395">
        <f>Table16126744[[#Totals],[%]]+Table16136845[[#Totals],[%]]+Table135926[[#Totals],[%]]+Table166241[[#Totals],[%]]+Table156140[[#Totals],[%]]+Table15855[[#Totals],[%]]</f>
        <v>1</v>
      </c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</row>
    <row r="72" ht="18">
      <c r="L72" s="211"/>
      <c r="M72" s="212"/>
      <c r="N72" s="213" t="s">
        <v>154</v>
      </c>
      <c r="O72" s="214"/>
      <c r="P72" s="211"/>
      <c r="Q72" s="310">
        <f>IF((Q67="المقطم"),0.3,IF((Q67="التجمع"),0.3,IF((Q67="الشيخ زايد"),0.3,IF((Q67="الاسكندرية"),0.5,0.35))))</f>
        <v>0.3</v>
      </c>
      <c r="R72" s="281">
        <f>R71*(1+Table187054[[#This Row],[Column3]])</f>
        <v>154069.87266666669</v>
      </c>
      <c r="S72" s="211"/>
      <c r="T72" s="211"/>
      <c r="U72" s="243"/>
      <c r="V72" s="282"/>
      <c r="W72" s="283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</row>
    <row r="73" ht="18"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16"/>
      <c r="AO73" s="216"/>
      <c r="AP73" s="216"/>
      <c r="AQ73" s="216"/>
      <c r="AR73" s="216"/>
      <c r="AS73" s="216"/>
    </row>
    <row r="74" ht="18">
      <c r="X74" s="216"/>
      <c r="Y74" s="216"/>
      <c r="Z74" s="216"/>
      <c r="AA74" s="216"/>
      <c r="AB74" s="216"/>
      <c r="AC74" s="216"/>
      <c r="AD74" s="216"/>
      <c r="AE74" s="216"/>
      <c r="AF74" s="216"/>
      <c r="AG74" s="216"/>
      <c r="AH74" s="216"/>
      <c r="AI74" s="216"/>
      <c r="AJ74" s="216"/>
      <c r="AK74" s="216"/>
      <c r="AL74" s="216"/>
      <c r="AM74" s="216"/>
      <c r="AN74" s="216"/>
      <c r="AO74" s="216"/>
      <c r="AP74" s="216"/>
      <c r="AQ74" s="216"/>
      <c r="AR74" s="216"/>
      <c r="AS74" s="216"/>
    </row>
    <row r="75" ht="18">
      <c r="X75" s="216"/>
      <c r="Y75" s="216"/>
      <c r="Z75" s="216"/>
      <c r="AA75" s="216"/>
      <c r="AB75" s="216"/>
      <c r="AC75" s="216"/>
      <c r="AD75" s="216"/>
      <c r="AE75" s="216"/>
      <c r="AF75" s="216"/>
      <c r="AG75" s="216"/>
      <c r="AH75" s="216"/>
      <c r="AI75" s="216"/>
      <c r="AJ75" s="216"/>
      <c r="AK75" s="216"/>
      <c r="AL75" s="216"/>
      <c r="AM75" s="216"/>
      <c r="AN75" s="216"/>
      <c r="AO75" s="216"/>
      <c r="AP75" s="216"/>
      <c r="AQ75" s="216"/>
      <c r="AR75" s="216"/>
      <c r="AS75" s="216"/>
    </row>
    <row r="76" ht="18">
      <c r="X76" s="216"/>
      <c r="Y76" s="216"/>
      <c r="Z76" s="216"/>
      <c r="AA76" s="216"/>
      <c r="AB76" s="216"/>
      <c r="AC76" s="216"/>
      <c r="AD76" s="216"/>
      <c r="AE76" s="216"/>
      <c r="AF76" s="216"/>
      <c r="AG76" s="216"/>
      <c r="AH76" s="216"/>
      <c r="AI76" s="216"/>
      <c r="AJ76" s="216"/>
      <c r="AK76" s="216"/>
      <c r="AL76" s="216"/>
      <c r="AM76" s="216"/>
      <c r="AN76" s="216"/>
      <c r="AO76" s="216"/>
      <c r="AP76" s="216"/>
      <c r="AQ76" s="216"/>
      <c r="AR76" s="216"/>
      <c r="AS76" s="216"/>
    </row>
    <row r="77" ht="18">
      <c r="X77" s="216"/>
      <c r="Y77" s="216"/>
      <c r="Z77" s="216"/>
      <c r="AA77" s="216"/>
      <c r="AB77" s="216"/>
      <c r="AC77" s="216"/>
      <c r="AD77" s="216"/>
      <c r="AE77" s="216"/>
      <c r="AF77" s="216"/>
      <c r="AG77" s="216"/>
      <c r="AH77" s="216"/>
      <c r="AI77" s="216"/>
      <c r="AJ77" s="216"/>
      <c r="AK77" s="216"/>
      <c r="AL77" s="216"/>
      <c r="AM77" s="216"/>
      <c r="AN77" s="216"/>
      <c r="AO77" s="216"/>
      <c r="AP77" s="216"/>
      <c r="AQ77" s="216"/>
      <c r="AR77" s="216"/>
      <c r="AS77" s="216"/>
    </row>
    <row r="78" ht="18">
      <c r="X78" s="216"/>
      <c r="Y78" s="216"/>
      <c r="Z78" s="216"/>
      <c r="AA78" s="216"/>
      <c r="AB78" s="216"/>
      <c r="AC78" s="216"/>
      <c r="AD78" s="216"/>
      <c r="AE78" s="216"/>
      <c r="AF78" s="216"/>
      <c r="AG78" s="216"/>
      <c r="AH78" s="216"/>
      <c r="AI78" s="216"/>
      <c r="AJ78" s="216"/>
      <c r="AK78" s="216"/>
      <c r="AL78" s="216"/>
      <c r="AM78" s="216"/>
      <c r="AN78" s="216"/>
      <c r="AO78" s="216"/>
      <c r="AP78" s="216"/>
      <c r="AQ78" s="216"/>
      <c r="AR78" s="216"/>
      <c r="AS78" s="216"/>
    </row>
    <row r="79" ht="18">
      <c r="X79" s="216"/>
      <c r="Y79" s="216"/>
      <c r="Z79" s="216"/>
      <c r="AA79" s="216"/>
      <c r="AB79" s="216"/>
      <c r="AC79" s="216"/>
      <c r="AD79" s="216"/>
      <c r="AE79" s="216"/>
      <c r="AF79" s="216"/>
      <c r="AG79" s="216"/>
      <c r="AH79" s="216"/>
      <c r="AI79" s="216"/>
      <c r="AJ79" s="216"/>
      <c r="AK79" s="216"/>
      <c r="AL79" s="216"/>
      <c r="AM79" s="216"/>
      <c r="AN79" s="216"/>
      <c r="AO79" s="216"/>
      <c r="AP79" s="216"/>
      <c r="AQ79" s="216"/>
      <c r="AR79" s="216"/>
      <c r="AS79" s="216"/>
    </row>
    <row r="80" ht="18">
      <c r="X80" s="216"/>
      <c r="Y80" s="216"/>
      <c r="Z80" s="216"/>
      <c r="AA80" s="216"/>
      <c r="AB80" s="216"/>
      <c r="AC80" s="216"/>
      <c r="AD80" s="216"/>
      <c r="AE80" s="216"/>
      <c r="AF80" s="216"/>
      <c r="AG80" s="216"/>
      <c r="AH80" s="216"/>
      <c r="AI80" s="216"/>
      <c r="AJ80" s="216"/>
      <c r="AK80" s="216"/>
      <c r="AL80" s="216"/>
      <c r="AM80" s="216"/>
      <c r="AN80" s="216"/>
      <c r="AO80" s="216"/>
      <c r="AP80" s="216"/>
      <c r="AQ80" s="216"/>
      <c r="AR80" s="216"/>
      <c r="AS80" s="216"/>
    </row>
    <row r="81" ht="18">
      <c r="X81" s="216"/>
      <c r="Y81" s="216"/>
      <c r="Z81" s="216"/>
      <c r="AA81" s="216"/>
      <c r="AB81" s="216"/>
      <c r="AC81" s="216"/>
      <c r="AD81" s="216"/>
      <c r="AE81" s="216"/>
      <c r="AF81" s="216"/>
      <c r="AG81" s="216"/>
      <c r="AH81" s="216"/>
      <c r="AI81" s="216"/>
      <c r="AJ81" s="216"/>
      <c r="AK81" s="216"/>
      <c r="AL81" s="216"/>
      <c r="AM81" s="216"/>
      <c r="AN81" s="216"/>
      <c r="AO81" s="216"/>
      <c r="AP81" s="216"/>
      <c r="AQ81" s="216"/>
      <c r="AR81" s="216"/>
      <c r="AS81" s="216"/>
    </row>
    <row r="82" ht="18">
      <c r="X82" s="216"/>
      <c r="Y82" s="216"/>
      <c r="Z82" s="216"/>
      <c r="AA82" s="216"/>
      <c r="AB82" s="216"/>
      <c r="AC82" s="216"/>
      <c r="AD82" s="216"/>
      <c r="AE82" s="216"/>
      <c r="AF82" s="216"/>
      <c r="AG82" s="216"/>
      <c r="AH82" s="216"/>
      <c r="AI82" s="216"/>
      <c r="AJ82" s="216"/>
      <c r="AK82" s="216"/>
      <c r="AL82" s="216"/>
      <c r="AM82" s="216"/>
      <c r="AN82" s="216"/>
      <c r="AO82" s="216"/>
      <c r="AP82" s="216"/>
      <c r="AQ82" s="216"/>
      <c r="AR82" s="216"/>
      <c r="AS82" s="216"/>
    </row>
    <row r="83" ht="18">
      <c r="X83" s="216"/>
      <c r="Y83" s="216"/>
      <c r="Z83" s="216"/>
      <c r="AA83" s="216"/>
      <c r="AB83" s="216"/>
      <c r="AC83" s="216"/>
      <c r="AD83" s="216"/>
      <c r="AE83" s="216"/>
      <c r="AF83" s="216"/>
      <c r="AG83" s="216"/>
      <c r="AH83" s="216"/>
      <c r="AI83" s="216"/>
      <c r="AJ83" s="216"/>
      <c r="AK83" s="216"/>
      <c r="AL83" s="216"/>
      <c r="AM83" s="216"/>
      <c r="AN83" s="216"/>
      <c r="AO83" s="216"/>
      <c r="AP83" s="216"/>
      <c r="AQ83" s="216"/>
      <c r="AR83" s="216"/>
      <c r="AS83" s="216"/>
    </row>
    <row r="84" ht="18">
      <c r="X84" s="216"/>
      <c r="Y84" s="216"/>
      <c r="Z84" s="216"/>
      <c r="AA84" s="216"/>
      <c r="AB84" s="216"/>
      <c r="AC84" s="216"/>
      <c r="AD84" s="216"/>
      <c r="AE84" s="216"/>
      <c r="AF84" s="216"/>
      <c r="AG84" s="216"/>
      <c r="AH84" s="216"/>
      <c r="AI84" s="216"/>
      <c r="AJ84" s="216"/>
      <c r="AK84" s="216"/>
      <c r="AL84" s="216"/>
      <c r="AM84" s="216"/>
      <c r="AN84" s="216"/>
      <c r="AO84" s="216"/>
      <c r="AP84" s="216"/>
      <c r="AQ84" s="216"/>
      <c r="AR84" s="216"/>
      <c r="AS84" s="216"/>
    </row>
    <row r="85" ht="18">
      <c r="X85" s="216"/>
      <c r="Y85" s="216"/>
      <c r="Z85" s="216"/>
      <c r="AA85" s="216"/>
      <c r="AB85" s="216"/>
      <c r="AC85" s="216"/>
      <c r="AD85" s="216"/>
      <c r="AE85" s="216"/>
      <c r="AF85" s="216"/>
      <c r="AG85" s="216"/>
      <c r="AH85" s="216"/>
      <c r="AI85" s="216"/>
      <c r="AJ85" s="216"/>
      <c r="AK85" s="216"/>
      <c r="AL85" s="216"/>
      <c r="AM85" s="216"/>
      <c r="AN85" s="216"/>
      <c r="AO85" s="216"/>
      <c r="AP85" s="216"/>
      <c r="AQ85" s="216"/>
      <c r="AR85" s="216"/>
      <c r="AS85" s="216"/>
    </row>
    <row r="86" ht="18">
      <c r="X86" s="216"/>
      <c r="Y86" s="216"/>
      <c r="Z86" s="216"/>
      <c r="AA86" s="216"/>
      <c r="AB86" s="216"/>
      <c r="AC86" s="216"/>
      <c r="AD86" s="216"/>
      <c r="AE86" s="216"/>
      <c r="AF86" s="216"/>
      <c r="AG86" s="216"/>
      <c r="AH86" s="216"/>
      <c r="AI86" s="216"/>
      <c r="AJ86" s="216"/>
      <c r="AK86" s="216"/>
      <c r="AL86" s="216"/>
      <c r="AM86" s="216"/>
      <c r="AN86" s="216"/>
      <c r="AO86" s="216"/>
      <c r="AP86" s="216"/>
      <c r="AQ86" s="216"/>
      <c r="AR86" s="216"/>
      <c r="AS86" s="216"/>
    </row>
    <row r="87" ht="18">
      <c r="X87" s="216"/>
      <c r="Y87" s="216"/>
      <c r="Z87" s="216"/>
      <c r="AA87" s="216"/>
      <c r="AB87" s="216"/>
      <c r="AC87" s="216"/>
      <c r="AD87" s="216"/>
      <c r="AE87" s="216"/>
      <c r="AF87" s="216"/>
      <c r="AG87" s="216"/>
      <c r="AH87" s="216"/>
      <c r="AI87" s="216"/>
      <c r="AJ87" s="216"/>
      <c r="AK87" s="216"/>
      <c r="AL87" s="216"/>
      <c r="AM87" s="216"/>
      <c r="AN87" s="216"/>
      <c r="AO87" s="216"/>
      <c r="AP87" s="216"/>
      <c r="AQ87" s="216"/>
      <c r="AR87" s="216"/>
      <c r="AS87" s="216"/>
    </row>
    <row r="88" ht="18"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</row>
    <row r="89" ht="18">
      <c r="X89" s="216"/>
      <c r="Y89" s="216"/>
      <c r="Z89" s="216"/>
      <c r="AA89" s="216"/>
      <c r="AB89" s="216"/>
      <c r="AC89" s="216"/>
      <c r="AD89" s="216"/>
      <c r="AE89" s="216"/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</row>
    <row r="90" ht="18">
      <c r="X90" s="216"/>
      <c r="Y90" s="216"/>
      <c r="Z90" s="216"/>
      <c r="AA90" s="216"/>
      <c r="AB90" s="216"/>
      <c r="AC90" s="216"/>
      <c r="AD90" s="216"/>
      <c r="AE90" s="216"/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</row>
    <row r="91" ht="18">
      <c r="X91" s="216"/>
      <c r="Y91" s="216"/>
      <c r="Z91" s="216"/>
      <c r="AA91" s="216"/>
      <c r="AB91" s="216"/>
      <c r="AC91" s="216"/>
      <c r="AD91" s="216"/>
      <c r="AE91" s="216"/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</row>
    <row r="92" ht="18">
      <c r="X92" s="216"/>
      <c r="Y92" s="216"/>
      <c r="Z92" s="216"/>
      <c r="AA92" s="216"/>
      <c r="AB92" s="216"/>
      <c r="AC92" s="216"/>
      <c r="AD92" s="216"/>
      <c r="AE92" s="216"/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</row>
    <row r="93" ht="18">
      <c r="X93" s="216"/>
      <c r="Y93" s="216"/>
      <c r="Z93" s="216"/>
      <c r="AA93" s="216"/>
      <c r="AB93" s="216"/>
      <c r="AC93" s="216"/>
      <c r="AD93" s="216"/>
      <c r="AE93" s="216"/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</row>
    <row r="94" ht="18"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</row>
    <row r="95" ht="18"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</row>
    <row r="96" ht="18"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</row>
    <row r="97" ht="18"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</row>
    <row r="98" ht="18"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</row>
    <row r="99" ht="18"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</row>
    <row r="100" ht="18"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</row>
    <row r="101" ht="18"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</row>
    <row r="102" ht="18"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</row>
    <row r="103" ht="18"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</row>
    <row r="104" ht="18"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</row>
    <row r="105" ht="18"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</row>
    <row r="106" ht="18"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</row>
    <row r="107" ht="18"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</row>
    <row r="108" ht="18"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</row>
    <row r="109" ht="18"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</row>
    <row r="110" ht="18"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</row>
    <row r="111" ht="18"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</row>
    <row r="112" ht="18"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</row>
    <row r="113" ht="18"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</row>
    <row r="114" ht="18"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</row>
    <row r="115" ht="18"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</row>
    <row r="116" ht="18"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</row>
    <row r="117" ht="18"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</row>
    <row r="118" ht="18"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</row>
    <row r="119" ht="18"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</row>
    <row r="120" ht="18"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</row>
    <row r="121" ht="18"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</row>
    <row r="122" ht="18"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</row>
    <row r="123" ht="18"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</row>
    <row r="124" ht="18"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</row>
    <row r="125" ht="18"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16"/>
      <c r="AK125" s="216"/>
      <c r="AL125" s="216"/>
      <c r="AM125" s="216"/>
      <c r="AN125" s="216"/>
      <c r="AO125" s="216"/>
      <c r="AP125" s="216"/>
      <c r="AQ125" s="216"/>
      <c r="AR125" s="216"/>
      <c r="AS125" s="216"/>
    </row>
    <row r="126" ht="18"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16"/>
      <c r="AK126" s="216"/>
      <c r="AL126" s="216"/>
      <c r="AM126" s="216"/>
      <c r="AN126" s="216"/>
      <c r="AO126" s="216"/>
      <c r="AP126" s="216"/>
      <c r="AQ126" s="216"/>
      <c r="AR126" s="216"/>
      <c r="AS126" s="216"/>
    </row>
    <row r="127" ht="18"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16"/>
      <c r="AO127" s="216"/>
      <c r="AP127" s="216"/>
      <c r="AQ127" s="216"/>
      <c r="AR127" s="216"/>
      <c r="AS127" s="216"/>
    </row>
    <row r="128" ht="18">
      <c r="X128" s="216"/>
      <c r="Y128" s="216"/>
      <c r="Z128" s="216"/>
      <c r="AA128" s="216"/>
      <c r="AB128" s="216"/>
      <c r="AC128" s="216"/>
      <c r="AD128" s="216"/>
      <c r="AE128" s="216"/>
      <c r="AF128" s="216"/>
      <c r="AG128" s="216"/>
      <c r="AH128" s="216"/>
      <c r="AI128" s="216"/>
      <c r="AJ128" s="216"/>
      <c r="AK128" s="216"/>
      <c r="AL128" s="216"/>
      <c r="AM128" s="216"/>
      <c r="AN128" s="216"/>
      <c r="AO128" s="216"/>
      <c r="AP128" s="216"/>
      <c r="AQ128" s="216"/>
      <c r="AR128" s="216"/>
      <c r="AS128" s="216"/>
    </row>
    <row r="129" ht="18">
      <c r="X129" s="216"/>
      <c r="Y129" s="216"/>
      <c r="Z129" s="216"/>
      <c r="AA129" s="216"/>
      <c r="AB129" s="216"/>
      <c r="AC129" s="216"/>
      <c r="AD129" s="216"/>
      <c r="AE129" s="216"/>
      <c r="AF129" s="216"/>
      <c r="AG129" s="216"/>
      <c r="AH129" s="216"/>
      <c r="AI129" s="216"/>
      <c r="AJ129" s="216"/>
      <c r="AK129" s="216"/>
      <c r="AL129" s="216"/>
      <c r="AM129" s="216"/>
      <c r="AN129" s="216"/>
      <c r="AO129" s="216"/>
      <c r="AP129" s="216"/>
      <c r="AQ129" s="216"/>
      <c r="AR129" s="216"/>
      <c r="AS129" s="216"/>
    </row>
    <row r="130" ht="18"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</row>
    <row r="131" ht="18"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</row>
    <row r="132" ht="18"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</row>
    <row r="133" ht="18"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</row>
    <row r="134" ht="18"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</row>
    <row r="135" ht="18"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</row>
    <row r="136" ht="18"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</row>
    <row r="137" ht="18"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</row>
    <row r="138" ht="18"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</row>
    <row r="139" ht="18"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</row>
    <row r="140">
      <c r="X140" s="207"/>
      <c r="Y140" s="207"/>
      <c r="Z140" s="207"/>
      <c r="AA140" s="207"/>
      <c r="AB140" s="207"/>
      <c r="AC140" s="207"/>
      <c r="AD140" s="207"/>
      <c r="AE140" s="207"/>
      <c r="AF140" s="207"/>
      <c r="AG140" s="207"/>
      <c r="AH140" s="207"/>
      <c r="AI140" s="207"/>
      <c r="AJ140" s="207"/>
      <c r="AK140" s="207"/>
      <c r="AL140" s="207"/>
      <c r="AM140" s="207"/>
      <c r="AN140" s="207"/>
      <c r="AO140" s="207"/>
      <c r="AP140" s="207"/>
      <c r="AQ140" s="207"/>
      <c r="AR140" s="207"/>
      <c r="AS140" s="207"/>
    </row>
    <row r="141">
      <c r="X141" s="207"/>
      <c r="Y141" s="207"/>
      <c r="Z141" s="207"/>
      <c r="AA141" s="207"/>
      <c r="AB141" s="207"/>
      <c r="AC141" s="207"/>
      <c r="AD141" s="207"/>
      <c r="AE141" s="207"/>
      <c r="AF141" s="207"/>
      <c r="AG141" s="207"/>
      <c r="AH141" s="207"/>
      <c r="AI141" s="207"/>
      <c r="AJ141" s="207"/>
      <c r="AK141" s="207"/>
      <c r="AL141" s="207"/>
      <c r="AM141" s="207"/>
      <c r="AN141" s="207"/>
      <c r="AO141" s="207"/>
      <c r="AP141" s="207"/>
      <c r="AQ141" s="207"/>
      <c r="AR141" s="207"/>
      <c r="AS141" s="207"/>
    </row>
    <row r="142">
      <c r="X142" s="207"/>
      <c r="Y142" s="207"/>
      <c r="Z142" s="207"/>
      <c r="AA142" s="207"/>
      <c r="AB142" s="207"/>
      <c r="AC142" s="207"/>
      <c r="AD142" s="207"/>
      <c r="AE142" s="207"/>
      <c r="AF142" s="207"/>
      <c r="AG142" s="207"/>
      <c r="AH142" s="207"/>
      <c r="AI142" s="207"/>
      <c r="AJ142" s="207"/>
      <c r="AK142" s="207"/>
      <c r="AL142" s="207"/>
      <c r="AM142" s="207"/>
      <c r="AN142" s="207"/>
      <c r="AO142" s="207"/>
      <c r="AP142" s="207"/>
      <c r="AQ142" s="207"/>
      <c r="AR142" s="207"/>
      <c r="AS142" s="207"/>
    </row>
    <row r="143">
      <c r="X143" s="207"/>
      <c r="Y143" s="207"/>
      <c r="Z143" s="207"/>
      <c r="AA143" s="207"/>
      <c r="AB143" s="207"/>
      <c r="AC143" s="207"/>
      <c r="AD143" s="207"/>
      <c r="AE143" s="207"/>
      <c r="AF143" s="207"/>
      <c r="AG143" s="207"/>
      <c r="AH143" s="207"/>
      <c r="AI143" s="207"/>
      <c r="AJ143" s="207"/>
      <c r="AK143" s="207"/>
      <c r="AL143" s="207"/>
      <c r="AM143" s="207"/>
      <c r="AN143" s="207"/>
      <c r="AO143" s="207"/>
      <c r="AP143" s="207"/>
      <c r="AQ143" s="207"/>
      <c r="AR143" s="207"/>
      <c r="AS143" s="207"/>
    </row>
    <row r="144"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Q144" s="207"/>
      <c r="AR144" s="207"/>
      <c r="AS144" s="207"/>
    </row>
    <row r="145"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Q145" s="207"/>
      <c r="AR145" s="207"/>
      <c r="AS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Q146" s="207"/>
      <c r="AR146" s="207"/>
      <c r="AS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Q147" s="207"/>
      <c r="AR147" s="207"/>
      <c r="AS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Q148" s="207"/>
      <c r="AR148" s="207"/>
      <c r="AS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Q149" s="207"/>
      <c r="AR149" s="207"/>
      <c r="AS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Q150" s="207"/>
      <c r="AR150" s="207"/>
      <c r="AS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Q151" s="207"/>
      <c r="AR151" s="207"/>
      <c r="AS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Q152" s="207"/>
      <c r="AR152" s="207"/>
      <c r="AS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Q153" s="207"/>
      <c r="AR153" s="207"/>
      <c r="AS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Q154" s="207"/>
      <c r="AR154" s="207"/>
      <c r="AS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Q155" s="207"/>
      <c r="AR155" s="207"/>
      <c r="AS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Q156" s="207"/>
      <c r="AR156" s="207"/>
      <c r="AS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J161" s="207"/>
      <c r="AK161" s="207"/>
      <c r="AL161" s="207"/>
      <c r="AM161" s="207"/>
      <c r="AN161" s="207"/>
      <c r="AO161" s="207"/>
      <c r="AP161" s="207"/>
      <c r="AQ161" s="207"/>
      <c r="AR161" s="207"/>
      <c r="AS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J162" s="207"/>
      <c r="AK162" s="207"/>
      <c r="AL162" s="207"/>
      <c r="AM162" s="207"/>
      <c r="AN162" s="207"/>
      <c r="AO162" s="207"/>
      <c r="AP162" s="207"/>
      <c r="AQ162" s="207"/>
      <c r="AR162" s="207"/>
      <c r="AS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J163" s="207"/>
      <c r="AK163" s="207"/>
      <c r="AL163" s="207"/>
      <c r="AM163" s="207"/>
      <c r="AN163" s="207"/>
      <c r="AO163" s="207"/>
      <c r="AP163" s="207"/>
      <c r="AQ163" s="207"/>
      <c r="AR163" s="207"/>
      <c r="AS163" s="207"/>
    </row>
    <row r="164">
      <c r="X164" s="207"/>
      <c r="Y164" s="207"/>
      <c r="Z164" s="207"/>
      <c r="AA164" s="207"/>
      <c r="AB164" s="207"/>
      <c r="AC164" s="207"/>
      <c r="AD164" s="207"/>
      <c r="AE164" s="207"/>
      <c r="AF164" s="207"/>
      <c r="AG164" s="207"/>
      <c r="AH164" s="207"/>
      <c r="AI164" s="207"/>
      <c r="AJ164" s="207"/>
      <c r="AK164" s="207"/>
      <c r="AL164" s="207"/>
      <c r="AM164" s="207"/>
      <c r="AN164" s="207"/>
      <c r="AO164" s="207"/>
      <c r="AP164" s="207"/>
      <c r="AQ164" s="207"/>
      <c r="AR164" s="207"/>
      <c r="AS164" s="207"/>
    </row>
    <row r="165">
      <c r="X165" s="207"/>
      <c r="Y165" s="207"/>
      <c r="Z165" s="207"/>
      <c r="AA165" s="207"/>
      <c r="AB165" s="207"/>
      <c r="AC165" s="207"/>
      <c r="AD165" s="207"/>
      <c r="AE165" s="207"/>
      <c r="AF165" s="207"/>
      <c r="AG165" s="207"/>
      <c r="AH165" s="207"/>
      <c r="AI165" s="207"/>
      <c r="AJ165" s="207"/>
      <c r="AK165" s="207"/>
      <c r="AL165" s="207"/>
      <c r="AM165" s="207"/>
      <c r="AN165" s="207"/>
      <c r="AO165" s="207"/>
      <c r="AP165" s="207"/>
      <c r="AQ165" s="207"/>
      <c r="AR165" s="207"/>
      <c r="AS165" s="207"/>
    </row>
    <row r="166">
      <c r="X166" s="207"/>
      <c r="Y166" s="207"/>
      <c r="Z166" s="207"/>
      <c r="AA166" s="207"/>
      <c r="AB166" s="207"/>
      <c r="AC166" s="207"/>
      <c r="AD166" s="207"/>
      <c r="AE166" s="207"/>
      <c r="AF166" s="207"/>
      <c r="AG166" s="207"/>
      <c r="AH166" s="207"/>
      <c r="AI166" s="207"/>
      <c r="AJ166" s="207"/>
      <c r="AK166" s="207"/>
      <c r="AL166" s="207"/>
      <c r="AM166" s="207"/>
      <c r="AN166" s="207"/>
      <c r="AO166" s="207"/>
      <c r="AP166" s="207"/>
      <c r="AQ166" s="207"/>
      <c r="AR166" s="207"/>
      <c r="AS166" s="207"/>
    </row>
    <row r="167">
      <c r="X167" s="207"/>
      <c r="Y167" s="207"/>
      <c r="Z167" s="207"/>
      <c r="AA167" s="207"/>
      <c r="AB167" s="207"/>
      <c r="AC167" s="207"/>
      <c r="AD167" s="207"/>
      <c r="AE167" s="207"/>
      <c r="AF167" s="207"/>
      <c r="AG167" s="207"/>
      <c r="AH167" s="207"/>
      <c r="AI167" s="207"/>
      <c r="AJ167" s="207"/>
      <c r="AK167" s="207"/>
      <c r="AL167" s="207"/>
      <c r="AM167" s="207"/>
      <c r="AN167" s="207"/>
      <c r="AO167" s="207"/>
      <c r="AP167" s="207"/>
      <c r="AQ167" s="207"/>
      <c r="AR167" s="207"/>
      <c r="AS167" s="207"/>
    </row>
    <row r="168">
      <c r="X168" s="207"/>
      <c r="Y168" s="207"/>
      <c r="Z168" s="207"/>
      <c r="AA168" s="207"/>
      <c r="AB168" s="207"/>
      <c r="AC168" s="207"/>
      <c r="AD168" s="207"/>
      <c r="AE168" s="207"/>
      <c r="AF168" s="207"/>
      <c r="AG168" s="207"/>
      <c r="AH168" s="207"/>
      <c r="AI168" s="207"/>
      <c r="AJ168" s="207"/>
      <c r="AK168" s="207"/>
      <c r="AL168" s="207"/>
      <c r="AM168" s="207"/>
      <c r="AN168" s="207"/>
      <c r="AO168" s="207"/>
      <c r="AP168" s="207"/>
      <c r="AQ168" s="207"/>
      <c r="AR168" s="207"/>
      <c r="AS168" s="207"/>
    </row>
    <row r="169">
      <c r="X169" s="207"/>
      <c r="Y169" s="207"/>
      <c r="Z169" s="207"/>
      <c r="AA169" s="207"/>
      <c r="AB169" s="207"/>
      <c r="AC169" s="207"/>
      <c r="AD169" s="207"/>
      <c r="AE169" s="207"/>
      <c r="AF169" s="207"/>
      <c r="AG169" s="207"/>
      <c r="AH169" s="207"/>
      <c r="AI169" s="207"/>
      <c r="AJ169" s="207"/>
      <c r="AK169" s="207"/>
      <c r="AL169" s="207"/>
      <c r="AM169" s="207"/>
      <c r="AN169" s="207"/>
      <c r="AO169" s="207"/>
      <c r="AP169" s="207"/>
      <c r="AQ169" s="207"/>
      <c r="AR169" s="207"/>
      <c r="AS169" s="207"/>
    </row>
    <row r="170">
      <c r="X170" s="207"/>
      <c r="Y170" s="207"/>
      <c r="Z170" s="207"/>
      <c r="AA170" s="207"/>
      <c r="AB170" s="207"/>
      <c r="AC170" s="207"/>
      <c r="AD170" s="207"/>
      <c r="AE170" s="207"/>
      <c r="AF170" s="207"/>
      <c r="AG170" s="207"/>
      <c r="AH170" s="207"/>
      <c r="AI170" s="207"/>
      <c r="AJ170" s="207"/>
      <c r="AK170" s="207"/>
      <c r="AL170" s="207"/>
      <c r="AM170" s="207"/>
      <c r="AN170" s="207"/>
      <c r="AO170" s="207"/>
      <c r="AP170" s="207"/>
      <c r="AQ170" s="207"/>
      <c r="AR170" s="207"/>
      <c r="AS170" s="207"/>
    </row>
    <row r="171">
      <c r="X171" s="207"/>
      <c r="Y171" s="207"/>
      <c r="Z171" s="207"/>
      <c r="AA171" s="207"/>
      <c r="AB171" s="207"/>
      <c r="AC171" s="207"/>
      <c r="AD171" s="207"/>
      <c r="AE171" s="207"/>
      <c r="AF171" s="207"/>
      <c r="AG171" s="207"/>
      <c r="AH171" s="207"/>
      <c r="AI171" s="207"/>
      <c r="AJ171" s="207"/>
      <c r="AK171" s="207"/>
      <c r="AL171" s="207"/>
      <c r="AM171" s="207"/>
      <c r="AN171" s="207"/>
      <c r="AO171" s="207"/>
      <c r="AP171" s="207"/>
      <c r="AQ171" s="207"/>
      <c r="AR171" s="207"/>
      <c r="AS171" s="207"/>
    </row>
    <row r="172">
      <c r="X172" s="207"/>
      <c r="Y172" s="207"/>
      <c r="Z172" s="207"/>
      <c r="AA172" s="207"/>
      <c r="AB172" s="207"/>
      <c r="AC172" s="207"/>
      <c r="AD172" s="207"/>
      <c r="AE172" s="207"/>
      <c r="AF172" s="207"/>
      <c r="AG172" s="207"/>
      <c r="AH172" s="207"/>
      <c r="AI172" s="207"/>
      <c r="AJ172" s="207"/>
      <c r="AK172" s="207"/>
      <c r="AL172" s="207"/>
      <c r="AM172" s="207"/>
      <c r="AN172" s="207"/>
      <c r="AO172" s="207"/>
      <c r="AP172" s="207"/>
      <c r="AQ172" s="207"/>
      <c r="AR172" s="207"/>
      <c r="AS172" s="207"/>
    </row>
    <row r="173">
      <c r="X173" s="207"/>
      <c r="Y173" s="207"/>
      <c r="Z173" s="207"/>
      <c r="AA173" s="207"/>
      <c r="AB173" s="207"/>
      <c r="AC173" s="207"/>
      <c r="AD173" s="207"/>
      <c r="AE173" s="207"/>
      <c r="AF173" s="207"/>
      <c r="AG173" s="207"/>
      <c r="AH173" s="207"/>
      <c r="AI173" s="207"/>
      <c r="AJ173" s="207"/>
      <c r="AK173" s="207"/>
      <c r="AL173" s="207"/>
      <c r="AM173" s="207"/>
      <c r="AN173" s="207"/>
      <c r="AO173" s="207"/>
      <c r="AP173" s="207"/>
      <c r="AQ173" s="207"/>
      <c r="AR173" s="207"/>
      <c r="AS173" s="207"/>
    </row>
    <row r="174">
      <c r="X174" s="207"/>
      <c r="Y174" s="207"/>
      <c r="Z174" s="207"/>
      <c r="AA174" s="207"/>
      <c r="AB174" s="207"/>
      <c r="AC174" s="207"/>
      <c r="AD174" s="207"/>
      <c r="AE174" s="207"/>
      <c r="AF174" s="207"/>
      <c r="AG174" s="207"/>
      <c r="AH174" s="207"/>
      <c r="AI174" s="207"/>
      <c r="AJ174" s="207"/>
      <c r="AK174" s="207"/>
      <c r="AL174" s="207"/>
      <c r="AM174" s="207"/>
      <c r="AN174" s="207"/>
      <c r="AO174" s="207"/>
      <c r="AP174" s="207"/>
      <c r="AQ174" s="207"/>
      <c r="AR174" s="207"/>
      <c r="AS174" s="207"/>
    </row>
    <row r="175">
      <c r="X175" s="207"/>
      <c r="Y175" s="207"/>
      <c r="Z175" s="207"/>
      <c r="AA175" s="207"/>
      <c r="AB175" s="207"/>
      <c r="AC175" s="207"/>
      <c r="AD175" s="207"/>
      <c r="AE175" s="207"/>
      <c r="AF175" s="207"/>
      <c r="AG175" s="207"/>
      <c r="AH175" s="207"/>
      <c r="AI175" s="207"/>
      <c r="AJ175" s="207"/>
      <c r="AK175" s="207"/>
      <c r="AL175" s="207"/>
      <c r="AM175" s="207"/>
      <c r="AN175" s="207"/>
      <c r="AO175" s="207"/>
      <c r="AP175" s="207"/>
      <c r="AQ175" s="207"/>
      <c r="AR175" s="207"/>
      <c r="AS175" s="207"/>
    </row>
    <row r="176">
      <c r="X176" s="207"/>
      <c r="Y176" s="207"/>
      <c r="Z176" s="207"/>
      <c r="AA176" s="207"/>
      <c r="AB176" s="207"/>
      <c r="AC176" s="207"/>
      <c r="AD176" s="207"/>
      <c r="AE176" s="207"/>
      <c r="AF176" s="207"/>
      <c r="AG176" s="207"/>
      <c r="AH176" s="207"/>
      <c r="AI176" s="207"/>
      <c r="AJ176" s="207"/>
      <c r="AK176" s="207"/>
      <c r="AL176" s="207"/>
      <c r="AM176" s="207"/>
      <c r="AN176" s="207"/>
      <c r="AO176" s="207"/>
      <c r="AP176" s="207"/>
      <c r="AQ176" s="207"/>
      <c r="AR176" s="207"/>
      <c r="AS176" s="207"/>
    </row>
    <row r="177">
      <c r="X177" s="207"/>
      <c r="Y177" s="207"/>
      <c r="Z177" s="207"/>
      <c r="AA177" s="207"/>
      <c r="AB177" s="207"/>
      <c r="AC177" s="207"/>
      <c r="AD177" s="207"/>
      <c r="AE177" s="207"/>
      <c r="AF177" s="207"/>
      <c r="AG177" s="207"/>
      <c r="AH177" s="207"/>
      <c r="AI177" s="207"/>
      <c r="AJ177" s="207"/>
      <c r="AK177" s="207"/>
      <c r="AL177" s="207"/>
      <c r="AM177" s="207"/>
      <c r="AN177" s="207"/>
      <c r="AO177" s="207"/>
      <c r="AP177" s="207"/>
      <c r="AQ177" s="207"/>
      <c r="AR177" s="207"/>
      <c r="AS177" s="207"/>
    </row>
    <row r="178">
      <c r="X178" s="207"/>
      <c r="Y178" s="207"/>
      <c r="Z178" s="207"/>
      <c r="AA178" s="207"/>
      <c r="AB178" s="207"/>
      <c r="AC178" s="207"/>
      <c r="AD178" s="207"/>
      <c r="AE178" s="207"/>
      <c r="AF178" s="207"/>
      <c r="AG178" s="207"/>
      <c r="AH178" s="207"/>
      <c r="AI178" s="207"/>
      <c r="AJ178" s="207"/>
      <c r="AK178" s="207"/>
      <c r="AL178" s="207"/>
      <c r="AM178" s="207"/>
      <c r="AN178" s="207"/>
      <c r="AO178" s="207"/>
      <c r="AP178" s="207"/>
      <c r="AQ178" s="207"/>
      <c r="AR178" s="207"/>
      <c r="AS178" s="207"/>
    </row>
    <row r="179">
      <c r="X179" s="207"/>
      <c r="Y179" s="207"/>
      <c r="Z179" s="207"/>
      <c r="AA179" s="207"/>
      <c r="AB179" s="207"/>
      <c r="AC179" s="207"/>
      <c r="AD179" s="207"/>
      <c r="AE179" s="207"/>
      <c r="AF179" s="207"/>
      <c r="AG179" s="207"/>
      <c r="AH179" s="207"/>
      <c r="AI179" s="207"/>
      <c r="AJ179" s="207"/>
      <c r="AK179" s="207"/>
      <c r="AL179" s="207"/>
      <c r="AM179" s="207"/>
      <c r="AN179" s="207"/>
      <c r="AO179" s="207"/>
      <c r="AP179" s="207"/>
      <c r="AQ179" s="207"/>
      <c r="AR179" s="207"/>
      <c r="AS179" s="207"/>
    </row>
  </sheetData>
  <sheetProtection selectLockedCells="1" selectUnlockedCells="1"/>
  <mergeCells>
    <mergeCell ref="O24:T24"/>
    <mergeCell ref="O47:T47"/>
    <mergeCell ref="O53:T53"/>
    <mergeCell ref="O69:T69"/>
    <mergeCell ref="L1:N2"/>
    <mergeCell ref="L3:M3"/>
    <mergeCell ref="R3:T3"/>
    <mergeCell ref="O4:T4"/>
    <mergeCell ref="O9:T9"/>
    <mergeCell ref="O19:T19"/>
  </mergeCells>
  <dataValidations count="1">
    <dataValidation type="list" allowBlank="1" showInputMessage="1" showErrorMessage="1" sqref="R55:R67" xr:uid="{00000000-0002-0000-0500-000000000000}">
      <formula1>$U$4:$U$5</formula1>
    </dataValidation>
  </dataValidations>
  <pageMargins left="0.7" right="0.7" top="0.75" bottom="0.75" header="0.3" footer="0.3"/>
  <headerFooter/>
  <tableParts count="1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24"/>
  <dimension ref="A1:AG92"/>
  <sheetViews>
    <sheetView rightToLeft="1" topLeftCell="I1" zoomScale="55" zoomScaleNormal="55" workbookViewId="0">
      <selection activeCell="AE7" sqref="AE7"/>
    </sheetView>
  </sheetViews>
  <sheetFormatPr defaultColWidth="9.109375" defaultRowHeight="14.4"/>
  <cols>
    <col min="1" max="1" width="11.33203125" customWidth="1" style="313"/>
    <col min="2" max="2" width="11.5546875" customWidth="1" style="313"/>
    <col min="3" max="3" width="38" customWidth="1" style="313"/>
    <col min="4" max="4" width="11.5546875" customWidth="1" style="313"/>
    <col min="5" max="5" width="11.88671875" customWidth="1" style="314"/>
    <col min="6" max="6" width="14.109375" customWidth="1" style="313"/>
    <col min="7" max="7" width="13" customWidth="1" style="313"/>
    <col min="8" max="8" width="27.33203125" customWidth="1" style="313"/>
    <col min="9" max="9" width="8.88671875" customWidth="1" style="313"/>
    <col min="10" max="10" width="37.5546875" customWidth="1" style="313"/>
    <col min="11" max="11" width="8.88671875" customWidth="1" style="313"/>
    <col min="12" max="12" width="9.109375" customWidth="1"/>
    <col min="13" max="13" width="17" customWidth="1"/>
    <col min="14" max="14" width="13.44140625" customWidth="1"/>
    <col min="15" max="15" width="12.5546875" customWidth="1"/>
    <col min="17" max="17" width="12.6640625" customWidth="1"/>
    <col min="18" max="18" width="18.44140625" customWidth="1"/>
    <col min="19" max="19" width="16.6640625" customWidth="1"/>
    <col min="21" max="21" width="1.109375" customWidth="1"/>
    <col min="22" max="22" width="19" customWidth="1"/>
    <col min="23" max="23" width="14.5546875" customWidth="1"/>
    <col min="24" max="24" width="2.5546875" customWidth="1"/>
    <col min="25" max="25" width="22" customWidth="1"/>
    <col min="26" max="28" width="14.6640625" customWidth="1"/>
    <col min="30" max="30" width="27.6640625" customWidth="1"/>
    <col min="31" max="31" width="12.88671875" customWidth="1"/>
    <col min="32" max="32" width="14.5546875" customWidth="1"/>
  </cols>
  <sheetData>
    <row r="1">
      <c r="A1" s="315"/>
      <c r="B1" s="316"/>
      <c r="C1" s="316"/>
      <c r="D1" s="316"/>
      <c r="E1" s="317"/>
      <c r="F1" s="316"/>
      <c r="G1" s="316"/>
      <c r="H1" s="316"/>
      <c r="I1" s="316"/>
      <c r="J1" s="316"/>
      <c r="K1" s="316"/>
      <c r="L1" s="351"/>
      <c r="M1" s="351"/>
      <c r="N1" s="351"/>
      <c r="O1" s="351"/>
      <c r="P1" s="352"/>
      <c r="R1" s="374"/>
      <c r="S1" s="316"/>
      <c r="T1" s="316"/>
      <c r="U1" s="316"/>
      <c r="V1" s="317"/>
      <c r="W1" s="316"/>
      <c r="X1" s="316"/>
      <c r="Y1" s="316"/>
      <c r="Z1" s="316"/>
      <c r="AA1" s="316"/>
      <c r="AB1" s="316"/>
      <c r="AC1" s="351"/>
      <c r="AD1" s="351"/>
      <c r="AE1" s="351"/>
      <c r="AF1" s="351"/>
      <c r="AG1" s="352"/>
    </row>
    <row r="2" ht="18">
      <c r="A2" s="318" t="s">
        <v>199</v>
      </c>
      <c r="B2" s="313" t="s">
        <v>200</v>
      </c>
      <c r="C2" s="313" t="s">
        <v>201</v>
      </c>
      <c r="E2" s="314" t="s">
        <v>9</v>
      </c>
      <c r="F2" s="313" t="s">
        <v>30</v>
      </c>
      <c r="H2" s="319" t="s">
        <v>9</v>
      </c>
      <c r="I2" s="353" t="s">
        <v>202</v>
      </c>
      <c r="J2" s="354" t="s">
        <v>203</v>
      </c>
      <c r="K2" s="355" t="s">
        <v>204</v>
      </c>
      <c r="M2" s="356" t="s">
        <v>205</v>
      </c>
      <c r="N2" s="356" t="s">
        <v>206</v>
      </c>
      <c r="O2" s="0" t="s">
        <v>9</v>
      </c>
      <c r="P2" s="357"/>
      <c r="R2" s="332"/>
      <c r="S2" s="313" t="s">
        <v>200</v>
      </c>
      <c r="T2" s="313" t="s">
        <v>201</v>
      </c>
      <c r="U2" s="313"/>
      <c r="V2" s="314" t="s">
        <v>9</v>
      </c>
      <c r="W2" s="313" t="s">
        <v>30</v>
      </c>
      <c r="X2" s="313"/>
      <c r="Y2" s="331" t="s">
        <v>9</v>
      </c>
      <c r="Z2" s="379" t="s">
        <v>202</v>
      </c>
      <c r="AA2" s="320" t="s">
        <v>203</v>
      </c>
      <c r="AB2" s="320" t="s">
        <v>204</v>
      </c>
      <c r="AD2" s="0" t="s">
        <v>205</v>
      </c>
      <c r="AE2" s="0" t="s">
        <v>206</v>
      </c>
      <c r="AF2" s="0" t="s">
        <v>9</v>
      </c>
      <c r="AG2" s="357"/>
    </row>
    <row r="3" ht="25.8">
      <c r="A3" s="548" t="s">
        <v>207</v>
      </c>
      <c r="B3" s="547">
        <v>2.5</v>
      </c>
      <c r="C3" s="547">
        <v>11.75</v>
      </c>
      <c r="E3" s="320" t="s">
        <v>208</v>
      </c>
      <c r="F3" s="320">
        <f>Sheet2!B42</f>
        <v>750</v>
      </c>
      <c r="H3" s="321" t="s">
        <v>209</v>
      </c>
      <c r="I3" s="358">
        <v>2</v>
      </c>
      <c r="J3" s="359">
        <v>75</v>
      </c>
      <c r="K3" s="360">
        <f ref="K3:K10" t="shared" si="0">I3*J3</f>
        <v>150</v>
      </c>
      <c r="M3" s="361" t="s">
        <v>210</v>
      </c>
      <c r="N3" s="361">
        <f>IF(AND(تسعير!AJ8="دائرية",تسعير!AK8=2.5),1,IF(AND(تسعير!AJ8="دائرية",تسعير!AK8=2.7),2,IF(AND(تسعير!AJ8="دائرية",تسعير!AK8=3),3,IF(AND(تسعير!AJ8="دائرية",تسعير!AK8=3.5),4,IF(AND(تسعير!AJ8="مربعة",تسعير!AK8=2.5),5,IF(AND(تسعير!AJ8="مربعة",تسعير!AK8=3),6,IF(AND(تسعير!AJ8="مربعة",تسعير!AK8=3.3),7,IF(AND(تسعير!AJ8="مربعة",تسعير!AK8=2),8,0))))))))</f>
        <v>3</v>
      </c>
      <c r="O3" s="361" t="str">
        <f>IF((N6&gt;0),"OK","WAIT")</f>
        <v>OK</v>
      </c>
      <c r="P3" s="357"/>
      <c r="R3" s="332"/>
      <c r="S3" s="375" t="s">
        <v>173</v>
      </c>
      <c r="T3" s="320">
        <v>17</v>
      </c>
      <c r="U3" s="313"/>
      <c r="V3" s="320" t="s">
        <v>208</v>
      </c>
      <c r="W3" s="320">
        <f>Sheet2!B42</f>
        <v>750</v>
      </c>
      <c r="X3" s="313"/>
      <c r="Y3" s="331" t="s">
        <v>211</v>
      </c>
      <c r="Z3" s="367">
        <v>8</v>
      </c>
      <c r="AA3" s="320">
        <v>50</v>
      </c>
      <c r="AB3" s="320">
        <f ref="AB3:AB11" t="shared" si="1">Z3*AA3</f>
        <v>400</v>
      </c>
      <c r="AD3" s="380" t="s">
        <v>210</v>
      </c>
      <c r="AE3" s="380">
        <f>IF((تسعير!AH28="3*3"),1,IF((تسعير!AH28="4*4"),2,no))</f>
        <v>2</v>
      </c>
      <c r="AF3" s="380"/>
      <c r="AG3" s="357"/>
    </row>
    <row r="4" ht="22.5" customHeight="1">
      <c r="A4" s="548" t="s">
        <v>207</v>
      </c>
      <c r="B4" s="547">
        <v>2.7</v>
      </c>
      <c r="C4" s="547">
        <v>13.5</v>
      </c>
      <c r="E4" s="320" t="s">
        <v>212</v>
      </c>
      <c r="F4" s="320">
        <f>Sheet2!B43</f>
        <v>130</v>
      </c>
      <c r="H4" s="321" t="s">
        <v>213</v>
      </c>
      <c r="I4" s="358">
        <v>2</v>
      </c>
      <c r="J4" s="359"/>
      <c r="K4" s="360">
        <f t="shared" si="0"/>
        <v>0</v>
      </c>
      <c r="M4" s="361" t="s">
        <v>214</v>
      </c>
      <c r="N4" s="361">
        <f>IF(AND(تسعير!AJ8="دائرية",تسعير!AK8=2.5),'شماسي و كانتليفر'!C3,IF(AND(تسعير!AJ8="دائرية",تسعير!AK8=2.7),'شماسي و كانتليفر'!C4,IF(AND(تسعير!AJ8="دائرية",تسعير!AK8=3),'شماسي و كانتليفر'!C5,IF(AND(تسعير!AJ8="دائرية",تسعير!AK8=3.5),'شماسي و كانتليفر'!C6,IF(AND(تسعير!AJ8="مربعة",تسعير!AK8=2.5),'شماسي و كانتليفر'!C8,IF(AND(تسعير!AJ8="مربعة",تسعير!AK8=3),'شماسي و كانتليفر'!C9,IF(AND(تسعير!AJ8="مربعة",تسعير!AK8=3.3),'شماسي و كانتليفر'!C10,IF(AND(تسعير!AJ8="مربعة",تسعير!AK8=2),'شماسي و كانتليفر'!C7,0))))))))</f>
        <v>13.5</v>
      </c>
      <c r="O4" s="361" t="str">
        <f>IF((N10=0),"WAIT","OK")</f>
        <v>OK</v>
      </c>
      <c r="P4" s="357"/>
      <c r="R4" s="332"/>
      <c r="S4" s="375" t="s">
        <v>215</v>
      </c>
      <c r="T4" s="320">
        <v>18.75</v>
      </c>
      <c r="U4" s="313"/>
      <c r="V4" s="320" t="s">
        <v>212</v>
      </c>
      <c r="W4" s="320">
        <f>Sheet2!B43</f>
        <v>130</v>
      </c>
      <c r="X4" s="313"/>
      <c r="Y4" s="331" t="s">
        <v>213</v>
      </c>
      <c r="Z4" s="367">
        <v>2</v>
      </c>
      <c r="AA4" s="320">
        <v>15</v>
      </c>
      <c r="AB4" s="320">
        <f t="shared" si="1"/>
        <v>30</v>
      </c>
      <c r="AD4" s="380" t="s">
        <v>214</v>
      </c>
      <c r="AE4" s="380">
        <f>IF((AE3=1),T3,IF((AE3=2),Table122[[#This Row],[ميزان]],no))</f>
        <v>18.75</v>
      </c>
      <c r="AF4" s="380"/>
      <c r="AG4" s="357"/>
    </row>
    <row r="5" ht="18">
      <c r="A5" s="548" t="s">
        <v>207</v>
      </c>
      <c r="B5" s="547">
        <v>3</v>
      </c>
      <c r="C5" s="547">
        <v>13.5</v>
      </c>
      <c r="E5" s="547" t="s">
        <v>216</v>
      </c>
      <c r="F5" s="320">
        <f>Sheet2!B44</f>
        <v>400</v>
      </c>
      <c r="H5" s="321" t="s">
        <v>217</v>
      </c>
      <c r="I5" s="358">
        <v>16</v>
      </c>
      <c r="J5" s="359">
        <v>10</v>
      </c>
      <c r="K5" s="360">
        <f t="shared" si="0"/>
        <v>160</v>
      </c>
      <c r="M5" s="361" t="s">
        <v>218</v>
      </c>
      <c r="N5" s="361">
        <f>IF((تسعير!AL8="خشبي"),'شماسي و كانتليفر'!F8,IF((تسعير!AL8="سادة"),'شماسي و كانتليفر'!F9,0))</f>
        <v>70</v>
      </c>
      <c r="O5" s="361" t="str">
        <f>IF(AND(N13=((تسعير!AO8+'شماسي و كانتليفر'!N11+'شماسي و كانتليفر'!N10+'شماسي و كانتليفر'!N9+'شماسي و كانتليفر'!N6)*1.25),(تسعير!AI8="جملة")),"OK",IF(AND(N13=((تسعير!AO8+'شماسي و كانتليفر'!N11+'شماسي و كانتليفر'!N10+'شماسي و كانتليفر'!N9+'شماسي و كانتليفر'!N6)*1.275),(تسعير!AI8="نصف جملة")),"OK",IF(AND(N13=((تسعير!AO8+'شماسي و كانتليفر'!N11+'شماسي و كانتليفر'!N10+'شماسي و كانتليفر'!N9+'شماسي و كانتليفر'!N6)*1.3),(تسعير!AI8="قطاعي")),"OK","WAIT")))</f>
        <v>WAIT</v>
      </c>
      <c r="P5" s="357"/>
      <c r="R5" s="332"/>
      <c r="S5" s="320"/>
      <c r="T5" s="320"/>
      <c r="U5" s="313"/>
      <c r="V5" s="547" t="s">
        <v>216</v>
      </c>
      <c r="W5" s="320">
        <f>Sheet2!B44</f>
        <v>400</v>
      </c>
      <c r="X5" s="313"/>
      <c r="Y5" s="331" t="s">
        <v>219</v>
      </c>
      <c r="Z5" s="367">
        <v>1</v>
      </c>
      <c r="AA5" s="320">
        <v>150</v>
      </c>
      <c r="AB5" s="320">
        <f t="shared" si="1"/>
        <v>150</v>
      </c>
      <c r="AD5" s="380" t="s">
        <v>218</v>
      </c>
      <c r="AE5" s="380">
        <f>IF((تسعير!AI28="خشبي"),W8,IF((تسعير!AI28="سادة"),W9,IF((تسعير!AI28="ذهبي"),W10,0)))</f>
        <v>70</v>
      </c>
      <c r="AF5" s="380"/>
      <c r="AG5" s="357"/>
    </row>
    <row r="6" ht="18">
      <c r="A6" s="548" t="s">
        <v>207</v>
      </c>
      <c r="B6" s="547">
        <v>3.5</v>
      </c>
      <c r="C6" s="547">
        <v>14.6</v>
      </c>
      <c r="E6" s="320" t="s">
        <v>220</v>
      </c>
      <c r="F6" s="320">
        <f>Sheet2!B59</f>
        <v>200</v>
      </c>
      <c r="H6" s="321" t="s">
        <v>221</v>
      </c>
      <c r="I6" s="358">
        <v>16</v>
      </c>
      <c r="J6" s="359">
        <v>1</v>
      </c>
      <c r="K6" s="360">
        <f t="shared" si="0"/>
        <v>16</v>
      </c>
      <c r="M6" s="361" t="s">
        <v>222</v>
      </c>
      <c r="N6" s="361">
        <f>(N5+'شماسي و كانتليفر'!F10)*(N4)</f>
        <v>4347</v>
      </c>
      <c r="O6" s="361" t="str">
        <f>IF((N5=0),"WAIT","OK")</f>
        <v>OK</v>
      </c>
      <c r="P6" s="357"/>
      <c r="R6" s="332"/>
      <c r="S6" s="320"/>
      <c r="T6" s="320">
        <v>37</v>
      </c>
      <c r="U6" s="313"/>
      <c r="V6" s="320" t="s">
        <v>223</v>
      </c>
      <c r="W6" s="320">
        <f>Sheet2!B59</f>
        <v>200</v>
      </c>
      <c r="X6" s="313"/>
      <c r="Y6" s="331" t="s">
        <v>224</v>
      </c>
      <c r="Z6" s="367">
        <v>1</v>
      </c>
      <c r="AA6" s="320">
        <v>150</v>
      </c>
      <c r="AB6" s="320">
        <f t="shared" si="1"/>
        <v>150</v>
      </c>
      <c r="AD6" s="380" t="s">
        <v>222</v>
      </c>
      <c r="AE6" s="380">
        <f>IF((تسعير!AI28="سادة"),((W11+AE5)*(AE4)),IF((تسعير!AI28="خشبي"),((W11+AE5)*(AE4)),IF(AND((تسعير!AI28="ذهبي"),(تسعير!AH28="4*4")),(('شماسي و كانتليفر'!AE4*W11)+(T7*AE5)),IF(AND((تسعير!AI28="ذهبي"),(تسعير!AH28="3*3")),((AE4*W11)+(T6*AE5)),0))))</f>
        <v>6037.5</v>
      </c>
      <c r="AF6" s="380"/>
      <c r="AG6" s="357"/>
    </row>
    <row r="7" ht="18">
      <c r="A7" s="548" t="s">
        <v>225</v>
      </c>
      <c r="B7" s="547">
        <v>2</v>
      </c>
      <c r="C7" s="547">
        <v>10.5</v>
      </c>
      <c r="E7" s="320" t="s">
        <v>9</v>
      </c>
      <c r="F7" s="320" t="s">
        <v>30</v>
      </c>
      <c r="H7" s="321" t="s">
        <v>226</v>
      </c>
      <c r="I7" s="358">
        <v>2</v>
      </c>
      <c r="J7" s="359">
        <v>80</v>
      </c>
      <c r="K7" s="360">
        <f t="shared" si="0"/>
        <v>160</v>
      </c>
      <c r="M7" s="361" t="s">
        <v>227</v>
      </c>
      <c r="N7" s="361">
        <f>IF((تسعير!AM8="اسباني"),'شماسي و كانتليفر'!F3,IF((تسعير!AM8="بولي استر"),'شماسي و كانتليفر'!F5,IF((تسعير!AM8="hdpe"),'شماسي و كانتليفر'!F4,IF((تسعير!AM8="مصري "),'شماسي و كانتليفر'!F6,0))))</f>
        <v>400</v>
      </c>
      <c r="O7" s="361" t="str">
        <f>IF(AND((N9=0),(تسعير!AM8="بدون")),"OK",IF(AND((N9&gt;0),(تسعير!AM8="اسباني")),"OK",IF(AND((N9&gt;0),(تسعير!AM8="بولي استر")),"OK",IF(AND((N9&gt;0),(تسعير!AM8="hdpe")),"OK",IF(AND((N9&gt;0),(تسعير!AM8="مصري ")),"OK","WAIT")))))</f>
        <v>WAIT</v>
      </c>
      <c r="P7" s="357"/>
      <c r="R7" s="332"/>
      <c r="S7" s="320"/>
      <c r="T7" s="320">
        <v>45</v>
      </c>
      <c r="U7" s="313"/>
      <c r="V7" s="320" t="s">
        <v>9</v>
      </c>
      <c r="W7" s="320" t="s">
        <v>30</v>
      </c>
      <c r="X7" s="313"/>
      <c r="Y7" s="331" t="s">
        <v>228</v>
      </c>
      <c r="Z7" s="367">
        <v>1</v>
      </c>
      <c r="AA7" s="320">
        <v>150</v>
      </c>
      <c r="AB7" s="320">
        <f t="shared" si="1"/>
        <v>150</v>
      </c>
      <c r="AD7" s="380" t="s">
        <v>227</v>
      </c>
      <c r="AE7" s="380">
        <f>IF((تسعير!AJ28="اسباني"),W3,IF((تسعير!AJ28="بولي استر"),W5,IF((تسعير!AJ28="hdpe"),W4,IF((تسعير!AJ28="مصري"),W6,0))))</f>
        <v>200</v>
      </c>
      <c r="AF7" s="380"/>
      <c r="AG7" s="357"/>
    </row>
    <row r="8" ht="18">
      <c r="A8" s="548" t="s">
        <v>225</v>
      </c>
      <c r="B8" s="547">
        <v>2.5</v>
      </c>
      <c r="C8" s="547">
        <v>11.75</v>
      </c>
      <c r="E8" s="320" t="s">
        <v>229</v>
      </c>
      <c r="F8" s="320">
        <f>Table626[[#This Row],[Column2]]</f>
        <v>70</v>
      </c>
      <c r="H8" s="321" t="s">
        <v>230</v>
      </c>
      <c r="I8" s="358">
        <v>2</v>
      </c>
      <c r="J8" s="359">
        <v>20</v>
      </c>
      <c r="K8" s="360">
        <f t="shared" si="0"/>
        <v>40</v>
      </c>
      <c r="M8" s="361" t="s">
        <v>231</v>
      </c>
      <c r="N8" s="361" t="str">
        <f>IF((تسعير!AM8="بدون"),0,IF(AND(N3=1,تسعير!AN8="no"),'شماسي و كانتليفر'!I17,IF(AND(N3=1,تسعير!AN8="single"),'شماسي و كانتليفر'!J17,IF(AND(N3=1,تسعير!AN8="double"),'شماسي و كانتليفر'!K17,IF(AND(N3=2,تسعير!AN8="no"),'شماسي و كانتليفر'!I18,IF(AND(N3=2,تسعير!AN8="single"),'شماسي و كانتليفر'!J18,IF(AND(N3=2,تسعير!AN8="double"),'شماسي و كانتليفر'!K18,IF(AND(N3=3,تسعير!AN8="no"),'شماسي و كانتليفر'!I19,IF(AND(N3=3,تسعير!AN8="single"),'شماسي و كانتليفر'!J19,IF(AND(N3=3,تسعير!AN8="double"),'شماسي و كانتليفر'!K19,IF(AND(N3=4,تسعير!AN8="no"),'شماسي و كانتليفر'!I20,IF(AND(N3=4,تسعير!AN8="single"),'شماسي و كانتليفر'!J20,IF(AND(N3=4,تسعير!AN8="double"),'شماسي و كانتليفر'!K20,IF(AND(N3=5,تسعير!AN8="no"),'شماسي و كانتليفر'!I21,IF(AND(N3=5,تسعير!AN8="single"),'شماسي و كانتليفر'!J21,IF(AND(N3=5,تسعير!AN8="double"),'شماسي و كانتليفر'!K21,IF(AND(N3=6,تسعير!AN8="no"),'شماسي و كانتليفر'!I22,IF(AND(N3=6,تسعير!AN8="single"),'شماسي و كانتليفر'!J22,IF(AND(N3=6,تسعير!AN8="double"),'شماسي و كانتليفر'!K22,IF(AND(N3=7,تسعير!AN8="no"),'شماسي و كانتليفر'!I23,IF(AND(N3=7,تسعير!AN8="single"),'شماسي و كانتليفر'!J23,IF(AND(N3=7,تسعير!AN8="double"),'شماسي و كانتليفر'!K23,IF(AND(N3=8,تسعير!AN8="no"),'شماسي و كانتليفر'!I16,IF(AND(N3=8,تسعير!AN8="single"),'شماسي و كانتليفر'!J16,IF(AND(N3=8,تسعير!AN8="double"),'شماسي و كانتليفر'!K16,IF(AND(N3=1,تسعير!AN8="single مطرز"),'شماسي و كانتليفر'!J17,IF(AND(N3=2,تسعير!AN8="single مطرز"),'شماسي و كانتليفر'!J18,IF(AND(N3=3,تسعير!AN8="single مطرز"),'شماسي و كانتليفر'!J19,IF(AND(N3=4,تسعير!AN8="single مطرز"),'شماسي و كانتليفر'!J20,IF(AND(N3=5,تسعير!AN8="single مطرز"),'شماسي و كانتليفر'!J21,IF(AND(N3=6,تسعير!AN8="single مطرز"),'شماسي و كانتليفر'!J22,IF(AND(N3=7,تسعير!AN8="single مطرز"),'شماسي و كانتليفر'!J23,IF(AND(N3=8,تسعير!AN8="single مطرز"),'شماسي و كانتليفر'!J16,"error")))))))))))))))))))))))))))))))))</f>
        <v>v</v>
      </c>
      <c r="O8" s="361" t="str">
        <f>IF(AND((N11=0),(تسعير!AN8="single")),"OK",IF(AND((N11=0),(تسعير!AN8="no")),"OK",IF(AND((N11&gt;0),(تسعير!AN8="double")),"OK",IF(AND((N11&gt;0),(تسعير!AN8="single مطرز")),"OK","WAIT"))))</f>
        <v>OK</v>
      </c>
      <c r="P8" s="357"/>
      <c r="R8" s="332"/>
      <c r="S8" s="320"/>
      <c r="T8" s="320"/>
      <c r="U8" s="313"/>
      <c r="V8" s="320" t="s">
        <v>229</v>
      </c>
      <c r="W8" s="320">
        <f>Sheet2!B15/1000</f>
        <v>70</v>
      </c>
      <c r="X8" s="313"/>
      <c r="Y8" s="331" t="s">
        <v>232</v>
      </c>
      <c r="Z8" s="367">
        <v>2</v>
      </c>
      <c r="AA8" s="320">
        <v>50</v>
      </c>
      <c r="AB8" s="320">
        <f t="shared" si="1"/>
        <v>100</v>
      </c>
      <c r="AD8" s="380" t="s">
        <v>231</v>
      </c>
      <c r="AE8" s="380">
        <f>IF(AND(AE3=1,تسعير!AK28="no"),Z18,IF(AND(AE3=1,تسعير!AK28="single"),AA18,IF(AND(AE3=1,تسعير!AK28="double"),AB18,IF(AND(AE3=2,تسعير!AK28="no"),Z19,IF(AND(AE3=2,تسعير!AK28="single"),AA19,IF(AND(AE3=2,تسعير!AK28="double"),AB19,"error"))))))</f>
        <v>24</v>
      </c>
      <c r="AF8" s="380"/>
      <c r="AG8" s="357"/>
    </row>
    <row r="9" ht="18">
      <c r="A9" s="548" t="s">
        <v>225</v>
      </c>
      <c r="B9" s="547">
        <v>3</v>
      </c>
      <c r="C9" s="547">
        <v>13.5</v>
      </c>
      <c r="E9" s="320" t="s">
        <v>233</v>
      </c>
      <c r="F9" s="320">
        <f>Table626[[#This Row],[Column2]]</f>
        <v>30</v>
      </c>
      <c r="H9" s="321" t="s">
        <v>234</v>
      </c>
      <c r="I9" s="358">
        <v>7</v>
      </c>
      <c r="J9" s="359">
        <v>8</v>
      </c>
      <c r="K9" s="360">
        <f t="shared" si="0"/>
        <v>56</v>
      </c>
      <c r="M9" s="361" t="s">
        <v>235</v>
      </c>
      <c r="N9" s="361" t="e">
        <f>N8*N7</f>
        <v>#VALUE!</v>
      </c>
      <c r="O9" s="361"/>
      <c r="P9" s="357"/>
      <c r="R9" s="332"/>
      <c r="S9" s="320"/>
      <c r="T9" s="320"/>
      <c r="U9" s="313"/>
      <c r="V9" s="320" t="s">
        <v>233</v>
      </c>
      <c r="W9" s="320">
        <f>Sheet2!B41</f>
        <v>30</v>
      </c>
      <c r="X9" s="313"/>
      <c r="Y9" s="331" t="s">
        <v>236</v>
      </c>
      <c r="Z9" s="367">
        <v>36</v>
      </c>
      <c r="AA9" s="320">
        <v>25</v>
      </c>
      <c r="AB9" s="320">
        <f t="shared" si="1"/>
        <v>900</v>
      </c>
      <c r="AD9" s="380" t="s">
        <v>235</v>
      </c>
      <c r="AE9" s="380">
        <f>AE8*AE7</f>
        <v>4800</v>
      </c>
      <c r="AF9" s="380"/>
      <c r="AG9" s="357"/>
    </row>
    <row r="10" ht="18">
      <c r="A10" s="548" t="s">
        <v>225</v>
      </c>
      <c r="B10" s="547">
        <v>3.3</v>
      </c>
      <c r="C10" s="547">
        <v>16.5</v>
      </c>
      <c r="E10" s="320" t="s">
        <v>237</v>
      </c>
      <c r="F10" s="320">
        <f>W11</f>
        <v>252</v>
      </c>
      <c r="H10" s="321" t="s">
        <v>238</v>
      </c>
      <c r="I10" s="358">
        <v>8</v>
      </c>
      <c r="J10" s="359">
        <v>50</v>
      </c>
      <c r="K10" s="360">
        <f t="shared" si="0"/>
        <v>400</v>
      </c>
      <c r="M10" s="361" t="s">
        <v>239</v>
      </c>
      <c r="N10" s="361">
        <f>IF(AND((تسعير!AM8="بدون"),(تسعير!AI8="نصف جملة")),(('شماسي و كانتليفر'!F12/2+Table4[[#Totals],[قيمة]])),IF(AND((تسعير!AM8="بدون"),(تسعير!AI8="جملة")),(('شماسي و كانتليفر'!F12/2+Table4[[#Totals],[قيمة]]-N12)),IF(AND((تسعير!AM8="بدون"),(تسعير!AI8="قطاعي")),('شماسي و كانتليفر'!F12+Table4[[#Totals],[قيمة]]),IF(تسعير!AI8="نصف جملة",((('شماسي و كانتليفر'!F11+'شماسي و كانتليفر'!F12)/2)+Table4[[#Totals],[قيمة]]),IF(تسعير!AI8="جملة",((('شماسي و كانتليفر'!F11+'شماسي و كانتليفر'!F12)/2)+Table4[[#Totals],[قيمة]]),IF(تسعير!AI8="قطاعي",((('شماسي و كانتليفر'!F11+'شماسي و كانتليفر'!F12))+Table4[[#Totals],[قيمة]]),"v"))))))</f>
        <v>5532</v>
      </c>
      <c r="O10" s="361"/>
      <c r="P10" s="357"/>
      <c r="R10" s="332"/>
      <c r="S10" s="320"/>
      <c r="T10" s="320"/>
      <c r="U10" s="313"/>
      <c r="V10" s="320"/>
      <c r="W10" s="320"/>
      <c r="X10" s="313"/>
      <c r="Y10" s="331" t="s">
        <v>240</v>
      </c>
      <c r="Z10" s="367">
        <v>1</v>
      </c>
      <c r="AA10" s="320">
        <v>75</v>
      </c>
      <c r="AB10" s="320">
        <f t="shared" si="1"/>
        <v>75</v>
      </c>
      <c r="AD10" s="380" t="s">
        <v>239</v>
      </c>
      <c r="AE10" s="380">
        <f>IF(تسعير!AG28="جملة",(((W12+W13)/2)+Table424[[#Totals],[قيمة]]),IF(تسعير!AG28="قطاعي",(((W12+W13))+Table424[[#Totals],[قيمة]]),0))</f>
        <v>5630</v>
      </c>
      <c r="AF10" s="380"/>
      <c r="AG10" s="357"/>
    </row>
    <row r="11" ht="18">
      <c r="A11" s="318"/>
      <c r="E11" s="322" t="s">
        <v>241</v>
      </c>
      <c r="F11" s="323">
        <v>800</v>
      </c>
      <c r="H11" s="324" t="s">
        <v>242</v>
      </c>
      <c r="I11" s="362"/>
      <c r="J11" s="363"/>
      <c r="K11" s="364">
        <v>250</v>
      </c>
      <c r="M11" s="361" t="s">
        <v>243</v>
      </c>
      <c r="N11" s="361">
        <f>IF(OR(تسعير!AN8="double",تسعير!AN8="single مطرز"),'شماسي و كانتليفر'!F13,0)</f>
        <v>1200</v>
      </c>
      <c r="O11" s="361"/>
      <c r="P11" s="357"/>
      <c r="R11" s="332"/>
      <c r="S11" s="313"/>
      <c r="T11" s="313"/>
      <c r="U11" s="313"/>
      <c r="V11" s="320" t="s">
        <v>237</v>
      </c>
      <c r="W11" s="320">
        <f>Sheet2!B14/1000</f>
        <v>252</v>
      </c>
      <c r="X11" s="313"/>
      <c r="Y11" s="331" t="s">
        <v>244</v>
      </c>
      <c r="Z11" s="367">
        <v>1</v>
      </c>
      <c r="AA11" s="320">
        <v>75</v>
      </c>
      <c r="AB11" s="320">
        <f t="shared" si="1"/>
        <v>75</v>
      </c>
      <c r="AD11" s="380" t="s">
        <v>243</v>
      </c>
      <c r="AE11" s="380">
        <f>IF(تسعير!AK28="no",0,W14)</f>
        <v>1200</v>
      </c>
      <c r="AF11" s="380"/>
      <c r="AG11" s="357"/>
    </row>
    <row r="12" ht="18">
      <c r="A12" s="318"/>
      <c r="E12" s="325" t="s">
        <v>245</v>
      </c>
      <c r="F12" s="326">
        <v>800</v>
      </c>
      <c r="H12" s="327" t="s">
        <v>246</v>
      </c>
      <c r="I12" s="358"/>
      <c r="J12" s="359"/>
      <c r="K12" s="365">
        <v>2700</v>
      </c>
      <c r="M12" s="361" t="s">
        <v>247</v>
      </c>
      <c r="N12" s="361">
        <f>'شماسي و كانتليفر'!K12</f>
        <v>2700</v>
      </c>
      <c r="O12" s="361"/>
      <c r="P12" s="357"/>
      <c r="R12" s="332"/>
      <c r="S12" s="313"/>
      <c r="T12" s="313"/>
      <c r="U12" s="313"/>
      <c r="V12" s="320" t="s">
        <v>241</v>
      </c>
      <c r="W12" s="320">
        <v>800</v>
      </c>
      <c r="X12" s="313"/>
      <c r="Y12" s="380" t="s">
        <v>246</v>
      </c>
      <c r="Z12" s="367"/>
      <c r="AA12" s="320"/>
      <c r="AB12" s="217">
        <f>Sheet2!B45</f>
        <v>2000</v>
      </c>
      <c r="AD12" s="380" t="s">
        <v>248</v>
      </c>
      <c r="AE12" s="380">
        <f>IF(تسعير!AG28="نصف جملة",((AE6+AE9+AE10+AE11+تسعير!AL28)*1.25),IF(تسعير!AG28="جملة",(((AE6+AE9+AE10+AE11+تسعير!AL28)*1.275)),((AE6+AE9+AE10+AE11+تسعير!AL28)*1.3)))</f>
        <v>22526.0625</v>
      </c>
      <c r="AF12" s="380"/>
      <c r="AG12" s="357"/>
    </row>
    <row r="13" ht="18">
      <c r="A13" s="318"/>
      <c r="E13" s="328" t="s">
        <v>249</v>
      </c>
      <c r="F13" s="329">
        <v>1200</v>
      </c>
      <c r="H13" s="330" t="s">
        <v>54</v>
      </c>
      <c r="I13" s="363"/>
      <c r="J13" s="363"/>
      <c r="K13" s="366">
        <f>SUBTOTAL(109,Table4[قيمة])</f>
        <v>3932</v>
      </c>
      <c r="M13" s="361" t="s">
        <v>248</v>
      </c>
      <c r="N13" s="361" t="e">
        <f>IF(تسعير!AI8="نصف جملة",((N6+N9+N10+N11+تسعير!AO8)*1.275),IF(تسعير!AI8="جملة",(((N6+N9+N10+N11+تسعير!AO8)*1.25)),((N6+N9+N10+N11+تسعير!AO8)*1.3)))</f>
        <v>#VALUE!</v>
      </c>
      <c r="O13" s="361"/>
      <c r="P13" s="357"/>
      <c r="R13" s="332"/>
      <c r="S13" s="313"/>
      <c r="T13" s="313"/>
      <c r="U13" s="313"/>
      <c r="V13" s="320" t="s">
        <v>245</v>
      </c>
      <c r="W13" s="320">
        <v>800</v>
      </c>
      <c r="X13" s="313"/>
      <c r="Y13" s="331" t="s">
        <v>250</v>
      </c>
      <c r="Z13" s="367">
        <v>8</v>
      </c>
      <c r="AA13" s="320">
        <v>100</v>
      </c>
      <c r="AB13" s="320">
        <f>Table424[[#This Row],[سعر الوحدة]]*Table424[[#This Row],[عدد/الشمسية]]</f>
        <v>800</v>
      </c>
      <c r="AG13" s="357"/>
    </row>
    <row r="14" ht="18">
      <c r="A14" s="318"/>
      <c r="H14" s="331"/>
      <c r="I14" s="367"/>
      <c r="J14" s="320"/>
      <c r="K14" s="320"/>
      <c r="M14" s="361"/>
      <c r="N14" s="361"/>
      <c r="O14" s="361"/>
      <c r="P14" s="357"/>
      <c r="R14" s="332"/>
      <c r="S14" s="313"/>
      <c r="T14" s="313"/>
      <c r="U14" s="313"/>
      <c r="V14" s="320" t="s">
        <v>249</v>
      </c>
      <c r="W14" s="320">
        <f>Sheet2!B54</f>
        <v>1200</v>
      </c>
      <c r="X14" s="313"/>
      <c r="Y14" s="331"/>
      <c r="Z14" s="367"/>
      <c r="AA14" s="320"/>
      <c r="AB14" s="320"/>
      <c r="AG14" s="357"/>
    </row>
    <row r="15" ht="18">
      <c r="A15" s="318"/>
      <c r="H15" s="314" t="s">
        <v>200</v>
      </c>
      <c r="I15" s="313" t="s">
        <v>251</v>
      </c>
      <c r="J15" s="313" t="s">
        <v>252</v>
      </c>
      <c r="K15" s="313" t="s">
        <v>253</v>
      </c>
      <c r="M15" s="361"/>
      <c r="N15" s="361"/>
      <c r="O15" s="361"/>
      <c r="P15" s="357"/>
      <c r="R15" s="332"/>
      <c r="S15" s="313"/>
      <c r="T15" s="313"/>
      <c r="U15" s="313"/>
      <c r="V15" s="314"/>
      <c r="W15" s="313"/>
      <c r="X15" s="313"/>
      <c r="Y15" s="331" t="s">
        <v>54</v>
      </c>
      <c r="Z15" s="320"/>
      <c r="AA15" s="320"/>
      <c r="AB15" s="320">
        <f>SUBTOTAL(109,Table424[قيمة])</f>
        <v>4830</v>
      </c>
      <c r="AG15" s="357"/>
    </row>
    <row r="16" ht="18">
      <c r="A16" s="318"/>
      <c r="E16" s="314" t="s">
        <v>9</v>
      </c>
      <c r="F16" s="314" t="s">
        <v>30</v>
      </c>
      <c r="H16" s="320" t="s">
        <v>254</v>
      </c>
      <c r="I16" s="547">
        <v>5.8</v>
      </c>
      <c r="J16" s="547">
        <v>8.6</v>
      </c>
      <c r="K16" s="547">
        <v>11.4</v>
      </c>
      <c r="M16" s="361"/>
      <c r="N16" s="361"/>
      <c r="O16" s="361"/>
      <c r="P16" s="357"/>
      <c r="R16" s="332"/>
      <c r="S16" s="313"/>
      <c r="T16" s="313"/>
      <c r="U16" s="313"/>
      <c r="V16" s="314"/>
      <c r="W16" s="313"/>
      <c r="X16" s="313"/>
      <c r="Y16" s="331"/>
      <c r="Z16" s="367"/>
      <c r="AA16" s="320"/>
      <c r="AB16" s="320"/>
      <c r="AG16" s="357"/>
    </row>
    <row r="17" ht="18">
      <c r="A17" s="332"/>
      <c r="E17" s="314" t="s">
        <v>255</v>
      </c>
      <c r="F17" s="313" t="s">
        <v>256</v>
      </c>
      <c r="H17" s="320" t="s">
        <v>257</v>
      </c>
      <c r="I17" s="547">
        <v>5.65</v>
      </c>
      <c r="J17" s="547" t="s">
        <v>258</v>
      </c>
      <c r="K17" s="547" t="s">
        <v>258</v>
      </c>
      <c r="P17" s="357"/>
      <c r="R17" s="332"/>
      <c r="V17" s="314" t="s">
        <v>9</v>
      </c>
      <c r="W17" s="313" t="s">
        <v>30</v>
      </c>
      <c r="X17" s="313"/>
      <c r="Y17" s="314" t="s">
        <v>200</v>
      </c>
      <c r="Z17" s="313" t="s">
        <v>251</v>
      </c>
      <c r="AA17" s="313" t="s">
        <v>252</v>
      </c>
      <c r="AB17" s="313" t="s">
        <v>253</v>
      </c>
      <c r="AG17" s="357"/>
    </row>
    <row r="18" ht="18">
      <c r="A18" s="332"/>
      <c r="E18" s="314" t="s">
        <v>259</v>
      </c>
      <c r="F18" s="313" t="s">
        <v>260</v>
      </c>
      <c r="H18" s="320" t="s">
        <v>261</v>
      </c>
      <c r="I18" s="547">
        <v>6.1</v>
      </c>
      <c r="J18" s="547" t="s">
        <v>258</v>
      </c>
      <c r="K18" s="547" t="s">
        <v>258</v>
      </c>
      <c r="N18" s="891" t="e">
        <f>N6+N9+N10+N11</f>
        <v>#VALUE!</v>
      </c>
      <c r="O18" s="891"/>
      <c r="P18" s="357"/>
      <c r="R18" s="332"/>
      <c r="V18" s="320" t="s">
        <v>255</v>
      </c>
      <c r="W18" s="331" t="s">
        <v>256</v>
      </c>
      <c r="X18" s="313"/>
      <c r="Y18" s="320" t="s">
        <v>173</v>
      </c>
      <c r="Z18" s="320">
        <v>10</v>
      </c>
      <c r="AA18" s="320">
        <v>13</v>
      </c>
      <c r="AB18" s="320">
        <v>16</v>
      </c>
      <c r="AG18" s="357"/>
    </row>
    <row r="19" ht="18">
      <c r="A19" s="332"/>
      <c r="E19" s="314" t="s">
        <v>262</v>
      </c>
      <c r="F19" s="313" t="s">
        <v>263</v>
      </c>
      <c r="H19" s="320" t="s">
        <v>264</v>
      </c>
      <c r="I19" s="547">
        <v>6.5</v>
      </c>
      <c r="J19" s="547" t="s">
        <v>258</v>
      </c>
      <c r="K19" s="547" t="s">
        <v>258</v>
      </c>
      <c r="N19" s="891"/>
      <c r="O19" s="891"/>
      <c r="P19" s="357"/>
      <c r="R19" s="332"/>
      <c r="V19" s="320" t="s">
        <v>259</v>
      </c>
      <c r="W19" s="331" t="s">
        <v>260</v>
      </c>
      <c r="X19" s="313"/>
      <c r="Y19" s="320" t="s">
        <v>215</v>
      </c>
      <c r="Z19" s="320">
        <v>16</v>
      </c>
      <c r="AA19" s="320">
        <v>20</v>
      </c>
      <c r="AB19" s="320">
        <v>24</v>
      </c>
      <c r="AG19" s="357"/>
    </row>
    <row r="20" ht="18">
      <c r="A20" s="332"/>
      <c r="F20" s="313" t="s">
        <v>265</v>
      </c>
      <c r="H20" s="320" t="s">
        <v>266</v>
      </c>
      <c r="I20" s="547">
        <v>7.5</v>
      </c>
      <c r="J20" s="547" t="s">
        <v>258</v>
      </c>
      <c r="K20" s="547" t="s">
        <v>258</v>
      </c>
      <c r="N20" s="891"/>
      <c r="O20" s="891"/>
      <c r="P20" s="357"/>
      <c r="R20" s="332"/>
      <c r="V20" s="320"/>
      <c r="W20" s="331" t="s">
        <v>263</v>
      </c>
      <c r="X20" s="313"/>
      <c r="Y20" s="320"/>
      <c r="Z20" s="320"/>
      <c r="AA20" s="320"/>
      <c r="AB20" s="320"/>
      <c r="AG20" s="357"/>
    </row>
    <row r="21" ht="18">
      <c r="A21" s="332"/>
      <c r="H21" s="320" t="s">
        <v>267</v>
      </c>
      <c r="I21" s="547">
        <v>7.1</v>
      </c>
      <c r="J21" s="547">
        <v>10.6</v>
      </c>
      <c r="K21" s="547">
        <v>14.1</v>
      </c>
      <c r="P21" s="357"/>
      <c r="R21" s="332"/>
      <c r="V21" s="314"/>
      <c r="W21" s="313"/>
      <c r="X21" s="313"/>
      <c r="Y21" s="320"/>
      <c r="Z21" s="320"/>
      <c r="AA21" s="320"/>
      <c r="AB21" s="320"/>
      <c r="AG21" s="357"/>
    </row>
    <row r="22" ht="18">
      <c r="A22" s="332"/>
      <c r="H22" s="320" t="s">
        <v>268</v>
      </c>
      <c r="I22" s="547">
        <v>8.5</v>
      </c>
      <c r="J22" s="547">
        <v>12.8</v>
      </c>
      <c r="K22" s="547">
        <v>17.1</v>
      </c>
      <c r="N22" s="891" t="e">
        <f>N18*1.8</f>
        <v>#VALUE!</v>
      </c>
      <c r="O22" s="891"/>
      <c r="P22" s="357"/>
      <c r="R22" s="332"/>
      <c r="AG22" s="357"/>
    </row>
    <row r="23" ht="18">
      <c r="A23" s="332"/>
      <c r="H23" s="320" t="s">
        <v>269</v>
      </c>
      <c r="I23" s="547">
        <v>9.4</v>
      </c>
      <c r="J23" s="547">
        <v>14</v>
      </c>
      <c r="K23" s="547">
        <v>18.5</v>
      </c>
      <c r="N23" s="891"/>
      <c r="O23" s="891"/>
      <c r="P23" s="357"/>
      <c r="R23" s="332"/>
      <c r="AG23" s="357"/>
    </row>
    <row r="24">
      <c r="A24" s="318"/>
      <c r="N24" s="891"/>
      <c r="O24" s="891"/>
      <c r="P24" s="357"/>
      <c r="R24" s="332"/>
      <c r="AG24" s="357"/>
    </row>
    <row r="25">
      <c r="A25" s="333"/>
      <c r="B25" s="334"/>
      <c r="C25" s="334"/>
      <c r="D25" s="334"/>
      <c r="E25" s="335"/>
      <c r="F25" s="334"/>
      <c r="G25" s="334"/>
      <c r="H25" s="334"/>
      <c r="I25" s="334"/>
      <c r="J25" s="334"/>
      <c r="K25" s="334"/>
      <c r="L25" s="368"/>
      <c r="M25" s="368"/>
      <c r="N25" s="368"/>
      <c r="O25" s="368"/>
      <c r="P25" s="369"/>
      <c r="R25" s="332"/>
      <c r="AG25" s="357"/>
    </row>
    <row r="26">
      <c r="A26" s="315"/>
      <c r="B26" s="316"/>
      <c r="C26" s="316"/>
      <c r="D26" s="316"/>
      <c r="E26" s="317"/>
      <c r="F26" s="316"/>
      <c r="G26" s="316"/>
      <c r="H26" s="316"/>
      <c r="I26" s="316"/>
      <c r="J26" s="316"/>
      <c r="K26" s="316"/>
      <c r="L26" s="351"/>
      <c r="M26" s="351"/>
      <c r="N26" s="351"/>
      <c r="O26" s="351"/>
      <c r="P26" s="352"/>
      <c r="R26" s="332"/>
      <c r="V26" s="368"/>
      <c r="W26" s="368"/>
      <c r="X26" s="368"/>
      <c r="Y26" s="368"/>
      <c r="Z26" s="368"/>
      <c r="AA26" s="368"/>
      <c r="AB26" s="368"/>
      <c r="AC26" s="368"/>
      <c r="AD26" s="368"/>
      <c r="AE26" s="368"/>
      <c r="AF26" s="368"/>
      <c r="AG26" s="369"/>
    </row>
    <row r="27">
      <c r="A27" s="336" t="s">
        <v>28</v>
      </c>
      <c r="B27" s="337" t="s">
        <v>201</v>
      </c>
      <c r="C27" s="337" t="s">
        <v>29</v>
      </c>
      <c r="D27" s="337" t="s">
        <v>270</v>
      </c>
      <c r="E27" s="338" t="s">
        <v>171</v>
      </c>
      <c r="F27" s="337" t="s">
        <v>271</v>
      </c>
      <c r="G27" s="337" t="s">
        <v>165</v>
      </c>
      <c r="H27" s="337"/>
      <c r="I27" s="337"/>
      <c r="J27" s="337"/>
      <c r="K27" s="337"/>
      <c r="L27" s="370"/>
      <c r="M27" s="370"/>
      <c r="N27" s="370"/>
      <c r="O27" s="370"/>
      <c r="P27" s="370"/>
      <c r="Q27" s="370"/>
      <c r="R27" s="370"/>
      <c r="S27" s="370"/>
      <c r="T27" s="370"/>
      <c r="U27" s="376"/>
    </row>
    <row r="28" ht="20.25" customHeight="1">
      <c r="A28" s="339">
        <f>IF((تسعير!T53="بالتات"),0,(تسعير!T47+1))</f>
        <v>0</v>
      </c>
      <c r="B28" s="320">
        <v>70</v>
      </c>
      <c r="C28" s="568" t="s">
        <v>272</v>
      </c>
      <c r="D28" s="320">
        <f>Sheet2!B12/1000</f>
        <v>45</v>
      </c>
      <c r="E28" s="314">
        <f>Table12[[#This Row],[سعر]]*Table12[[#This Row],[ميزان]]*Table12[[#This Row],[عدد]]</f>
        <v>0</v>
      </c>
      <c r="F28" s="313">
        <f>16*3.14*Table12[[#This Row],[عدد]]*0.05</f>
        <v>0</v>
      </c>
      <c r="G28" s="313">
        <f>Table12[[#This Row],[ميزان]]*Table12[[#This Row],[عدد]]</f>
        <v>0</v>
      </c>
      <c r="U28" s="377"/>
    </row>
    <row r="29" ht="35.25" customHeight="1">
      <c r="A29" s="339">
        <f>IF((تسعير!T53="بالتات"),(تسعير!T47+1),0)</f>
        <v>2</v>
      </c>
      <c r="B29" s="320">
        <v>62</v>
      </c>
      <c r="C29" s="331" t="s">
        <v>273</v>
      </c>
      <c r="D29" s="320">
        <f>Sheet2!B12/1000</f>
        <v>45</v>
      </c>
      <c r="E29" s="314">
        <f>Table12[[#This Row],[سعر]]*Table12[[#This Row],[ميزان]]*Table12[[#This Row],[عدد]]</f>
        <v>5580</v>
      </c>
      <c r="F29" s="340">
        <f>16*3.14*Table12[[#This Row],[عدد]]*0.04</f>
        <v>4.0192000000000006</v>
      </c>
      <c r="G29" s="313">
        <f>Table12[[#This Row],[ميزان]]*Table12[[#This Row],[عدد]]</f>
        <v>124</v>
      </c>
      <c r="I29" s="216"/>
      <c r="J29" s="216"/>
      <c r="K29" s="217"/>
      <c r="L29" s="885" t="s">
        <v>132</v>
      </c>
      <c r="M29" s="885"/>
      <c r="N29" s="885"/>
      <c r="O29" s="885"/>
      <c r="P29" s="885"/>
      <c r="Q29" s="885"/>
      <c r="R29" s="216"/>
      <c r="S29" s="216"/>
      <c r="T29" s="216"/>
      <c r="U29" s="377"/>
    </row>
    <row r="30" ht="35.25" customHeight="1">
      <c r="A30" s="339">
        <f>A28+A29</f>
        <v>2</v>
      </c>
      <c r="B30" s="320">
        <v>28</v>
      </c>
      <c r="C30" s="331" t="s">
        <v>274</v>
      </c>
      <c r="D30" s="320">
        <f>Sheet2!B12/1000</f>
        <v>45</v>
      </c>
      <c r="E30" s="314">
        <f>Table12[[#This Row],[سعر]]*Table12[[#This Row],[ميزان]]*Table12[[#This Row],[عدد]]</f>
        <v>2520</v>
      </c>
      <c r="F30" s="313">
        <f>3*6*Table12[[#This Row],[عدد]]/10</f>
        <v>3.6</v>
      </c>
      <c r="G30" s="313">
        <f>Table12[[#This Row],[ميزان]]*Table12[[#This Row],[عدد]]</f>
        <v>56</v>
      </c>
      <c r="I30" s="211" t="s">
        <v>275</v>
      </c>
      <c r="J30" s="218" t="s">
        <v>29</v>
      </c>
      <c r="K30" s="211" t="s">
        <v>133</v>
      </c>
      <c r="L30" s="211" t="s">
        <v>12</v>
      </c>
      <c r="M30" s="211" t="s">
        <v>134</v>
      </c>
      <c r="N30" s="211" t="s">
        <v>135</v>
      </c>
      <c r="O30" s="211" t="s">
        <v>61</v>
      </c>
      <c r="P30" s="211" t="s">
        <v>136</v>
      </c>
      <c r="Q30" s="211" t="s">
        <v>137</v>
      </c>
      <c r="R30" s="245" t="s">
        <v>36</v>
      </c>
      <c r="S30" s="211" t="s">
        <v>37</v>
      </c>
      <c r="U30" s="377"/>
    </row>
    <row r="31" ht="35.25" customHeight="1">
      <c r="A31" s="339">
        <f>A30</f>
        <v>2</v>
      </c>
      <c r="B31" s="320">
        <v>19</v>
      </c>
      <c r="C31" s="568" t="s">
        <v>276</v>
      </c>
      <c r="D31" s="320">
        <f>(Sheet2!B12/1000)+17</f>
        <v>62</v>
      </c>
      <c r="E31" s="314">
        <f>Table12[[#This Row],[سعر]]*Table12[[#This Row],[ميزان]]*Table12[[#This Row],[عدد]]</f>
        <v>2356</v>
      </c>
      <c r="F31" s="313">
        <f>16*3.14*Table12[[#This Row],[عدد]]</f>
        <v>100.48</v>
      </c>
      <c r="I31" s="212">
        <v>4</v>
      </c>
      <c r="J31" s="371" t="s">
        <v>138</v>
      </c>
      <c r="K31" s="211">
        <f>IF((Table161243[[#This Row],[موقع العمل]]="المصنع"),280,IF((Table161243[[#This Row],[موقع العمل]]="الاسكندرية"),320,400))</f>
        <v>280</v>
      </c>
      <c r="L31" s="211">
        <f>SUMIF(Table17[Column1],Table161243[[#This Row],[موقع العمل]],Table17[بدل الوجبة])</f>
        <v>0</v>
      </c>
      <c r="M31" s="211" t="s">
        <v>139</v>
      </c>
      <c r="N31" s="214" t="s">
        <v>39</v>
      </c>
      <c r="O31" s="216"/>
      <c r="P31" s="219">
        <f>IF(AND((تسعير!T47&gt;=1),(4&gt;تسعير!T47)),1,IF(AND((تسعير!T47&gt;=4),(8&gt;تسعير!T47)),2,IF(AND((تسعير!T47&gt;=8),(12&gt;تسعير!T47)),3,IF((تسعير!T47&gt;12),4,0))))</f>
        <v>1</v>
      </c>
      <c r="Q31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1" s="240">
        <f>Table161243[[#This Row],[الايام]]*Q31</f>
        <v>1120</v>
      </c>
      <c r="S31" s="241" t="e">
        <f ref="S31:S43" t="shared" si="2">(R31)/$G$84</f>
        <v>#DIV/0!</v>
      </c>
      <c r="U31" s="377"/>
    </row>
    <row r="32" ht="35.25" customHeight="1">
      <c r="A32" s="339">
        <f>IF((تسعير!T54&lt;=300),3,IF(AND((تسعير!T54&gt;300),(تسعير!T47=1)),4,IF(AND((تسعير!T54&gt;300),(تسعير!T47&gt;1),(تسعير!T47&lt;4)),(4+((تسعير!T47-1)*2)),IF(AND((تسعير!T54&gt;300),(تسعير!T47&gt;=4),(تسعير!T47&lt;7)),(6+((تسعير!T47-1)*2)),0))))</f>
        <v>4</v>
      </c>
      <c r="B32" s="320">
        <v>23</v>
      </c>
      <c r="C32" s="331" t="s">
        <v>277</v>
      </c>
      <c r="D32" s="320">
        <f>(Sheet2!B12/1000)+17</f>
        <v>62</v>
      </c>
      <c r="E32" s="314">
        <f>Table12[[#This Row],[سعر]]*Table12[[#This Row],[ميزان]]*Table12[[#This Row],[عدد]]</f>
        <v>5704</v>
      </c>
      <c r="I32" s="212">
        <v>2</v>
      </c>
      <c r="J32" s="371" t="s">
        <v>140</v>
      </c>
      <c r="K32" s="211">
        <f>IF((Table161243[[#This Row],[موقع العمل]]="المصنع"),280,IF((Table161243[[#This Row],[موقع العمل]]="الاسكندرية"),320,400))</f>
        <v>280</v>
      </c>
      <c r="L32" s="211">
        <f>SUMIF(Table17[Column1],Table161243[[#This Row],[موقع العمل]],Table17[بدل الوجبة])</f>
        <v>0</v>
      </c>
      <c r="M32" s="211" t="s">
        <v>139</v>
      </c>
      <c r="N32" s="214" t="s">
        <v>39</v>
      </c>
      <c r="O32" s="216"/>
      <c r="P32" s="219">
        <f>IF(AND((تسعير!T47&gt;=1),(4&gt;تسعير!T47)),1,IF(AND((تسعير!T47&gt;=4),(8&gt;تسعير!T47)),2,IF(AND((تسعير!T47&gt;=8),(12&gt;تسعير!T47)),3,IF((تسعير!T47&gt;12),4,0))))</f>
        <v>1</v>
      </c>
      <c r="Q32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280</v>
      </c>
      <c r="R32" s="240">
        <f>Table161243[[#This Row],[الايام]]*Q32</f>
        <v>560</v>
      </c>
      <c r="S32" s="241" t="e">
        <f t="shared" si="2"/>
        <v>#DIV/0!</v>
      </c>
      <c r="U32" s="377"/>
    </row>
    <row r="33" ht="35.25" customHeight="1">
      <c r="A33" s="339">
        <f>A30</f>
        <v>2</v>
      </c>
      <c r="B33" s="320">
        <v>1</v>
      </c>
      <c r="C33" s="331" t="s">
        <v>278</v>
      </c>
      <c r="D33" s="320">
        <f>Sheet2!B50</f>
        <v>120</v>
      </c>
      <c r="E33" s="314">
        <f>Table12[[#This Row],[سعر]]*Table12[[#This Row],[ميزان]]*Table12[[#This Row],[عدد]]</f>
        <v>240</v>
      </c>
      <c r="I33" s="212">
        <v>3</v>
      </c>
      <c r="J33" s="371" t="s">
        <v>141</v>
      </c>
      <c r="K33" s="211">
        <f>IF((Table161243[[#This Row],[موقع العمل]]="المصنع"),280,IF((Table161243[[#This Row],[موقع العمل]]="الاسكندرية"),320,400))</f>
        <v>280</v>
      </c>
      <c r="L33" s="211">
        <f>SUMIF(Table17[Column1],Table161243[[#This Row],[موقع العمل]],Table17[بدل الوجبة])</f>
        <v>0</v>
      </c>
      <c r="M33" s="211" t="s">
        <v>139</v>
      </c>
      <c r="N33" s="214" t="s">
        <v>39</v>
      </c>
      <c r="O33" s="216"/>
      <c r="P33" s="219">
        <f>IF(AND((تسعير!T47&gt;=1),(4&gt;تسعير!T47)),2,IF(AND((تسعير!T47&gt;=4),(8&gt;تسعير!T47)),3,IF(AND((تسعير!T47&gt;=8),(12&gt;تسعير!T47)),4,IF((تسعير!T47&gt;12),5,0))))</f>
        <v>2</v>
      </c>
      <c r="Q33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560</v>
      </c>
      <c r="R33" s="240">
        <f>Table161243[[#This Row],[الايام]]*Q33</f>
        <v>1680</v>
      </c>
      <c r="S33" s="241" t="e">
        <f t="shared" si="2"/>
        <v>#DIV/0!</v>
      </c>
      <c r="U33" s="377"/>
    </row>
    <row r="34" ht="35.25" customHeight="1">
      <c r="A34" s="339">
        <f>(A31+A32)*2</f>
        <v>12</v>
      </c>
      <c r="B34" s="320">
        <v>1</v>
      </c>
      <c r="C34" s="331" t="s">
        <v>279</v>
      </c>
      <c r="D34" s="320">
        <f>Sheet2!B51</f>
        <v>120</v>
      </c>
      <c r="E34" s="314">
        <f>Table12[[#This Row],[سعر]]*Table12[[#This Row],[ميزان]]*Table12[[#This Row],[عدد]]</f>
        <v>1440</v>
      </c>
      <c r="I34" s="212">
        <v>0</v>
      </c>
      <c r="J34" s="371" t="s">
        <v>142</v>
      </c>
      <c r="K34" s="211">
        <f>IF((Table161243[[#This Row],[موقع العمل]]="المصنع"),280,IF((Table161243[[#This Row],[موقع العمل]]="الاسكندرية"),320,400))</f>
        <v>280</v>
      </c>
      <c r="L34" s="211">
        <f>SUMIF(Table17[Column1],Table161243[[#This Row],[موقع العمل]],Table17[بدل الوجبة])</f>
        <v>0</v>
      </c>
      <c r="M34" s="211" t="s">
        <v>139</v>
      </c>
      <c r="N34" s="214" t="s">
        <v>39</v>
      </c>
      <c r="O34" s="216"/>
      <c r="P34" s="212">
        <v>0</v>
      </c>
      <c r="Q34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4" s="240">
        <f>Table161243[[#This Row],[الايام]]*Q34</f>
        <v>0</v>
      </c>
      <c r="S34" s="241" t="e">
        <f t="shared" si="2"/>
        <v>#DIV/0!</v>
      </c>
      <c r="U34" s="377"/>
    </row>
    <row r="35" ht="35.25" customHeight="1">
      <c r="A35" s="339">
        <f>تسعير!T47*4</f>
        <v>4</v>
      </c>
      <c r="B35" s="320">
        <v>1</v>
      </c>
      <c r="C35" s="331" t="s">
        <v>280</v>
      </c>
      <c r="D35" s="320">
        <f>Sheet2!B53</f>
        <v>70</v>
      </c>
      <c r="E35" s="314">
        <f>Table12[[#This Row],[سعر]]*Table12[[#This Row],[ميزان]]*Table12[[#This Row],[عدد]]</f>
        <v>280</v>
      </c>
      <c r="I35" s="212">
        <v>4</v>
      </c>
      <c r="J35" s="371" t="s">
        <v>143</v>
      </c>
      <c r="K35" s="211">
        <f>IF((Table161243[[#This Row],[موقع العمل]]="المصنع"),280,IF((Table161243[[#This Row],[موقع العمل]]="الاسكندرية"),320,400))</f>
        <v>400</v>
      </c>
      <c r="L35" s="211">
        <f>SUMIF(Table17[Column1],Table161243[[#This Row],[موقع العمل]],Table17[بدل الوجبة])</f>
        <v>100</v>
      </c>
      <c r="M35" s="211" t="str">
        <f>تسعير!$T$45</f>
        <v>الشيخ زايد</v>
      </c>
      <c r="N35" s="214" t="s">
        <v>39</v>
      </c>
      <c r="O35" s="216"/>
      <c r="P35" s="212">
        <f>IF(AND((تسعير!T47&gt;=1),(4&gt;تسعير!T47),(تسعير!T53="بالتات")),1,IF(AND((تسعير!T47&gt;=4),(8&gt;تسعير!T47),(تسعير!T53="بالتات")),2,IF(AND((تسعير!T47&gt;=8),(12&gt;تسعير!T47),(تسعير!T53="بالتات")),3,IF(AND((تسعير!T47&gt;12),(تسعير!T53="بالتات")),4,IF(AND((تسعير!T47&gt;=1),(4&gt;تسعير!T47),(تسعير!T53="قواعد عادية")),1,IF(AND((تسعير!T47&gt;=4),(8&gt;تسعير!T47),(تسعير!T53="قواعد عادية")),2,IF(AND((تسعير!T47&gt;=8),(12&gt;تسعير!T47),(تسعير!T53="قواعد عادية")),3,IF(AND((تسعير!T47&gt;12),(تسعير!T53="قواعد عادية")),4,0))))))))</f>
        <v>1</v>
      </c>
      <c r="Q35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5" s="240">
        <f>Table161243[[#This Row],[الايام]]*Q35</f>
        <v>2000</v>
      </c>
      <c r="S35" s="241" t="e">
        <f t="shared" si="2"/>
        <v>#DIV/0!</v>
      </c>
      <c r="U35" s="377"/>
    </row>
    <row r="36" ht="35.25" customHeight="1">
      <c r="A36" s="339">
        <f>IF((تسعير!T54&lt;=250),((300)*(تسعير!T55+50)/10000),IF(AND((تسعير!T54&gt;250),(تسعير!T55&gt;250),(تسعير!T47&lt;4)),((600)*(تسعير!T54+50)/10000),IF(AND((تسعير!T54&gt;250),(تسعير!T55&gt;250),(تسعير!T47&gt;=4),(تسعير!T47&lt;7)),((600)*(تسعير!T54+100)/10000),0)))</f>
        <v>33</v>
      </c>
      <c r="B36" s="320">
        <v>1</v>
      </c>
      <c r="C36" s="331" t="s">
        <v>281</v>
      </c>
      <c r="D36" s="320">
        <f>Sheet2!B47</f>
        <v>125</v>
      </c>
      <c r="E36" s="314">
        <f>Table12[[#This Row],[سعر]]*Table12[[#This Row],[ميزان]]*Table12[[#This Row],[عدد]]</f>
        <v>4125</v>
      </c>
      <c r="I36" s="212">
        <v>3</v>
      </c>
      <c r="J36" s="371" t="s">
        <v>144</v>
      </c>
      <c r="K36" s="211">
        <f>IF((Table161243[[#This Row],[موقع العمل]]="المصنع"),280,IF((Table161243[[#This Row],[موقع العمل]]="الاسكندرية"),320,400))</f>
        <v>400</v>
      </c>
      <c r="L36" s="211">
        <f>SUMIF(Table17[Column1],Table161243[[#This Row],[موقع العمل]],Table17[بدل الوجبة])</f>
        <v>100</v>
      </c>
      <c r="M36" s="211" t="str">
        <f>تسعير!$T$45</f>
        <v>الشيخ زايد</v>
      </c>
      <c r="N36" s="214" t="s">
        <v>39</v>
      </c>
      <c r="O36" s="216"/>
      <c r="P36" s="212">
        <f>IF(AND((تسعير!T47&gt;=1),(4&gt;تسعير!T47)),2,IF(AND((تسعير!T47&gt;=4),(8&gt;تسعير!T47)),3,IF(AND((تسعير!T47&gt;=8),(12&gt;تسعير!T47)),4,IF((تسعير!T47&gt;12),5,0))))</f>
        <v>2</v>
      </c>
      <c r="Q36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1000</v>
      </c>
      <c r="R36" s="240">
        <f>Table161243[[#This Row],[الايام]]*Q36</f>
        <v>3000</v>
      </c>
      <c r="S36" s="241" t="e">
        <f t="shared" si="2"/>
        <v>#DIV/0!</v>
      </c>
      <c r="U36" s="377"/>
    </row>
    <row r="37" ht="35.25" customHeight="1">
      <c r="A37" s="341">
        <f>IF((تسعير!T46="A"),Table12[[#This Row],[Column7]],IF((تسعير!T46="B"),Table12[[#This Row],[Column6]]))</f>
        <v>3.3</v>
      </c>
      <c r="B37" s="320">
        <v>1</v>
      </c>
      <c r="C37" s="331" t="s">
        <v>111</v>
      </c>
      <c r="D37" s="320">
        <f>Sheet2!B27</f>
        <v>510</v>
      </c>
      <c r="E37" s="342">
        <f>Table12[[#This Row],[سعر]]*Table12[[#This Row],[ميزان]]*Table12[[#This Row],[عدد]]</f>
        <v>1683</v>
      </c>
      <c r="F37" s="313">
        <f>ROUND((Table12[[#This Row],[Column7]]*1.8),1)</f>
        <v>5.9</v>
      </c>
      <c r="G37" s="343">
        <f>ROUND((F29+F30+F28+F48+F52)*0.4,1)</f>
        <v>3.3</v>
      </c>
      <c r="I37" s="212">
        <v>3</v>
      </c>
      <c r="J37" s="371" t="s">
        <v>145</v>
      </c>
      <c r="K37" s="211">
        <f>IF((Table161243[[#This Row],[موقع العمل]]="المصنع"),280,IF((Table161243[[#This Row],[موقع العمل]]="الاسكندرية"),320,400))</f>
        <v>400</v>
      </c>
      <c r="L37" s="211">
        <f>SUMIF(Table17[Column1],Table161243[[#This Row],[موقع العمل]],Table17[بدل الوجبة])</f>
        <v>100</v>
      </c>
      <c r="M37" s="211" t="str">
        <f>تسعير!$T$45</f>
        <v>الشيخ زايد</v>
      </c>
      <c r="N37" s="214" t="s">
        <v>39</v>
      </c>
      <c r="O37" s="216"/>
      <c r="P37" s="212">
        <f>IF(AND((تسعير!T47&gt;=1),(4&gt;تسعير!T47)),1,IF(AND((تسعير!T47&gt;=4),(8&gt;تسعير!T47)),2,IF(AND((تسعير!T47&gt;=8),(12&gt;تسعير!T47)),3,IF((تسعير!T47&gt;12),4,0))))</f>
        <v>1</v>
      </c>
      <c r="Q37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500</v>
      </c>
      <c r="R37" s="240">
        <f>Table161243[[#This Row],[الايام]]*Q37</f>
        <v>1500</v>
      </c>
      <c r="S37" s="241" t="e">
        <f t="shared" si="2"/>
        <v>#DIV/0!</v>
      </c>
      <c r="U37" s="377"/>
    </row>
    <row r="38" ht="35.25" customHeight="1">
      <c r="A38" s="341">
        <f>IF((تسعير!T46="A"),Table12[[#This Row],[Column7]],IF((تسعير!T46="B"),Table12[[#This Row],[Column6]]))</f>
        <v>3.3</v>
      </c>
      <c r="B38" s="320">
        <v>1</v>
      </c>
      <c r="C38" s="331" t="s">
        <v>110</v>
      </c>
      <c r="D38" s="320">
        <f>Sheet2!B26</f>
        <v>220</v>
      </c>
      <c r="E38" s="342">
        <f>Table12[[#This Row],[سعر]]*Table12[[#This Row],[ميزان]]*Table12[[#This Row],[عدد]]</f>
        <v>726</v>
      </c>
      <c r="F38" s="313">
        <f>ROUND((Table12[[#This Row],[Column7]]*1.8),1)</f>
        <v>5.9</v>
      </c>
      <c r="G38" s="343">
        <f>ROUND((F29+F30+F28+F48+F52)*0.4,1)</f>
        <v>3.3</v>
      </c>
      <c r="I38" s="212">
        <v>0</v>
      </c>
      <c r="J38" s="371" t="s">
        <v>146</v>
      </c>
      <c r="K38" s="211">
        <f>IF((Table161243[[#This Row],[موقع العمل]]="المصنع"),280,IF((Table161243[[#This Row],[موقع العمل]]="الاسكندرية"),320,400))</f>
        <v>400</v>
      </c>
      <c r="L38" s="211">
        <f>SUMIF(Table17[Column1],Table161243[[#This Row],[موقع العمل]],Table17[بدل الوجبة])</f>
        <v>100</v>
      </c>
      <c r="M38" s="211" t="str">
        <f>تسعير!$T$45</f>
        <v>الشيخ زايد</v>
      </c>
      <c r="N38" s="214" t="s">
        <v>39</v>
      </c>
      <c r="O38" s="216"/>
      <c r="P38" s="212">
        <v>0</v>
      </c>
      <c r="Q38" s="243">
        <f>IF(Table161243[[#This Row],[عدد الايام]]=0,0,IF((Table161243[[#This Row],[شيفت العمل]]="صباحي"),((Table161243[[#This Row],[بدل الوجبة]]+Table161243[[#This Row],[اليومية / الاجرة]])*Table161243[[#This Row],[عدد الايام]]),IF((Table161243[[#This Row],[شيفت العمل]]="ليلي"),(((Table161243[[#This Row],[بدل الوجبة]]+Table161243[[#This Row],[اليومية / الاجرة]])*Table161243[[#This Row],[عدد الايام]])+Table161243[[#This Row],[اليومية / الاجرة]]),"ERROR")))</f>
        <v>0</v>
      </c>
      <c r="R38" s="240">
        <f>Table161243[[#This Row],[الايام]]*Q38</f>
        <v>0</v>
      </c>
      <c r="S38" s="241" t="e">
        <f t="shared" si="2"/>
        <v>#DIV/0!</v>
      </c>
      <c r="U38" s="377"/>
    </row>
    <row r="39" ht="35.25" customHeight="1">
      <c r="A39" s="341">
        <f>IF((تسعير!T46="A"),Table12[[#This Row],[Column7]],IF((تسعير!T46="B"),Table12[[#This Row],[Column6]]))</f>
        <v>3.3</v>
      </c>
      <c r="B39" s="320">
        <v>1</v>
      </c>
      <c r="C39" s="331" t="s">
        <v>45</v>
      </c>
      <c r="D39" s="320">
        <f>Sheet2!B26</f>
        <v>220</v>
      </c>
      <c r="E39" s="342">
        <f>Table12[[#This Row],[سعر]]*Table12[[#This Row],[ميزان]]*Table12[[#This Row],[عدد]]</f>
        <v>726</v>
      </c>
      <c r="F39" s="313">
        <f>ROUND((Table12[[#This Row],[Column7]]*1.8),1)</f>
        <v>5.9</v>
      </c>
      <c r="G39" s="343">
        <f>ROUND((F29+F30+F28+F48+F52)*0.4,1)</f>
        <v>3.3</v>
      </c>
      <c r="I39" s="212">
        <f>(I35+I36+I37+I38)*2</f>
        <v>20</v>
      </c>
      <c r="J39" s="371" t="s">
        <v>147</v>
      </c>
      <c r="K39" s="211"/>
      <c r="L39" s="211"/>
      <c r="M39" s="211" t="str">
        <f>تسعير!$T$45</f>
        <v>الشيخ زايد</v>
      </c>
      <c r="N39" s="214"/>
      <c r="O39" s="247">
        <f>SUMIF(Table17[Column1],Table161243[[#This Row],[موقع العمل]],Table17[خارجي])</f>
        <v>400</v>
      </c>
      <c r="P39" s="247"/>
      <c r="Q39" s="243">
        <f>Table161243[[#This Row],[Column12]]</f>
        <v>400</v>
      </c>
      <c r="R39" s="240">
        <f ref="R39:R43" t="shared" si="3">I39*Q39</f>
        <v>8000</v>
      </c>
      <c r="S39" s="241" t="e">
        <f t="shared" si="2"/>
        <v>#DIV/0!</v>
      </c>
      <c r="U39" s="377"/>
    </row>
    <row r="40" ht="35.25" customHeight="1">
      <c r="A40" s="341">
        <f>ROUND((F29+F30+F28)*0.4/3,0)</f>
        <v>1</v>
      </c>
      <c r="B40" s="320">
        <v>1</v>
      </c>
      <c r="C40" s="331" t="s">
        <v>107</v>
      </c>
      <c r="D40" s="320">
        <f>Sheet2!B24</f>
        <v>400</v>
      </c>
      <c r="E40" s="342">
        <f>Table12[[#This Row],[سعر]]*Table12[[#This Row],[ميزان]]*Table12[[#This Row],[عدد]]</f>
        <v>400</v>
      </c>
      <c r="I40" s="212">
        <f>((P35+P36+P37+P38)*2)-2</f>
        <v>6</v>
      </c>
      <c r="J40" s="371" t="s">
        <v>148</v>
      </c>
      <c r="K40" s="211"/>
      <c r="L40" s="211"/>
      <c r="M40" s="211" t="str">
        <f>تسعير!$T$45</f>
        <v>الشيخ زايد</v>
      </c>
      <c r="N40" s="214"/>
      <c r="O40" s="247">
        <f>SUMIF(Table17[Column1],Table161243[[#This Row],[موقع العمل]],Table17[داخلي])</f>
        <v>400</v>
      </c>
      <c r="P40" s="247"/>
      <c r="Q40" s="243">
        <f>Table161243[[#This Row],[Column12]]</f>
        <v>400</v>
      </c>
      <c r="R40" s="240">
        <f t="shared" si="3"/>
        <v>2400</v>
      </c>
      <c r="S40" s="241" t="e">
        <f t="shared" si="2"/>
        <v>#DIV/0!</v>
      </c>
      <c r="U40" s="377"/>
    </row>
    <row r="41" ht="35.25" customHeight="1">
      <c r="A41" s="341">
        <f>(A28+A30+A29)*5</f>
        <v>20</v>
      </c>
      <c r="B41" s="320">
        <v>1</v>
      </c>
      <c r="C41" s="331" t="s">
        <v>100</v>
      </c>
      <c r="D41" s="320">
        <f>Sheet2!B48</f>
        <v>25</v>
      </c>
      <c r="E41" s="342">
        <f>Table12[[#This Row],[سعر]]*Table12[[#This Row],[ميزان]]*Table12[[#This Row],[عدد]]</f>
        <v>500</v>
      </c>
      <c r="I41" s="212">
        <v>2</v>
      </c>
      <c r="J41" s="371" t="s">
        <v>149</v>
      </c>
      <c r="K41" s="211"/>
      <c r="L41" s="211"/>
      <c r="M41" s="211" t="str">
        <f>تسعير!$T$45</f>
        <v>الشيخ زايد</v>
      </c>
      <c r="N41" s="214"/>
      <c r="O41" s="247">
        <f>SUMIF(Table17[Column1],Table161243[[#This Row],[موقع العمل]],Table17[دبابة])</f>
        <v>3500</v>
      </c>
      <c r="P41" s="247"/>
      <c r="Q41" s="243">
        <f>Table161243[[#This Row],[Column12]]</f>
        <v>3500</v>
      </c>
      <c r="R41" s="240">
        <f t="shared" si="3"/>
        <v>7000</v>
      </c>
      <c r="S41" s="241" t="e">
        <f t="shared" si="2"/>
        <v>#DIV/0!</v>
      </c>
      <c r="U41" s="377"/>
    </row>
    <row r="42" ht="35.25" customHeight="1">
      <c r="A42" s="341">
        <f>(A28+A30+A29)*5</f>
        <v>20</v>
      </c>
      <c r="B42" s="320">
        <v>1</v>
      </c>
      <c r="C42" s="331" t="s">
        <v>102</v>
      </c>
      <c r="D42" s="320">
        <f>Sheet2!B48</f>
        <v>25</v>
      </c>
      <c r="E42" s="342">
        <f>Table12[[#This Row],[سعر]]*Table12[[#This Row],[ميزان]]*Table12[[#This Row],[عدد]]</f>
        <v>500</v>
      </c>
      <c r="I42" s="212">
        <v>2</v>
      </c>
      <c r="J42" s="371" t="s">
        <v>150</v>
      </c>
      <c r="K42" s="211"/>
      <c r="L42" s="211"/>
      <c r="M42" s="211" t="str">
        <f>تسعير!$T$45</f>
        <v>الشيخ زايد</v>
      </c>
      <c r="N42" s="214"/>
      <c r="O42" s="247">
        <f>SUMIF(Table17[Column1],Table161243[[#This Row],[موقع العمل]],Table17[جامبو])</f>
        <v>6000</v>
      </c>
      <c r="P42" s="247"/>
      <c r="Q42" s="243">
        <f>Table161243[[#This Row],[Column12]]</f>
        <v>6000</v>
      </c>
      <c r="R42" s="240">
        <f t="shared" si="3"/>
        <v>12000</v>
      </c>
      <c r="S42" s="241" t="e">
        <f t="shared" si="2"/>
        <v>#DIV/0!</v>
      </c>
      <c r="U42" s="377"/>
    </row>
    <row r="43" ht="35.25" customHeight="1">
      <c r="A43" s="341">
        <f>A28+A29+A30</f>
        <v>4</v>
      </c>
      <c r="B43" s="320">
        <v>1</v>
      </c>
      <c r="C43" s="331" t="s">
        <v>103</v>
      </c>
      <c r="D43" s="320">
        <v>25</v>
      </c>
      <c r="E43" s="342">
        <f>Table12[[#This Row],[سعر]]*Table12[[#This Row],[ميزان]]*Table12[[#This Row],[عدد]]</f>
        <v>100</v>
      </c>
      <c r="I43" s="212">
        <f>I40</f>
        <v>6</v>
      </c>
      <c r="J43" s="371" t="s">
        <v>15</v>
      </c>
      <c r="K43" s="211"/>
      <c r="L43" s="211"/>
      <c r="M43" s="211" t="str">
        <f>تسعير!$T$45</f>
        <v>الشيخ زايد</v>
      </c>
      <c r="N43" s="214"/>
      <c r="O43" s="247">
        <f>SUMIF(Table17[Column1],Table161243[[#This Row],[موقع العمل]],Table17[الاقامة])</f>
        <v>150</v>
      </c>
      <c r="P43" s="247"/>
      <c r="Q43" s="243">
        <f>Table161243[[#This Row],[Column12]]</f>
        <v>150</v>
      </c>
      <c r="R43" s="240">
        <f t="shared" si="3"/>
        <v>900</v>
      </c>
      <c r="S43" s="241" t="e">
        <f t="shared" si="2"/>
        <v>#DIV/0!</v>
      </c>
      <c r="U43" s="377"/>
    </row>
    <row r="44" ht="35.25" customHeight="1">
      <c r="A44" s="341">
        <f>(A28+A30+A29)*1</f>
        <v>4</v>
      </c>
      <c r="B44" s="320">
        <v>1</v>
      </c>
      <c r="C44" s="331" t="s">
        <v>105</v>
      </c>
      <c r="D44" s="320">
        <f>Sheet2!B48</f>
        <v>25</v>
      </c>
      <c r="E44" s="342">
        <f>Table12[[#This Row],[سعر]]*Table12[[#This Row],[ميزان]]*Table12[[#This Row],[عدد]]</f>
        <v>100</v>
      </c>
      <c r="I44" s="571"/>
      <c r="J44" s="550" t="s">
        <v>54</v>
      </c>
      <c r="K44" s="572"/>
      <c r="L44" s="572"/>
      <c r="M44" s="573"/>
      <c r="N44" s="573"/>
      <c r="O44" s="574">
        <f>SUBTOTAL(109,Table161243[Column12])</f>
        <v>10450</v>
      </c>
      <c r="P44" s="572"/>
      <c r="Q44" s="242"/>
      <c r="R44" s="575">
        <f>SUBTOTAL(109,Table161243[اجمالي])</f>
        <v>40160</v>
      </c>
      <c r="S44" s="576" t="e">
        <f>Table161243[[#Totals],[اجمالي]]/$G$84</f>
        <v>#DIV/0!</v>
      </c>
      <c r="U44" s="377"/>
    </row>
    <row r="45" ht="35.25" customHeight="1">
      <c r="A45" s="341">
        <f>A43</f>
        <v>4</v>
      </c>
      <c r="B45" s="320">
        <v>1</v>
      </c>
      <c r="C45" s="331" t="s">
        <v>106</v>
      </c>
      <c r="D45" s="320">
        <v>40</v>
      </c>
      <c r="E45" s="342">
        <f>Table12[[#This Row],[سعر]]*Table12[[#This Row],[ميزان]]*Table12[[#This Row],[عدد]]</f>
        <v>160</v>
      </c>
      <c r="I45" s="212"/>
      <c r="J45" s="213"/>
      <c r="K45" s="211"/>
      <c r="L45" s="211"/>
      <c r="M45" s="214"/>
      <c r="N45" s="214"/>
      <c r="O45" s="216"/>
      <c r="P45" s="211"/>
      <c r="Q45" s="242"/>
      <c r="R45" s="240"/>
      <c r="S45" s="244"/>
      <c r="U45" s="377"/>
    </row>
    <row r="46" ht="25.5" customHeight="1">
      <c r="A46" s="341">
        <f>IF((تسعير!T46="A"),0,IF((تسعير!T46="B"),(G52+G48+G30+G29+G28)))</f>
        <v>0</v>
      </c>
      <c r="B46" s="320">
        <v>1</v>
      </c>
      <c r="C46" s="331" t="s">
        <v>112</v>
      </c>
      <c r="D46" s="320">
        <v>20</v>
      </c>
      <c r="E46" s="314">
        <f>Table12[[#This Row],[سعر]]*Table12[[#This Row],[ميزان]]*Table12[[#This Row],[عدد]]</f>
        <v>0</v>
      </c>
      <c r="U46" s="377"/>
    </row>
    <row r="47" ht="25.5" customHeight="1">
      <c r="A47" s="341">
        <f>IF((تسعير!T53="بالتات"),0,(A28+A29))</f>
        <v>0</v>
      </c>
      <c r="B47" s="320">
        <v>1</v>
      </c>
      <c r="C47" s="331" t="s">
        <v>282</v>
      </c>
      <c r="D47" s="320">
        <f>Sheet2!B49</f>
        <v>1200</v>
      </c>
      <c r="E47" s="342">
        <f>Table12[[#This Row],[سعر]]*Table12[[#This Row],[ميزان]]*Table12[[#This Row],[عدد]]</f>
        <v>0</v>
      </c>
      <c r="J47" s="218" t="s">
        <v>9</v>
      </c>
      <c r="K47" s="211" t="s">
        <v>151</v>
      </c>
      <c r="L47" s="211" t="s">
        <v>152</v>
      </c>
      <c r="M47" s="211" t="s">
        <v>96</v>
      </c>
      <c r="N47" s="211" t="s">
        <v>30</v>
      </c>
      <c r="U47" s="377"/>
    </row>
    <row r="48" ht="25.5" customHeight="1">
      <c r="A48" s="341">
        <f>IF((تسعير!T53="بالتات"),(A28+A29),0)</f>
        <v>2</v>
      </c>
      <c r="B48" s="320">
        <v>30</v>
      </c>
      <c r="C48" s="331" t="s">
        <v>283</v>
      </c>
      <c r="D48" s="320">
        <f>Sheet2!B12/1000</f>
        <v>45</v>
      </c>
      <c r="E48" s="342">
        <f>Table12[[#This Row],[سعر]]*Table12[[#This Row],[ميزان]]*Table12[[#This Row],[عدد]]</f>
        <v>2700</v>
      </c>
      <c r="F48" s="313">
        <f>0.5*0.5*Table12[[#This Row],[عدد]]</f>
        <v>0.5</v>
      </c>
      <c r="G48" s="313">
        <f>Table12[[#This Row],[ميزان]]*Table12[[#This Row],[عدد]]</f>
        <v>60</v>
      </c>
      <c r="J48" s="213" t="s">
        <v>284</v>
      </c>
      <c r="K48" s="214"/>
      <c r="L48" s="211"/>
      <c r="M48" s="280"/>
      <c r="N48" s="214">
        <f>IF((تسعير!T52='شماسي و كانتليفر'!F19),(N49-E28-E47-Table12[[#This Row],[Column5]]-E49-E50-E52-R42-R41-R39-(P31*K31)),0)</f>
        <v>0</v>
      </c>
      <c r="U48" s="377"/>
    </row>
    <row r="49" ht="25.5" customHeight="1">
      <c r="A49" s="341">
        <f>A48*2</f>
        <v>4</v>
      </c>
      <c r="B49" s="320">
        <v>1</v>
      </c>
      <c r="C49" s="331" t="s">
        <v>285</v>
      </c>
      <c r="D49" s="320">
        <v>250</v>
      </c>
      <c r="E49" s="342">
        <f>Table12[[#This Row],[سعر]]*Table12[[#This Row],[ميزان]]*Table12[[#This Row],[عدد]]</f>
        <v>1000</v>
      </c>
      <c r="J49" s="372" t="s">
        <v>286</v>
      </c>
      <c r="K49" s="214"/>
      <c r="L49" s="211"/>
      <c r="M49" s="280"/>
      <c r="N49" s="281">
        <f>Table12[[#Totals],[Column5]]+Table161243[[#Totals],[اجمالي]]</f>
        <v>71960</v>
      </c>
      <c r="U49" s="377"/>
    </row>
    <row r="50" ht="25.5" customHeight="1">
      <c r="A50" s="341">
        <f>A47*2</f>
        <v>0</v>
      </c>
      <c r="B50" s="320">
        <v>10</v>
      </c>
      <c r="C50" s="331" t="s">
        <v>287</v>
      </c>
      <c r="D50" s="320">
        <f>Sheet2!B12/1000</f>
        <v>45</v>
      </c>
      <c r="E50" s="342">
        <f>Table12[[#This Row],[سعر]]*Table12[[#This Row],[ميزان]]*Table12[[#This Row],[عدد]]</f>
        <v>0</v>
      </c>
      <c r="J50" s="213" t="s">
        <v>153</v>
      </c>
      <c r="K50" s="214"/>
      <c r="L50" s="211"/>
      <c r="M50" s="280"/>
      <c r="N50" s="281">
        <f>N49+N48</f>
        <v>71960</v>
      </c>
      <c r="U50" s="377"/>
    </row>
    <row r="51" ht="25.5" customHeight="1">
      <c r="A51" s="341">
        <f>ROUND((F29+F30)*0.4/3,0)</f>
        <v>1</v>
      </c>
      <c r="B51" s="320">
        <v>1</v>
      </c>
      <c r="C51" s="331" t="s">
        <v>76</v>
      </c>
      <c r="D51" s="320">
        <f>Sheet2!B28</f>
        <v>400</v>
      </c>
      <c r="E51" s="342">
        <f>Table12[[#This Row],[سعر]]*Table12[[#This Row],[ميزان]]*Table12[[#This Row],[عدد]]</f>
        <v>400</v>
      </c>
      <c r="J51" s="213" t="s">
        <v>154</v>
      </c>
      <c r="K51" s="214"/>
      <c r="L51" s="211"/>
      <c r="M51" s="310">
        <f>IF((M40="المقطم"),0.3,IF((M40="التجمع"),0.3,IF((M40="الشيخ زايد"),0.3,IF((M40="الاسكندرية"),0.5,IF((M40="الساحل"),0.5,0.35)))))</f>
        <v>0.3</v>
      </c>
      <c r="N51" s="281">
        <f>N50*(1+Table1856[[#This Row],[Column3]])</f>
        <v>93548</v>
      </c>
      <c r="U51" s="377"/>
    </row>
    <row r="52" ht="25.5" customHeight="1">
      <c r="A52" s="341">
        <f>A48*4</f>
        <v>8</v>
      </c>
      <c r="B52" s="320">
        <v>1</v>
      </c>
      <c r="C52" s="331" t="s">
        <v>288</v>
      </c>
      <c r="D52" s="320">
        <f>Sheet2!B12/1000</f>
        <v>45</v>
      </c>
      <c r="E52" s="342">
        <f>Table12[[#This Row],[سعر]]*Table12[[#This Row],[ميزان]]*Table12[[#This Row],[عدد]]</f>
        <v>360</v>
      </c>
      <c r="F52" s="313">
        <f>0.15*0.15/2*Table12[[#This Row],[عدد]]</f>
        <v>0.09</v>
      </c>
      <c r="G52" s="313">
        <f>Table12[[#This Row],[ميزان]]*Table12[[#This Row],[عدد]]</f>
        <v>8</v>
      </c>
      <c r="U52" s="377"/>
    </row>
    <row r="53" ht="25.5" customHeight="1">
      <c r="A53" s="341">
        <f>ROUND((F29+F30)*0.4/3,0)</f>
        <v>1</v>
      </c>
      <c r="B53" s="320">
        <v>1</v>
      </c>
      <c r="C53" s="331" t="s">
        <v>289</v>
      </c>
      <c r="D53" s="320">
        <v>200</v>
      </c>
      <c r="E53" s="342">
        <f>Table12[[#This Row],[سعر]]*Table12[[#This Row],[ميزان]]*Table12[[#This Row],[عدد]]</f>
        <v>200</v>
      </c>
      <c r="U53" s="377"/>
    </row>
    <row r="54">
      <c r="A54" s="344" t="s">
        <v>54</v>
      </c>
      <c r="E54" s="342">
        <f>SUBTOTAL(109,Table12[Column5])</f>
        <v>31800</v>
      </c>
      <c r="F54" s="345">
        <f>Table12[[#Totals],[Column5]]/(تسعير!T54*تسعير!T55/10000)</f>
        <v>1272</v>
      </c>
      <c r="G54" s="313">
        <f>SUBTOTAL(103,Table12[Column7])</f>
        <v>8</v>
      </c>
      <c r="U54" s="377"/>
    </row>
    <row r="55">
      <c r="A55" s="346"/>
      <c r="U55" s="377"/>
    </row>
    <row r="56">
      <c r="A56" s="346"/>
      <c r="U56" s="377"/>
    </row>
    <row r="57">
      <c r="A57" s="346"/>
      <c r="U57" s="377"/>
    </row>
    <row r="58">
      <c r="A58" s="347"/>
      <c r="B58" s="348"/>
      <c r="C58" s="348"/>
      <c r="D58" s="348"/>
      <c r="E58" s="349"/>
      <c r="F58" s="348"/>
      <c r="G58" s="348"/>
      <c r="H58" s="348"/>
      <c r="I58" s="348"/>
      <c r="J58" s="348"/>
      <c r="K58" s="348"/>
      <c r="L58" s="373"/>
      <c r="M58" s="373"/>
      <c r="N58" s="373"/>
      <c r="O58" s="373"/>
      <c r="P58" s="373"/>
      <c r="Q58" s="373"/>
      <c r="R58" s="373"/>
      <c r="S58" s="373"/>
      <c r="T58" s="373"/>
      <c r="U58" s="378"/>
    </row>
    <row r="59">
      <c r="A59" s="315"/>
      <c r="B59" s="316"/>
      <c r="C59" s="316"/>
      <c r="D59" s="316"/>
      <c r="E59" s="317"/>
      <c r="F59" s="316"/>
      <c r="G59" s="316"/>
      <c r="H59" s="316"/>
      <c r="I59" s="316"/>
      <c r="J59" s="316"/>
      <c r="K59" s="316"/>
      <c r="L59" s="351"/>
      <c r="M59" s="351"/>
      <c r="N59" s="351"/>
      <c r="O59" s="351"/>
      <c r="P59" s="352"/>
      <c r="R59" s="332"/>
    </row>
    <row r="60">
      <c r="A60" s="336" t="s">
        <v>28</v>
      </c>
      <c r="B60" s="337" t="s">
        <v>201</v>
      </c>
      <c r="C60" s="337" t="s">
        <v>29</v>
      </c>
      <c r="D60" s="337" t="s">
        <v>270</v>
      </c>
      <c r="E60" s="338" t="s">
        <v>171</v>
      </c>
      <c r="F60" s="337" t="s">
        <v>271</v>
      </c>
      <c r="G60" s="337" t="s">
        <v>165</v>
      </c>
      <c r="H60" s="337"/>
      <c r="I60" s="337"/>
      <c r="J60" s="337"/>
      <c r="K60" s="337"/>
      <c r="L60" s="370"/>
      <c r="M60" s="370"/>
      <c r="N60" s="370"/>
      <c r="O60" s="370"/>
      <c r="P60" s="370"/>
      <c r="Q60" s="370"/>
      <c r="R60" s="370"/>
      <c r="S60" s="370"/>
      <c r="T60" s="370"/>
    </row>
    <row r="61" ht="18">
      <c r="A61" s="350">
        <f>IF((تسعير!T71="بالتات"),0,(تسعير!T65+1))</f>
        <v>0</v>
      </c>
      <c r="B61" s="320">
        <v>78</v>
      </c>
      <c r="C61" s="331" t="s">
        <v>290</v>
      </c>
      <c r="D61" s="320">
        <f>Sheet2!$B$12/1000</f>
        <v>45</v>
      </c>
      <c r="E61" s="314">
        <f>Table1257[[#This Row],[سعر]]*Table1257[[#This Row],[ميزان]]*Table1257[[#This Row],[عدد]]</f>
        <v>0</v>
      </c>
      <c r="F61" s="313">
        <f>16*3.14*Table1257[[#This Row],[عدد]]*0.05</f>
        <v>0</v>
      </c>
      <c r="G61" s="313">
        <f>Table1257[[#This Row],[ميزان]]*Table1257[[#This Row],[عدد]]</f>
        <v>0</v>
      </c>
    </row>
    <row r="62" ht="18">
      <c r="A62" s="350">
        <f>IF((تسعير!T71="بالتات"),(تسعير!T65+1),0)</f>
        <v>2</v>
      </c>
      <c r="B62" s="320">
        <v>62</v>
      </c>
      <c r="C62" s="331" t="s">
        <v>273</v>
      </c>
      <c r="D62" s="320">
        <f>Sheet2!$B$12/1000</f>
        <v>45</v>
      </c>
      <c r="E62" s="314">
        <f>Table1257[[#This Row],[سعر]]*Table1257[[#This Row],[ميزان]]*Table1257[[#This Row],[عدد]]</f>
        <v>5580</v>
      </c>
      <c r="F62" s="340">
        <f>16*3.14*Table1257[[#This Row],[عدد]]*0.04</f>
        <v>4.0192000000000006</v>
      </c>
      <c r="G62" s="313">
        <f>Table1257[[#This Row],[ميزان]]*Table1257[[#This Row],[عدد]]</f>
        <v>124</v>
      </c>
      <c r="I62" s="216"/>
      <c r="J62" s="216"/>
      <c r="K62" s="217"/>
      <c r="L62" s="885" t="s">
        <v>132</v>
      </c>
      <c r="M62" s="885"/>
      <c r="N62" s="885"/>
      <c r="O62" s="885"/>
      <c r="P62" s="885"/>
      <c r="Q62" s="885"/>
      <c r="R62" s="216"/>
      <c r="S62" s="216"/>
      <c r="T62" s="216"/>
    </row>
    <row r="63" ht="18">
      <c r="A63" s="350">
        <f>A61+A62</f>
        <v>2</v>
      </c>
      <c r="B63" s="320">
        <v>28</v>
      </c>
      <c r="C63" s="331" t="s">
        <v>274</v>
      </c>
      <c r="D63" s="320">
        <f>Sheet2!$B$12/1000</f>
        <v>45</v>
      </c>
      <c r="E63" s="314">
        <f>Table1257[[#This Row],[سعر]]*Table1257[[#This Row],[ميزان]]*Table1257[[#This Row],[عدد]]</f>
        <v>2520</v>
      </c>
      <c r="F63" s="313">
        <f>3*6*Table1257[[#This Row],[عدد]]/10</f>
        <v>3.6</v>
      </c>
      <c r="G63" s="313">
        <f>Table1257[[#This Row],[ميزان]]*Table1257[[#This Row],[عدد]]</f>
        <v>56</v>
      </c>
      <c r="I63" s="211" t="s">
        <v>28</v>
      </c>
      <c r="J63" s="218" t="s">
        <v>29</v>
      </c>
      <c r="K63" s="211" t="s">
        <v>133</v>
      </c>
      <c r="L63" s="211" t="s">
        <v>12</v>
      </c>
      <c r="M63" s="211" t="s">
        <v>134</v>
      </c>
      <c r="N63" s="211" t="s">
        <v>135</v>
      </c>
      <c r="O63" s="211" t="s">
        <v>61</v>
      </c>
      <c r="P63" s="211" t="s">
        <v>136</v>
      </c>
      <c r="Q63" s="211" t="s">
        <v>137</v>
      </c>
      <c r="R63" s="245" t="s">
        <v>36</v>
      </c>
      <c r="S63" s="211" t="s">
        <v>37</v>
      </c>
    </row>
    <row r="64" ht="21">
      <c r="A64" s="350">
        <f>A63+تسعير!T65*4</f>
        <v>6</v>
      </c>
      <c r="B64" s="320">
        <v>19</v>
      </c>
      <c r="C64" s="568" t="s">
        <v>276</v>
      </c>
      <c r="D64" s="320">
        <f>(Sheet2!B12/1000)+17</f>
        <v>62</v>
      </c>
      <c r="E64" s="314">
        <f>Table1257[[#This Row],[سعر]]*Table1257[[#This Row],[ميزان]]*Table1257[[#This Row],[عدد]]</f>
        <v>7068</v>
      </c>
      <c r="F64" s="313">
        <f>16*3.14*Table1257[[#This Row],[عدد]]</f>
        <v>301.44</v>
      </c>
      <c r="I64" s="212">
        <v>4</v>
      </c>
      <c r="J64" s="371" t="s">
        <v>138</v>
      </c>
      <c r="K64" s="211">
        <f>IF((Table16124360[[#This Row],[موقع العمل]]="المصنع"),280,IF((Table16124360[[#This Row],[موقع العمل]]="الاسكندرية"),320,400))</f>
        <v>280</v>
      </c>
      <c r="L64" s="211">
        <f>SUMIF(Table17[Column1],Table16124360[[#This Row],[موقع العمل]],Table17[بدل الوجبة])</f>
        <v>0</v>
      </c>
      <c r="M64" s="211" t="s">
        <v>139</v>
      </c>
      <c r="N64" s="214" t="s">
        <v>39</v>
      </c>
      <c r="O64" s="216"/>
      <c r="P64" s="219">
        <f>IF(AND((تسعير!T65&gt;=1),(3.1&gt;تسعير!T65)),1,IF(AND((تسعير!T65&gt;=4),(6.1&gt;تسعير!T65)),2,0))</f>
        <v>1</v>
      </c>
      <c r="Q64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4" s="240">
        <f>Table16124360[[#This Row],[عدد]]*Q64</f>
        <v>1120</v>
      </c>
      <c r="S64" s="241" t="e">
        <f ref="S64:S76" t="shared" si="5">(R64)/$G$84</f>
        <v>#DIV/0!</v>
      </c>
    </row>
    <row r="65" ht="21">
      <c r="A65" s="350">
        <f>تسعير!T65*4</f>
        <v>4</v>
      </c>
      <c r="B65" s="320">
        <v>23</v>
      </c>
      <c r="C65" s="331" t="s">
        <v>291</v>
      </c>
      <c r="D65" s="320">
        <f>(Sheet2!B12/1000)+17</f>
        <v>62</v>
      </c>
      <c r="E65" s="314">
        <f>Table1257[[#This Row],[سعر]]*Table1257[[#This Row],[ميزان]]*Table1257[[#This Row],[عدد]]</f>
        <v>5704</v>
      </c>
      <c r="I65" s="212">
        <v>2</v>
      </c>
      <c r="J65" s="371" t="s">
        <v>140</v>
      </c>
      <c r="K65" s="211">
        <f>IF((Table16124360[[#This Row],[موقع العمل]]="المصنع"),280,IF((Table16124360[[#This Row],[موقع العمل]]="الاسكندرية"),320,400))</f>
        <v>280</v>
      </c>
      <c r="L65" s="211">
        <f>SUMIF(Table17[Column1],Table16124360[[#This Row],[موقع العمل]],Table17[بدل الوجبة])</f>
        <v>0</v>
      </c>
      <c r="M65" s="211" t="s">
        <v>139</v>
      </c>
      <c r="N65" s="214" t="s">
        <v>39</v>
      </c>
      <c r="O65" s="216"/>
      <c r="P65" s="219">
        <f>IF(AND((تسعير!T65&gt;=1),(3.1&gt;تسعير!T65)),1,IF(AND((تسعير!T65&gt;=4),(6.1&gt;تسعير!T65)),2,0))</f>
        <v>1</v>
      </c>
      <c r="Q65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5" s="240">
        <f>Table16124360[[#This Row],[عدد]]*Q65</f>
        <v>560</v>
      </c>
      <c r="S65" s="241" t="e">
        <f t="shared" si="5"/>
        <v>#DIV/0!</v>
      </c>
    </row>
    <row r="66" ht="21">
      <c r="A66" s="350">
        <f>A63</f>
        <v>2</v>
      </c>
      <c r="B66" s="320">
        <v>1</v>
      </c>
      <c r="C66" s="331" t="s">
        <v>278</v>
      </c>
      <c r="D66" s="320">
        <f>Sheet2!B50</f>
        <v>120</v>
      </c>
      <c r="E66" s="314">
        <f>Table1257[[#This Row],[سعر]]*Table1257[[#This Row],[ميزان]]*Table1257[[#This Row],[عدد]]</f>
        <v>240</v>
      </c>
      <c r="I66" s="212">
        <v>3</v>
      </c>
      <c r="J66" s="371" t="s">
        <v>141</v>
      </c>
      <c r="K66" s="211">
        <f>IF((Table16124360[[#This Row],[موقع العمل]]="المصنع"),280,IF((Table16124360[[#This Row],[موقع العمل]]="الاسكندرية"),320,400))</f>
        <v>280</v>
      </c>
      <c r="L66" s="211">
        <f>SUMIF(Table17[Column1],Table16124360[[#This Row],[موقع العمل]],Table17[بدل الوجبة])</f>
        <v>0</v>
      </c>
      <c r="M66" s="211" t="s">
        <v>139</v>
      </c>
      <c r="N66" s="214" t="s">
        <v>39</v>
      </c>
      <c r="O66" s="216"/>
      <c r="P66" s="219">
        <f>IF(AND((تسعير!T65&gt;=1),(3.1&gt;تسعير!T65)),1,IF(AND((تسعير!T65&gt;=4),(6.1&gt;تسعير!T65)),2,0))</f>
        <v>1</v>
      </c>
      <c r="Q66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280</v>
      </c>
      <c r="R66" s="240">
        <f>Table16124360[[#This Row],[عدد]]*Q66</f>
        <v>840</v>
      </c>
      <c r="S66" s="241" t="e">
        <f t="shared" si="5"/>
        <v>#DIV/0!</v>
      </c>
    </row>
    <row r="67" ht="21">
      <c r="A67" s="350">
        <f>(A64+A65)*2</f>
        <v>20</v>
      </c>
      <c r="B67" s="320">
        <v>1</v>
      </c>
      <c r="C67" s="331" t="s">
        <v>279</v>
      </c>
      <c r="D67" s="320">
        <f>Sheet2!B51</f>
        <v>120</v>
      </c>
      <c r="E67" s="314">
        <f>Table1257[[#This Row],[سعر]]*Table1257[[#This Row],[ميزان]]*Table1257[[#This Row],[عدد]]</f>
        <v>2400</v>
      </c>
      <c r="I67" s="212">
        <v>0</v>
      </c>
      <c r="J67" s="371" t="s">
        <v>142</v>
      </c>
      <c r="K67" s="211">
        <f>IF((Table16124360[[#This Row],[موقع العمل]]="المصنع"),280,IF((Table16124360[[#This Row],[موقع العمل]]="الاسكندرية"),320,400))</f>
        <v>280</v>
      </c>
      <c r="L67" s="211">
        <f>SUMIF(Table17[Column1],Table16124360[[#This Row],[موقع العمل]],Table17[بدل الوجبة])</f>
        <v>0</v>
      </c>
      <c r="M67" s="211" t="s">
        <v>139</v>
      </c>
      <c r="N67" s="214" t="s">
        <v>39</v>
      </c>
      <c r="O67" s="216"/>
      <c r="P67" s="212">
        <v>0</v>
      </c>
      <c r="Q67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67" s="240">
        <f>Table16124360[[#This Row],[عدد]]*Q67</f>
        <v>0</v>
      </c>
      <c r="S67" s="241" t="e">
        <f t="shared" si="5"/>
        <v>#DIV/0!</v>
      </c>
    </row>
    <row r="68" ht="21">
      <c r="A68" s="350">
        <f>تسعير!T65*4</f>
        <v>4</v>
      </c>
      <c r="B68" s="320">
        <v>1</v>
      </c>
      <c r="C68" s="331" t="s">
        <v>280</v>
      </c>
      <c r="D68" s="320">
        <f>Sheet2!B53</f>
        <v>70</v>
      </c>
      <c r="E68" s="314">
        <f>Table1257[[#This Row],[سعر]]*Table1257[[#This Row],[ميزان]]*Table1257[[#This Row],[عدد]]</f>
        <v>280</v>
      </c>
      <c r="I68" s="212">
        <v>4</v>
      </c>
      <c r="J68" s="371" t="s">
        <v>143</v>
      </c>
      <c r="K68" s="211">
        <f>IF((Table16124360[[#This Row],[موقع العمل]]="المصنع"),280,IF((Table16124360[[#This Row],[موقع العمل]]="الاسكندرية"),320,400))</f>
        <v>400</v>
      </c>
      <c r="L68" s="211">
        <f>SUMIF(Table17[Column1],Table16124360[[#This Row],[موقع العمل]],Table17[بدل الوجبة])</f>
        <v>100</v>
      </c>
      <c r="M68" s="211" t="str">
        <f>تسعير!$T$63</f>
        <v>الشيخ زايد</v>
      </c>
      <c r="N68" s="214" t="s">
        <v>39</v>
      </c>
      <c r="O68" s="216"/>
      <c r="P68" s="212">
        <f>IF(AND((تسعير!T65&gt;=1),(2.5&gt;تسعير!T65),(تسعير!T71="بالتات")),2,IF(AND((تسعير!T65&gt;=3),(4.5&gt;تسعير!T65),(تسعير!T71="بالتات")),3,IF(AND((تسعير!T65&gt;=5),(6.5&gt;تسعير!T65),(تسعير!T71="بالتات")),4,IF(AND((تسعير!T65&gt;=1),(2.5&gt;تسعير!T65),(تسعير!T71="قواعد عادية")),3,IF(AND((تسعير!T65&gt;=3),(4.5&gt;تسعير!T65),(تسعير!T71="قواعد عادية")),4,IF(AND((تسعير!T65&gt;=5),(6.5&gt;تسعير!T65),(تسعير!T71="قواعد عادية")),5,0))))))</f>
        <v>2</v>
      </c>
      <c r="Q68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8" s="240">
        <f>Table16124360[[#This Row],[عدد]]*Q68</f>
        <v>4000</v>
      </c>
      <c r="S68" s="241" t="e">
        <f t="shared" si="5"/>
        <v>#DIV/0!</v>
      </c>
    </row>
    <row r="69" ht="21">
      <c r="A69" s="350">
        <f>تسعير!T65</f>
        <v>1</v>
      </c>
      <c r="B69" s="320">
        <v>1</v>
      </c>
      <c r="C69" s="331" t="s">
        <v>240</v>
      </c>
      <c r="D69" s="320">
        <f>Sheet2!B52</f>
        <v>150</v>
      </c>
      <c r="E69" s="314">
        <f>Table1257[[#This Row],[سعر]]*Table1257[[#This Row],[ميزان]]*Table1257[[#This Row],[عدد]]</f>
        <v>150</v>
      </c>
      <c r="F69" s="313">
        <f>16*3.14*Table1257[[#This Row],[عدد]]</f>
        <v>50.24</v>
      </c>
      <c r="I69" s="212">
        <v>3</v>
      </c>
      <c r="J69" s="371" t="s">
        <v>144</v>
      </c>
      <c r="K69" s="211">
        <f>IF((Table16124360[[#This Row],[موقع العمل]]="المصنع"),280,IF((Table16124360[[#This Row],[موقع العمل]]="الاسكندرية"),320,400))</f>
        <v>400</v>
      </c>
      <c r="L69" s="211">
        <f>SUMIF(Table17[Column1],Table16124360[[#This Row],[موقع العمل]],Table17[بدل الوجبة])</f>
        <v>100</v>
      </c>
      <c r="M69" s="211" t="str">
        <f>تسعير!$T$63</f>
        <v>الشيخ زايد</v>
      </c>
      <c r="N69" s="214" t="s">
        <v>39</v>
      </c>
      <c r="O69" s="216"/>
      <c r="P69" s="212">
        <f>IF(AND((تسعير!T65&gt;=1),(3.1&gt;تسعير!T65)),2,IF(AND((تسعير!T65&lt;=4),(6.1&gt;تسعير!T65)),3,0))</f>
        <v>2</v>
      </c>
      <c r="Q69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1000</v>
      </c>
      <c r="R69" s="240">
        <f>Table16124360[[#This Row],[عدد]]*Q69</f>
        <v>3000</v>
      </c>
      <c r="S69" s="241" t="e">
        <f t="shared" si="5"/>
        <v>#DIV/0!</v>
      </c>
    </row>
    <row r="70" ht="21">
      <c r="A70" s="350">
        <f>تسعير!T65*36</f>
        <v>36</v>
      </c>
      <c r="B70" s="320">
        <v>1</v>
      </c>
      <c r="C70" s="331" t="s">
        <v>281</v>
      </c>
      <c r="D70" s="320">
        <f>Sheet2!B47</f>
        <v>125</v>
      </c>
      <c r="E70" s="569">
        <f>Table1257[[#This Row],[سعر]]*Table1257[[#This Row],[ميزان]]*Table1257[[#This Row],[عدد]]</f>
        <v>4500</v>
      </c>
      <c r="I70" s="212">
        <v>3</v>
      </c>
      <c r="J70" s="371" t="s">
        <v>145</v>
      </c>
      <c r="K70" s="211">
        <f>IF((Table16124360[[#This Row],[موقع العمل]]="المصنع"),280,IF((Table16124360[[#This Row],[موقع العمل]]="الاسكندرية"),320,400))</f>
        <v>400</v>
      </c>
      <c r="L70" s="211">
        <f>SUMIF(Table17[Column1],Table16124360[[#This Row],[موقع العمل]],Table17[بدل الوجبة])</f>
        <v>100</v>
      </c>
      <c r="M70" s="211" t="str">
        <f>تسعير!$T$63</f>
        <v>الشيخ زايد</v>
      </c>
      <c r="N70" s="214" t="s">
        <v>39</v>
      </c>
      <c r="O70" s="216"/>
      <c r="P70" s="212">
        <f>IF(AND((تسعير!T65&gt;=1),(2.1&gt;تسعير!T65)),1,IF(AND((تسعير!T65&gt;=3),(4.1&gt;تسعير!T65)),2,IF(AND((تسعير!T65&gt;=5),(6.1&gt;تسعير!T65)),3,0)))</f>
        <v>1</v>
      </c>
      <c r="Q70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500</v>
      </c>
      <c r="R70" s="240">
        <f>Table16124360[[#This Row],[عدد]]*Q70</f>
        <v>1500</v>
      </c>
      <c r="S70" s="241" t="e">
        <f t="shared" si="5"/>
        <v>#DIV/0!</v>
      </c>
    </row>
    <row r="71" ht="21">
      <c r="A71" s="381">
        <f>IF((تسعير!T64="A"),Table1257[[#This Row],[Column7]],IF((تسعير!T64="B"),Table1257[[#This Row],[Column6]]))</f>
        <v>3.3</v>
      </c>
      <c r="B71" s="320">
        <v>1</v>
      </c>
      <c r="C71" s="331" t="s">
        <v>111</v>
      </c>
      <c r="D71" s="320">
        <f>Sheet2!B27</f>
        <v>510</v>
      </c>
      <c r="E71" s="570">
        <f>Table1257[[#This Row],[سعر]]*Table1257[[#This Row],[ميزان]]*Table1257[[#This Row],[عدد]]</f>
        <v>1683</v>
      </c>
      <c r="F71" s="313">
        <f>ROUND((Table1257[[#This Row],[Column7]]*1.8),1)</f>
        <v>5.9</v>
      </c>
      <c r="G71" s="343">
        <f>ROUND((F62+F63+F61+F82+F86)*0.4,1)</f>
        <v>3.3</v>
      </c>
      <c r="I71" s="212">
        <v>0</v>
      </c>
      <c r="J71" s="371" t="s">
        <v>146</v>
      </c>
      <c r="K71" s="211">
        <f>IF((Table16124360[[#This Row],[موقع العمل]]="المصنع"),280,IF((Table16124360[[#This Row],[موقع العمل]]="الاسكندرية"),320,400))</f>
        <v>400</v>
      </c>
      <c r="L71" s="211">
        <f>SUMIF(Table17[Column1],Table16124360[[#This Row],[موقع العمل]],Table17[بدل الوجبة])</f>
        <v>100</v>
      </c>
      <c r="M71" s="211" t="str">
        <f>تسعير!$T$63</f>
        <v>الشيخ زايد</v>
      </c>
      <c r="N71" s="214" t="s">
        <v>39</v>
      </c>
      <c r="O71" s="216"/>
      <c r="P71" s="212">
        <v>0</v>
      </c>
      <c r="Q71" s="243">
        <f>IF(Table16124360[[#This Row],[عدد الايام]]=0,0,IF((Table16124360[[#This Row],[شيفت العمل]]="صباحي"),((Table16124360[[#This Row],[بدل الوجبة]]+Table16124360[[#This Row],[اليومية / الاجرة]])*Table16124360[[#This Row],[عدد الايام]]),IF((Table16124360[[#This Row],[شيفت العمل]]="ليلي"),(((Table16124360[[#This Row],[بدل الوجبة]]+Table16124360[[#This Row],[اليومية / الاجرة]])*Table16124360[[#This Row],[عدد الايام]])+Table16124360[[#This Row],[اليومية / الاجرة]]),"ERROR")))</f>
        <v>0</v>
      </c>
      <c r="R71" s="240">
        <f>Table16124360[[#This Row],[عدد]]*Q71</f>
        <v>0</v>
      </c>
      <c r="S71" s="241" t="e">
        <f t="shared" si="5"/>
        <v>#DIV/0!</v>
      </c>
    </row>
    <row r="72" ht="21">
      <c r="A72" s="381">
        <f>IF((تسعير!T64="A"),Table1257[[#This Row],[Column7]],IF((تسعير!T64="B"),Table1257[[#This Row],[Column6]]))</f>
        <v>3.3</v>
      </c>
      <c r="B72" s="320">
        <v>1</v>
      </c>
      <c r="C72" s="331" t="s">
        <v>110</v>
      </c>
      <c r="D72" s="320">
        <f>Sheet2!B26</f>
        <v>220</v>
      </c>
      <c r="E72" s="570">
        <f>Table1257[[#This Row],[سعر]]*Table1257[[#This Row],[ميزان]]*Table1257[[#This Row],[عدد]]</f>
        <v>726</v>
      </c>
      <c r="F72" s="313">
        <f>ROUND((Table1257[[#This Row],[Column7]]*1.8),1)</f>
        <v>5.9</v>
      </c>
      <c r="G72" s="343">
        <f>ROUND((F62+F63+F61+F82+F86)*0.4,1)</f>
        <v>3.3</v>
      </c>
      <c r="I72" s="212">
        <f>(I68+I69+I70+I71)*2</f>
        <v>20</v>
      </c>
      <c r="J72" s="371" t="s">
        <v>147</v>
      </c>
      <c r="K72" s="211"/>
      <c r="L72" s="211"/>
      <c r="M72" s="211" t="str">
        <f>تسعير!$T$63</f>
        <v>الشيخ زايد</v>
      </c>
      <c r="N72" s="214"/>
      <c r="O72" s="247">
        <f>SUMIF(Table17[Column1],Table16124360[[#This Row],[موقع العمل]],Table17[خارجي])</f>
        <v>400</v>
      </c>
      <c r="P72" s="247"/>
      <c r="Q72" s="243">
        <f>Table16124360[[#This Row],[Column12]]</f>
        <v>400</v>
      </c>
      <c r="R72" s="240">
        <f ref="R72:R76" t="shared" si="6">I72*Q72</f>
        <v>8000</v>
      </c>
      <c r="S72" s="241" t="e">
        <f t="shared" si="5"/>
        <v>#DIV/0!</v>
      </c>
    </row>
    <row r="73" ht="21">
      <c r="A73" s="381">
        <f>IF((تسعير!T64="A"),Table1257[[#This Row],[Column7]],IF((تسعير!T64="B"),Table1257[[#This Row],[Column6]]))</f>
        <v>3.3</v>
      </c>
      <c r="B73" s="320">
        <v>1</v>
      </c>
      <c r="C73" s="331" t="s">
        <v>45</v>
      </c>
      <c r="D73" s="320">
        <f>Sheet2!B25</f>
        <v>95</v>
      </c>
      <c r="E73" s="570">
        <f>Table1257[[#This Row],[سعر]]*Table1257[[#This Row],[ميزان]]*Table1257[[#This Row],[عدد]]</f>
        <v>313.5</v>
      </c>
      <c r="F73" s="313">
        <f>ROUND((Table1257[[#This Row],[Column7]]*1.8),1)</f>
        <v>5.9</v>
      </c>
      <c r="G73" s="343">
        <f>ROUND((F62+F63+F61+F82+F86)*0.4,1)</f>
        <v>3.3</v>
      </c>
      <c r="I73" s="212">
        <f>((P68+P69+P70+P71)*2)-2</f>
        <v>8</v>
      </c>
      <c r="J73" s="371" t="s">
        <v>148</v>
      </c>
      <c r="K73" s="211"/>
      <c r="L73" s="211"/>
      <c r="M73" s="211" t="str">
        <f>تسعير!$T$63</f>
        <v>الشيخ زايد</v>
      </c>
      <c r="N73" s="214"/>
      <c r="O73" s="247">
        <f>SUMIF(Table17[Column1],Table16124360[[#This Row],[موقع العمل]],Table17[داخلي])</f>
        <v>400</v>
      </c>
      <c r="P73" s="247"/>
      <c r="Q73" s="243">
        <f>Table16124360[[#This Row],[Column12]]</f>
        <v>400</v>
      </c>
      <c r="R73" s="240">
        <f t="shared" si="6"/>
        <v>3200</v>
      </c>
      <c r="S73" s="241" t="e">
        <f t="shared" si="5"/>
        <v>#DIV/0!</v>
      </c>
    </row>
    <row r="74" ht="21">
      <c r="A74" s="381">
        <f>ROUND((F62+F63+F61)*0.4/3,0)</f>
        <v>1</v>
      </c>
      <c r="B74" s="320">
        <v>1</v>
      </c>
      <c r="C74" s="331" t="s">
        <v>107</v>
      </c>
      <c r="D74" s="320">
        <f>Sheet2!B24</f>
        <v>400</v>
      </c>
      <c r="E74" s="570">
        <f>Table1257[[#This Row],[سعر]]*Table1257[[#This Row],[ميزان]]*Table1257[[#This Row],[عدد]]</f>
        <v>400</v>
      </c>
      <c r="I74" s="212">
        <v>2</v>
      </c>
      <c r="J74" s="371" t="s">
        <v>149</v>
      </c>
      <c r="K74" s="211"/>
      <c r="L74" s="211"/>
      <c r="M74" s="211" t="str">
        <f>تسعير!$T$63</f>
        <v>الشيخ زايد</v>
      </c>
      <c r="N74" s="214"/>
      <c r="O74" s="247">
        <f>SUMIF(Table17[Column1],Table16124360[[#This Row],[موقع العمل]],Table17[دبابة])</f>
        <v>3500</v>
      </c>
      <c r="P74" s="247"/>
      <c r="Q74" s="243">
        <f>Table16124360[[#This Row],[Column12]]</f>
        <v>3500</v>
      </c>
      <c r="R74" s="240">
        <f t="shared" si="6"/>
        <v>7000</v>
      </c>
      <c r="S74" s="241" t="e">
        <f t="shared" si="5"/>
        <v>#DIV/0!</v>
      </c>
    </row>
    <row r="75" ht="21">
      <c r="A75" s="381">
        <f>(A61+A62+A63)*4</f>
        <v>16</v>
      </c>
      <c r="B75" s="320">
        <v>1</v>
      </c>
      <c r="C75" s="331" t="s">
        <v>100</v>
      </c>
      <c r="D75" s="320">
        <f>Sheet2!B48</f>
        <v>25</v>
      </c>
      <c r="E75" s="570">
        <f>Table1257[[#This Row],[سعر]]*Table1257[[#This Row],[ميزان]]*Table1257[[#This Row],[عدد]]</f>
        <v>400</v>
      </c>
      <c r="I75" s="212">
        <v>2</v>
      </c>
      <c r="J75" s="371" t="s">
        <v>150</v>
      </c>
      <c r="K75" s="211"/>
      <c r="L75" s="211"/>
      <c r="M75" s="211" t="str">
        <f>تسعير!$T$63</f>
        <v>الشيخ زايد</v>
      </c>
      <c r="N75" s="214"/>
      <c r="O75" s="247">
        <f>SUMIF(Table17[Column1],Table16124360[[#This Row],[موقع العمل]],Table17[جامبو])</f>
        <v>6000</v>
      </c>
      <c r="P75" s="247"/>
      <c r="Q75" s="243">
        <f>Table16124360[[#This Row],[Column12]]</f>
        <v>6000</v>
      </c>
      <c r="R75" s="240">
        <f t="shared" si="6"/>
        <v>12000</v>
      </c>
      <c r="S75" s="241" t="e">
        <f t="shared" si="5"/>
        <v>#DIV/0!</v>
      </c>
    </row>
    <row r="76" ht="21">
      <c r="A76" s="381">
        <f>(A61+A62+A63)*4</f>
        <v>16</v>
      </c>
      <c r="B76" s="320">
        <v>1</v>
      </c>
      <c r="C76" s="331" t="s">
        <v>102</v>
      </c>
      <c r="D76" s="320">
        <f>Sheet2!B48</f>
        <v>25</v>
      </c>
      <c r="E76" s="570">
        <f>Table1257[[#This Row],[سعر]]*Table1257[[#This Row],[ميزان]]*Table1257[[#This Row],[عدد]]</f>
        <v>400</v>
      </c>
      <c r="I76" s="212">
        <f>I73</f>
        <v>8</v>
      </c>
      <c r="J76" s="371" t="s">
        <v>15</v>
      </c>
      <c r="K76" s="211"/>
      <c r="L76" s="211"/>
      <c r="M76" s="211" t="str">
        <f>تسعير!$T$63</f>
        <v>الشيخ زايد</v>
      </c>
      <c r="N76" s="214"/>
      <c r="O76" s="247">
        <f>SUMIF(Table17[Column1],Table16124360[[#This Row],[موقع العمل]],Table17[الاقامة])</f>
        <v>150</v>
      </c>
      <c r="P76" s="247"/>
      <c r="Q76" s="243">
        <f>Table16124360[[#This Row],[Column12]]</f>
        <v>150</v>
      </c>
      <c r="R76" s="240">
        <f t="shared" si="6"/>
        <v>1200</v>
      </c>
      <c r="S76" s="241" t="e">
        <f t="shared" si="5"/>
        <v>#DIV/0!</v>
      </c>
    </row>
    <row r="77" ht="18">
      <c r="A77" s="381">
        <f>A61+A62+A63</f>
        <v>4</v>
      </c>
      <c r="B77" s="320">
        <v>1</v>
      </c>
      <c r="C77" s="331" t="s">
        <v>103</v>
      </c>
      <c r="D77" s="320">
        <v>25</v>
      </c>
      <c r="E77" s="570">
        <f>Table1257[[#This Row],[سعر]]*Table1257[[#This Row],[ميزان]]*Table1257[[#This Row],[عدد]]</f>
        <v>100</v>
      </c>
      <c r="I77" s="571"/>
      <c r="J77" s="550" t="s">
        <v>54</v>
      </c>
      <c r="K77" s="572"/>
      <c r="L77" s="572"/>
      <c r="M77" s="573"/>
      <c r="N77" s="573"/>
      <c r="O77" s="574">
        <f>SUBTOTAL(109,Table16124360[Column12])</f>
        <v>10450</v>
      </c>
      <c r="P77" s="572"/>
      <c r="Q77" s="242"/>
      <c r="R77" s="575">
        <f>SUBTOTAL(109,Table16124360[اجمالي])</f>
        <v>42420</v>
      </c>
      <c r="S77" s="576" t="e">
        <f>Table16124360[[#Totals],[اجمالي]]/$G$84</f>
        <v>#DIV/0!</v>
      </c>
    </row>
    <row r="78" ht="18">
      <c r="A78" s="381">
        <f>ROUND((F62+F63)*0.4,0)</f>
        <v>3</v>
      </c>
      <c r="B78" s="320">
        <v>1</v>
      </c>
      <c r="C78" s="331" t="s">
        <v>105</v>
      </c>
      <c r="D78" s="320">
        <v>18</v>
      </c>
      <c r="E78" s="570">
        <f>Table1257[[#This Row],[سعر]]*Table1257[[#This Row],[ميزان]]*Table1257[[#This Row],[عدد]]</f>
        <v>54</v>
      </c>
      <c r="I78" s="212"/>
      <c r="J78" s="213"/>
      <c r="K78" s="211"/>
      <c r="L78" s="211"/>
      <c r="M78" s="214"/>
      <c r="N78" s="214"/>
      <c r="O78" s="216"/>
      <c r="P78" s="211"/>
      <c r="Q78" s="242"/>
      <c r="R78" s="240"/>
      <c r="S78" s="244"/>
    </row>
    <row r="79" ht="18">
      <c r="A79" s="381">
        <v>5</v>
      </c>
      <c r="B79" s="320">
        <v>1</v>
      </c>
      <c r="C79" s="331" t="s">
        <v>106</v>
      </c>
      <c r="D79" s="320">
        <v>40</v>
      </c>
      <c r="E79" s="570">
        <f>Table1257[[#This Row],[سعر]]*Table1257[[#This Row],[ميزان]]*Table1257[[#This Row],[عدد]]</f>
        <v>200</v>
      </c>
    </row>
    <row r="80" ht="18">
      <c r="A80" s="381">
        <f>IF((تسعير!T64="A"),0,IF((تسعير!T64="B"),(G86+G82+G63+G62+G61)))</f>
        <v>0</v>
      </c>
      <c r="B80" s="320">
        <v>1</v>
      </c>
      <c r="C80" s="331" t="s">
        <v>112</v>
      </c>
      <c r="D80" s="320">
        <v>20</v>
      </c>
      <c r="E80" s="314">
        <f>Table1257[[#This Row],[سعر]]*Table1257[[#This Row],[ميزان]]*Table1257[[#This Row],[عدد]]</f>
        <v>0</v>
      </c>
      <c r="J80" s="218" t="s">
        <v>9</v>
      </c>
      <c r="K80" s="211" t="s">
        <v>151</v>
      </c>
      <c r="L80" s="211" t="s">
        <v>152</v>
      </c>
      <c r="M80" s="211" t="s">
        <v>96</v>
      </c>
      <c r="N80" s="211" t="s">
        <v>30</v>
      </c>
    </row>
    <row r="81" ht="18">
      <c r="A81" s="381">
        <f>IF((تسعير!T71="بالتات"),0,(A61+A62))</f>
        <v>0</v>
      </c>
      <c r="B81" s="320">
        <v>1</v>
      </c>
      <c r="C81" s="331" t="s">
        <v>282</v>
      </c>
      <c r="D81" s="320">
        <f>Sheet2!B49</f>
        <v>1200</v>
      </c>
      <c r="E81" s="342">
        <f>Table1257[[#This Row],[سعر]]*Table1257[[#This Row],[ميزان]]*Table1257[[#This Row],[عدد]]</f>
        <v>0</v>
      </c>
      <c r="J81" s="213" t="s">
        <v>284</v>
      </c>
      <c r="K81" s="214"/>
      <c r="L81" s="211"/>
      <c r="M81" s="280"/>
      <c r="N81" s="214">
        <f>IF((تسعير!T70='شماسي و كانتليفر'!F19),(N82-E61-E81-Table1257[[#This Row],[Column5]]-E83-E84-E86-R75-R74-R72-(P64*K64)),0)</f>
        <v>0</v>
      </c>
    </row>
    <row r="82" ht="18">
      <c r="A82" s="381">
        <f>IF((تسعير!T71="بالتات"),(A61+A62),0)</f>
        <v>2</v>
      </c>
      <c r="B82" s="320">
        <v>30</v>
      </c>
      <c r="C82" s="331" t="s">
        <v>283</v>
      </c>
      <c r="D82" s="320">
        <f>Sheet2!B12/1000</f>
        <v>45</v>
      </c>
      <c r="E82" s="342">
        <f>Table1257[[#This Row],[سعر]]*Table1257[[#This Row],[ميزان]]*Table1257[[#This Row],[عدد]]</f>
        <v>2700</v>
      </c>
      <c r="F82" s="313">
        <f>0.5*0.5*Table1257[[#This Row],[عدد]]</f>
        <v>0.5</v>
      </c>
      <c r="G82" s="313">
        <f>Table1257[[#This Row],[ميزان]]*Table1257[[#This Row],[عدد]]</f>
        <v>60</v>
      </c>
      <c r="J82" s="372" t="s">
        <v>286</v>
      </c>
      <c r="K82" s="214"/>
      <c r="L82" s="211"/>
      <c r="M82" s="280"/>
      <c r="N82" s="281">
        <f>Table1257[[#Totals],[Column5]]+Table16124360[[#Totals],[اجمالي]]</f>
        <v>81198.5</v>
      </c>
    </row>
    <row r="83" ht="18">
      <c r="A83" s="381">
        <f>A82*2</f>
        <v>4</v>
      </c>
      <c r="B83" s="320">
        <v>1</v>
      </c>
      <c r="C83" s="331" t="s">
        <v>285</v>
      </c>
      <c r="D83" s="320">
        <v>600</v>
      </c>
      <c r="E83" s="342">
        <f>Table1257[[#This Row],[سعر]]*Table1257[[#This Row],[ميزان]]*Table1257[[#This Row],[عدد]]</f>
        <v>2400</v>
      </c>
      <c r="J83" s="213" t="s">
        <v>153</v>
      </c>
      <c r="K83" s="214"/>
      <c r="L83" s="211"/>
      <c r="M83" s="280"/>
      <c r="N83" s="281">
        <f>N82+N81</f>
        <v>81198.5</v>
      </c>
    </row>
    <row r="84" ht="18">
      <c r="A84" s="381">
        <f>A81*1.5</f>
        <v>0</v>
      </c>
      <c r="B84" s="320">
        <v>10</v>
      </c>
      <c r="C84" s="331" t="s">
        <v>287</v>
      </c>
      <c r="D84" s="320">
        <f>Sheet2!B12/1000</f>
        <v>45</v>
      </c>
      <c r="E84" s="342">
        <f>Table1257[[#This Row],[سعر]]*Table1257[[#This Row],[ميزان]]*Table1257[[#This Row],[عدد]]</f>
        <v>0</v>
      </c>
      <c r="J84" s="213" t="s">
        <v>154</v>
      </c>
      <c r="K84" s="214"/>
      <c r="L84" s="211"/>
      <c r="M84" s="310">
        <f>IF((M73="المقطم"),0.3,IF((M73="التجمع"),0.3,IF((M73="الشيخ زايد"),0.3,IF((M73="الاسكندرية"),0.5,IF((M73="الساحل"),0.5,0.35)))))</f>
        <v>0.3</v>
      </c>
      <c r="N84" s="281">
        <f>N83*(1+Table185665[[#This Row],[Column3]])</f>
        <v>105558.05</v>
      </c>
    </row>
    <row r="85" ht="18">
      <c r="A85" s="381">
        <f>ROUND((F62+F63)*0.4/3,0)</f>
        <v>1</v>
      </c>
      <c r="B85" s="320">
        <v>1</v>
      </c>
      <c r="C85" s="331" t="s">
        <v>76</v>
      </c>
      <c r="D85" s="320">
        <f>Sheet2!B28</f>
        <v>400</v>
      </c>
      <c r="E85" s="342">
        <f>Table1257[[#This Row],[سعر]]*Table1257[[#This Row],[ميزان]]*Table1257[[#This Row],[عدد]]</f>
        <v>400</v>
      </c>
    </row>
    <row r="86" ht="18">
      <c r="A86" s="381">
        <f>A82*4</f>
        <v>8</v>
      </c>
      <c r="B86" s="320">
        <v>1</v>
      </c>
      <c r="C86" s="331" t="s">
        <v>288</v>
      </c>
      <c r="D86" s="320">
        <f>Sheet2!B12/1000</f>
        <v>45</v>
      </c>
      <c r="E86" s="342">
        <f>Table1257[[#This Row],[سعر]]*Table1257[[#This Row],[ميزان]]*Table1257[[#This Row],[عدد]]</f>
        <v>360</v>
      </c>
      <c r="F86" s="313">
        <f>0.15*0.15/2*Table1257[[#This Row],[عدد]]</f>
        <v>0.09</v>
      </c>
      <c r="G86" s="313">
        <f>Table1257[[#This Row],[ميزان]]*Table1257[[#This Row],[عدد]]</f>
        <v>8</v>
      </c>
    </row>
    <row r="87" ht="18">
      <c r="A87" s="381">
        <f>ROUND((F62+F63)*0.4/3,0)</f>
        <v>1</v>
      </c>
      <c r="B87" s="320">
        <v>1</v>
      </c>
      <c r="C87" s="331" t="s">
        <v>289</v>
      </c>
      <c r="D87" s="320">
        <v>200</v>
      </c>
      <c r="E87" s="342">
        <f>Table1257[[#This Row],[سعر]]*Table1257[[#This Row],[ميزان]]*Table1257[[#This Row],[عدد]]</f>
        <v>200</v>
      </c>
    </row>
    <row r="88">
      <c r="A88" s="344" t="s">
        <v>54</v>
      </c>
      <c r="E88" s="342">
        <f>SUBTOTAL(109,Table1257[Column5])</f>
        <v>38778.5</v>
      </c>
      <c r="F88" s="345" t="e">
        <f>Table1257[[#Totals],[Column5]]/(تسعير!S87*تسعير!S88/10000)</f>
        <v>#DIV/0!</v>
      </c>
      <c r="G88" s="313">
        <f>SUBTOTAL(103,Table1257[Column7])</f>
        <v>8</v>
      </c>
    </row>
    <row r="89">
      <c r="A89" s="346"/>
    </row>
    <row r="90">
      <c r="A90" s="346"/>
    </row>
    <row r="91">
      <c r="A91" s="346"/>
      <c r="H91" s="348"/>
      <c r="I91" s="348"/>
      <c r="J91" s="348"/>
      <c r="K91" s="348"/>
      <c r="L91" s="373"/>
      <c r="M91" s="373"/>
      <c r="N91" s="373"/>
      <c r="O91" s="373"/>
      <c r="P91" s="373"/>
      <c r="Q91" s="373"/>
      <c r="R91" s="373"/>
      <c r="S91" s="373"/>
      <c r="T91" s="373"/>
    </row>
    <row r="92">
      <c r="A92" s="347"/>
      <c r="B92" s="348"/>
      <c r="C92" s="348"/>
      <c r="D92" s="348"/>
      <c r="E92" s="349"/>
      <c r="F92" s="348"/>
      <c r="G92" s="348"/>
    </row>
  </sheetData>
  <sheetProtection selectLockedCells="1" selectUnlockedCells="1"/>
  <mergeCells>
    <mergeCell ref="L29:Q29"/>
    <mergeCell ref="L62:Q62"/>
    <mergeCell ref="N18:O20"/>
    <mergeCell ref="N22:O24"/>
  </mergeCells>
  <dataValidations count="1">
    <dataValidation type="list" allowBlank="1" showInputMessage="1" showErrorMessage="1" sqref="N31:N43 N64:N76" xr:uid="{00000000-0002-0000-0600-000000000000}">
      <formula1>$U$4:$U$5</formula1>
    </dataValidation>
  </dataValidations>
  <pageMargins left="0.7" right="0.7" top="0.75" bottom="0.75" header="0.3" footer="0.3"/>
  <pageSetup orientation="portrait" horizontalDpi="300" verticalDpi="300"/>
  <headerFooter/>
  <tableParts count="20">
    <tablePart r:id="rId1"/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CO179"/>
  <sheetViews>
    <sheetView rightToLeft="1" topLeftCell="K89" zoomScale="40" zoomScaleNormal="40" workbookViewId="0">
      <selection activeCell="O123" sqref="O123:O130"/>
    </sheetView>
  </sheetViews>
  <sheetFormatPr defaultColWidth="9.109375" defaultRowHeight="14.4"/>
  <cols>
    <col min="1" max="1" width="38.33203125" customWidth="1" style="1"/>
    <col min="2" max="3" width="13" customWidth="1" style="1"/>
    <col min="4" max="4" width="11.6640625" customWidth="1" style="1"/>
    <col min="5" max="5" width="14.109375" customWidth="1" style="1"/>
    <col min="6" max="6" width="19.88671875" customWidth="1" style="1"/>
    <col min="7" max="7" width="12.109375" customWidth="1" style="1"/>
    <col min="8" max="9" width="11.88671875" customWidth="1" style="1"/>
    <col min="10" max="10" width="15.6640625" customWidth="1" style="1"/>
    <col min="11" max="11" width="9.109375" customWidth="1" style="1"/>
    <col min="12" max="12" width="5.88671875" customWidth="1" style="1"/>
    <col min="13" max="13" width="15.109375" customWidth="1" style="1"/>
    <col min="14" max="14" width="56.33203125" customWidth="1" style="1"/>
    <col min="15" max="17" width="9.109375" customWidth="1" style="1"/>
    <col min="18" max="18" width="19.33203125" customWidth="1" style="1"/>
    <col min="19" max="19" width="16.44140625" customWidth="1" style="1"/>
    <col min="20" max="20" width="20.6640625" customWidth="1" style="1"/>
    <col min="21" max="21" width="25.33203125" customWidth="1" style="1"/>
    <col min="22" max="22" width="16.88671875" customWidth="1" style="1"/>
    <col min="23" max="23" width="18.109375" customWidth="1" style="1"/>
    <col min="24" max="24" width="9.109375" customWidth="1" style="1"/>
    <col min="25" max="25" width="14.5546875" customWidth="1" style="1"/>
    <col min="26" max="35" width="9.109375" customWidth="1" style="1"/>
    <col min="36" max="36" width="55.109375" customWidth="1" style="1"/>
    <col min="37" max="37" width="9.109375" customWidth="1" style="1"/>
    <col min="38" max="38" width="16.6640625" customWidth="1" style="1"/>
    <col min="39" max="39" width="17" customWidth="1" style="1"/>
    <col min="40" max="47" width="9.109375" customWidth="1" style="1"/>
    <col min="48" max="48" width="46.88671875" customWidth="1" style="1"/>
    <col min="49" max="49" width="14.33203125" customWidth="1" style="1"/>
    <col min="50" max="50" width="14.88671875" customWidth="1" style="1"/>
    <col min="51" max="51" width="12.5546875" customWidth="1" style="1"/>
    <col min="52" max="52" width="14.88671875" customWidth="1" style="1"/>
    <col min="53" max="53" width="22.33203125" customWidth="1" style="1"/>
    <col min="54" max="54" width="3.44140625" customWidth="1" style="1"/>
    <col min="55" max="55" width="10.44140625" customWidth="1" style="1"/>
    <col min="56" max="56" width="11.88671875" customWidth="1" style="1"/>
    <col min="57" max="57" width="16.6640625" customWidth="1" style="1"/>
    <col min="58" max="58" width="6.33203125" customWidth="1" style="1"/>
    <col min="59" max="59" width="14.33203125" customWidth="1" style="1"/>
    <col min="60" max="60" width="13" customWidth="1" style="1"/>
    <col min="61" max="61" width="44.33203125" customWidth="1" style="1"/>
    <col min="62" max="62" width="14.33203125" customWidth="1" style="1"/>
    <col min="63" max="63" width="14.109375" customWidth="1" style="1"/>
    <col min="64" max="64" width="13.88671875" customWidth="1" style="1"/>
    <col min="65" max="65" width="14.109375" customWidth="1" style="1"/>
    <col min="66" max="66" width="14.6640625" customWidth="1" style="1"/>
    <col min="67" max="67" width="13.6640625" customWidth="1" style="1"/>
    <col min="68" max="68" width="17.6640625" customWidth="1" style="1"/>
    <col min="69" max="69" width="21.88671875" customWidth="1" style="1"/>
    <col min="70" max="70" width="21.109375" customWidth="1" style="1"/>
    <col min="71" max="82" width="9.109375" customWidth="1" style="1"/>
    <col min="83" max="83" width="26.5546875" customWidth="1" style="1"/>
    <col min="84" max="16384" width="9.109375" customWidth="1" style="1"/>
  </cols>
  <sheetData>
    <row r="1" ht="21">
      <c r="A1" s="532" t="s">
        <v>292</v>
      </c>
      <c r="B1" s="533">
        <f>(F1*D1)/10000</f>
        <v>20.4</v>
      </c>
      <c r="C1" s="534" t="s">
        <v>164</v>
      </c>
      <c r="D1" s="535">
        <f>تسعير!AT34</f>
        <v>510</v>
      </c>
      <c r="E1" s="534" t="s">
        <v>125</v>
      </c>
      <c r="F1" s="535">
        <f>تسعير!AT33</f>
        <v>400</v>
      </c>
      <c r="G1" s="534" t="s">
        <v>293</v>
      </c>
      <c r="H1" s="535" t="str">
        <f>تسعير!AT26</f>
        <v>خشبي</v>
      </c>
      <c r="I1" s="549" t="str">
        <f>تسعير!AT32</f>
        <v>بالتات</v>
      </c>
      <c r="J1" s="536"/>
      <c r="K1" s="192"/>
      <c r="L1" s="879" t="s">
        <v>0</v>
      </c>
      <c r="M1" s="880"/>
      <c r="N1" s="881"/>
      <c r="O1" s="201" t="s">
        <v>1</v>
      </c>
      <c r="P1" s="202" t="s">
        <v>2</v>
      </c>
      <c r="Q1" s="223" t="s">
        <v>3</v>
      </c>
      <c r="R1" s="224" t="s">
        <v>4</v>
      </c>
      <c r="S1" s="224" t="s">
        <v>5</v>
      </c>
      <c r="T1" s="224" t="s">
        <v>6</v>
      </c>
      <c r="U1" s="224" t="s">
        <v>7</v>
      </c>
      <c r="V1" s="225" t="s">
        <v>8</v>
      </c>
      <c r="W1" s="226"/>
      <c r="X1" s="227"/>
      <c r="Y1" s="227" t="s">
        <v>9</v>
      </c>
      <c r="Z1" s="227" t="s">
        <v>10</v>
      </c>
      <c r="AA1" s="227" t="s">
        <v>11</v>
      </c>
      <c r="AB1" s="227" t="s">
        <v>12</v>
      </c>
      <c r="AC1" s="227" t="s">
        <v>13</v>
      </c>
      <c r="AD1" s="227" t="s">
        <v>14</v>
      </c>
      <c r="AE1" s="227" t="s">
        <v>15</v>
      </c>
      <c r="AF1" s="227"/>
      <c r="AG1" s="227"/>
      <c r="AH1" s="227"/>
      <c r="AI1" s="227"/>
      <c r="AJ1" s="227"/>
      <c r="AK1" s="227"/>
      <c r="AL1" s="227"/>
      <c r="AM1" s="227"/>
      <c r="AN1" s="227"/>
      <c r="AO1" s="227"/>
      <c r="AP1" s="227"/>
      <c r="AQ1" s="227"/>
      <c r="AR1" s="227"/>
      <c r="AS1" s="227"/>
      <c r="AT1" s="254"/>
      <c r="AU1" s="207"/>
      <c r="AV1" s="188" t="s">
        <v>294</v>
      </c>
      <c r="AW1" s="189">
        <f>(BA1*AY1)/10000</f>
        <v>20</v>
      </c>
      <c r="AX1" s="190" t="s">
        <v>164</v>
      </c>
      <c r="AY1" s="191">
        <f>تسعير!$AT$54</f>
        <v>400</v>
      </c>
      <c r="AZ1" s="190" t="s">
        <v>125</v>
      </c>
      <c r="BA1" s="191">
        <f>تسعير!$AT$53</f>
        <v>500</v>
      </c>
      <c r="BB1" s="192"/>
      <c r="BC1" s="192"/>
      <c r="BD1" s="192" t="str">
        <f>تسعير!AT52</f>
        <v>بالتات</v>
      </c>
      <c r="BE1" s="192"/>
      <c r="BF1" s="192"/>
      <c r="BG1" s="879" t="s">
        <v>0</v>
      </c>
      <c r="BH1" s="880"/>
      <c r="BI1" s="881"/>
      <c r="BJ1" s="201" t="s">
        <v>1</v>
      </c>
      <c r="BK1" s="202" t="s">
        <v>2</v>
      </c>
      <c r="BL1" s="223" t="s">
        <v>3</v>
      </c>
      <c r="BM1" s="224" t="s">
        <v>4</v>
      </c>
      <c r="BN1" s="224" t="s">
        <v>5</v>
      </c>
      <c r="BO1" s="224" t="s">
        <v>6</v>
      </c>
      <c r="BP1" s="224" t="s">
        <v>7</v>
      </c>
      <c r="BQ1" s="225" t="s">
        <v>8</v>
      </c>
      <c r="BR1" s="226"/>
      <c r="BS1" s="227"/>
      <c r="BT1" s="227" t="s">
        <v>9</v>
      </c>
      <c r="BU1" s="227" t="s">
        <v>10</v>
      </c>
      <c r="BV1" s="227" t="s">
        <v>11</v>
      </c>
      <c r="BW1" s="227" t="s">
        <v>12</v>
      </c>
      <c r="BX1" s="227" t="s">
        <v>13</v>
      </c>
      <c r="BY1" s="227" t="s">
        <v>14</v>
      </c>
      <c r="BZ1" s="227" t="s">
        <v>15</v>
      </c>
      <c r="CA1" s="227"/>
      <c r="CB1" s="227"/>
      <c r="CC1" s="227"/>
      <c r="CD1" s="227"/>
      <c r="CE1" s="227"/>
      <c r="CF1" s="227"/>
      <c r="CG1" s="227"/>
      <c r="CH1" s="227"/>
      <c r="CI1" s="227"/>
      <c r="CJ1" s="227"/>
      <c r="CK1" s="227"/>
      <c r="CL1" s="227"/>
      <c r="CM1" s="227"/>
      <c r="CN1" s="227"/>
      <c r="CO1" s="254"/>
    </row>
    <row r="2" ht="18">
      <c r="A2" s="537" t="s">
        <v>9</v>
      </c>
      <c r="B2" s="538" t="s">
        <v>28</v>
      </c>
      <c r="C2" s="538" t="s">
        <v>295</v>
      </c>
      <c r="D2" s="538" t="s">
        <v>30</v>
      </c>
      <c r="E2" s="538" t="s">
        <v>296</v>
      </c>
      <c r="F2" s="538" t="s">
        <v>297</v>
      </c>
      <c r="G2" s="528"/>
      <c r="H2" s="539" t="s">
        <v>298</v>
      </c>
      <c r="I2" s="539"/>
      <c r="J2" s="539" t="s">
        <v>299</v>
      </c>
      <c r="L2" s="882"/>
      <c r="M2" s="883"/>
      <c r="N2" s="884"/>
      <c r="O2" s="203"/>
      <c r="P2" s="204"/>
      <c r="Q2" s="228">
        <f>O2*P2</f>
        <v>0</v>
      </c>
      <c r="R2" s="229" t="e">
        <f>R69/Q2</f>
        <v>#DIV/0!</v>
      </c>
      <c r="S2" s="230">
        <f>Sheet2!B12</f>
        <v>45000</v>
      </c>
      <c r="T2" s="231">
        <f>Sheet2!B13</f>
        <v>50000</v>
      </c>
      <c r="U2" s="232">
        <f>Sheet2!B14</f>
        <v>252000</v>
      </c>
      <c r="V2" s="232">
        <f>Sheet2!B15</f>
        <v>70000</v>
      </c>
      <c r="W2" s="233"/>
      <c r="X2" s="207"/>
      <c r="Y2" s="216" t="s">
        <v>16</v>
      </c>
      <c r="Z2" s="216">
        <v>0</v>
      </c>
      <c r="AA2" s="216">
        <v>0</v>
      </c>
      <c r="AB2" s="216">
        <v>0</v>
      </c>
      <c r="AC2" s="216">
        <v>1000</v>
      </c>
      <c r="AD2" s="216">
        <v>2000</v>
      </c>
      <c r="AE2" s="216">
        <v>0</v>
      </c>
      <c r="AF2" s="207"/>
      <c r="AG2" s="207"/>
      <c r="AH2" s="207"/>
      <c r="AI2" s="207"/>
      <c r="AJ2" s="207"/>
      <c r="AK2" s="207"/>
      <c r="AL2" s="207"/>
      <c r="AM2" s="207"/>
      <c r="AN2" s="207"/>
      <c r="AO2" s="207"/>
      <c r="AP2" s="207"/>
      <c r="AQ2" s="207"/>
      <c r="AR2" s="207"/>
      <c r="AS2" s="207"/>
      <c r="AT2" s="255"/>
      <c r="AU2" s="207"/>
      <c r="AV2" s="193" t="s">
        <v>9</v>
      </c>
      <c r="AW2" s="194" t="s">
        <v>28</v>
      </c>
      <c r="AX2" s="194" t="s">
        <v>295</v>
      </c>
      <c r="AY2" s="194" t="s">
        <v>30</v>
      </c>
      <c r="AZ2" s="194" t="s">
        <v>296</v>
      </c>
      <c r="BA2" s="194" t="s">
        <v>297</v>
      </c>
      <c r="BC2" s="195" t="s">
        <v>298</v>
      </c>
      <c r="BD2" s="195"/>
      <c r="BE2" s="195" t="s">
        <v>299</v>
      </c>
      <c r="BG2" s="882"/>
      <c r="BH2" s="883"/>
      <c r="BI2" s="884"/>
      <c r="BJ2" s="203"/>
      <c r="BK2" s="204"/>
      <c r="BL2" s="228">
        <f>BJ2*BK2</f>
        <v>0</v>
      </c>
      <c r="BM2" s="229" t="e">
        <f>BM68/BL2</f>
        <v>#DIV/0!</v>
      </c>
      <c r="BN2" s="230">
        <f>Sheet2!AW12</f>
        <v>0</v>
      </c>
      <c r="BO2" s="231">
        <f>Sheet2!AW13</f>
        <v>0</v>
      </c>
      <c r="BP2" s="232">
        <f>Sheet2!AW14</f>
        <v>0</v>
      </c>
      <c r="BQ2" s="232">
        <f>Sheet2!AW15</f>
        <v>0</v>
      </c>
      <c r="BR2" s="233"/>
      <c r="BS2" s="207"/>
      <c r="BT2" s="216" t="s">
        <v>16</v>
      </c>
      <c r="BU2" s="216">
        <v>0</v>
      </c>
      <c r="BV2" s="216">
        <v>0</v>
      </c>
      <c r="BW2" s="216">
        <v>0</v>
      </c>
      <c r="BX2" s="216">
        <v>1000</v>
      </c>
      <c r="BY2" s="216">
        <v>2000</v>
      </c>
      <c r="BZ2" s="216">
        <v>0</v>
      </c>
      <c r="CA2" s="207"/>
      <c r="CB2" s="207"/>
      <c r="CC2" s="207"/>
      <c r="CD2" s="207"/>
      <c r="CE2" s="207"/>
      <c r="CF2" s="207"/>
      <c r="CG2" s="207"/>
      <c r="CH2" s="207"/>
      <c r="CI2" s="207"/>
      <c r="CJ2" s="207"/>
      <c r="CK2" s="207"/>
      <c r="CL2" s="207"/>
      <c r="CM2" s="207"/>
      <c r="CN2" s="207"/>
      <c r="CO2" s="255"/>
    </row>
    <row r="3" ht="21.6">
      <c r="A3" s="537" t="s">
        <v>300</v>
      </c>
      <c r="B3" s="540">
        <f>ROUNDUP((12+((ROUNDUP((D1-210),15))/15)),0)</f>
        <v>32</v>
      </c>
      <c r="C3" s="541">
        <f>F1-16.5</f>
        <v>383.5</v>
      </c>
      <c r="D3" s="538" t="s">
        <v>301</v>
      </c>
      <c r="E3" s="538">
        <v>2.3</v>
      </c>
      <c r="F3" s="538">
        <f>IF(($H$1="سادة"),(J3*H3*E3*($U$2+(Sheet2!B41*1000))/1000),(J3*H3*E3*($U$2+(Sheet2!B15))/1000))</f>
        <v>94796.8</v>
      </c>
      <c r="G3" s="528"/>
      <c r="H3" s="539">
        <f>CEILING(Table80102114[[#This Row],[طول]]/100,0.5)</f>
        <v>4</v>
      </c>
      <c r="I3" s="279">
        <f ref="I3:I8" t="shared" si="0">(H3*100)/C3</f>
        <v>1.0430247718383312</v>
      </c>
      <c r="J3" s="542">
        <f ref="J3:J8" t="shared" si="1">B3/(ROUNDDOWN(I3,0))</f>
        <v>32</v>
      </c>
      <c r="L3" s="886" t="s">
        <v>17</v>
      </c>
      <c r="M3" s="887"/>
      <c r="N3" s="206" t="str">
        <f>IF(AND((I1="بالتات"),(D1&lt;=300),(F1&lt;=300)),"A11",IF(AND((I1="بالتات"),(D1&lt;=300),(F1&gt;300)),"A12",IF(AND((I1="بالتات"),(D1&gt;300),(D1&lt;=400),(F1&lt;=300)),"A21",IF(AND((I1="بالتات"),(D1&gt;300),(D1&lt;=400),(F1&gt;300)),"A22",IF(AND((I1="بالتات"),(D1&gt;400),(F1&lt;=300)),"A31",IF(AND((I1="بالتات"),(D1&gt;400),(F1&gt;300)),"A32",IF(AND((I1="قواعد عادية"),(D1&lt;=300),(F1&lt;=300)),"B11",IF(AND((I1="قواعد عادية"),(D1&lt;=300),(F1&gt;300)),"B12",IF(AND((I1="قواعد عادية"),(D1&gt;300),(D1&lt;=400),(F1&lt;=300)),"B21",IF(AND((I1="قواعد عادية"),(D1&gt;300),(D1&lt;=400),(F1&gt;300)),"B22",IF(AND((I1="قواعد عادية"),(D1&gt;400),(F1&lt;=300)),"B31",IF(AND((I1="قواعد عادية"),(D1&gt;400),(F1&gt;300)),"B32",0))))))))))))</f>
        <v>A32</v>
      </c>
      <c r="O3" s="207"/>
      <c r="P3" s="207"/>
      <c r="Q3" s="234" t="s">
        <v>18</v>
      </c>
      <c r="R3" s="888">
        <f>NOW()</f>
        <v>46132.450658726855</v>
      </c>
      <c r="S3" s="889"/>
      <c r="T3" s="889"/>
      <c r="U3" s="235"/>
      <c r="V3" s="235"/>
      <c r="W3" s="235"/>
      <c r="X3" s="207"/>
      <c r="Y3" s="216" t="s">
        <v>19</v>
      </c>
      <c r="Z3" s="216">
        <v>180</v>
      </c>
      <c r="AA3" s="216">
        <v>300</v>
      </c>
      <c r="AB3" s="216">
        <v>125</v>
      </c>
      <c r="AC3" s="216">
        <v>3000</v>
      </c>
      <c r="AD3" s="216">
        <v>5000</v>
      </c>
      <c r="AE3" s="216">
        <v>1000</v>
      </c>
      <c r="AF3" s="207"/>
      <c r="AG3" s="207"/>
      <c r="AH3" s="207"/>
      <c r="AI3" s="207"/>
      <c r="AJ3" s="207"/>
      <c r="AK3" s="207"/>
      <c r="AL3" s="207"/>
      <c r="AM3" s="207"/>
      <c r="AN3" s="207"/>
      <c r="AO3" s="207"/>
      <c r="AP3" s="207"/>
      <c r="AQ3" s="207"/>
      <c r="AR3" s="207"/>
      <c r="AS3" s="207"/>
      <c r="AT3" s="255"/>
      <c r="AU3" s="207"/>
      <c r="AV3" s="193" t="s">
        <v>300</v>
      </c>
      <c r="AW3" s="196">
        <f>ROUNDUP((12+((ROUNDUP((AY1-210),18))/18)),0)</f>
        <v>23</v>
      </c>
      <c r="AX3" s="197">
        <f>BA1-16.5</f>
        <v>483.5</v>
      </c>
      <c r="AY3" s="194" t="s">
        <v>301</v>
      </c>
      <c r="AZ3" s="194">
        <v>2</v>
      </c>
      <c r="BA3" s="194">
        <f>IF((تسعير!$AT$46="سادة"),(BE3*BC3*AZ3*(Sheet2!$B$14+(Sheet2!B41*1000))/1000),(BE3*BC3*AZ3*(Sheet2!$B$14+Sheet2!$B$15)/1000))</f>
        <v>74060</v>
      </c>
      <c r="BC3" s="258">
        <f>CEILING(Table8091[[#This Row],[طول]]/100,0.5)</f>
        <v>5</v>
      </c>
      <c r="BD3" s="259">
        <f>(BC3*100)/AX3</f>
        <v>1.0341261633919339</v>
      </c>
      <c r="BE3" s="261">
        <f>AW3/(ROUNDDOWN(BD3,0))</f>
        <v>23</v>
      </c>
      <c r="BG3" s="886" t="s">
        <v>17</v>
      </c>
      <c r="BH3" s="887"/>
      <c r="BI3" s="206" t="str">
        <f>IF(AND((BD1="بالتات"),(AY1&lt;=300),(BA1&lt;=300)),"A11",IF(AND((BD1="بالتات"),(AY1&lt;=300),(BA1&gt;300)),"A12",IF(AND((BD1="بالتات"),(AY1&gt;300),(AY1&lt;=400),(BA1&lt;=300)),"A21",IF(AND((BD1="بالتات"),(AY1&gt;300),(AY1&lt;=400),(BA1&gt;300)),"A22",IF(AND((BD1="بالتات"),(AY1&gt;400),(BA1&lt;=300)),"A31",IF(AND((BD1="بالتات"),(AY1&gt;400),(BA1&gt;300)),"A32",IF(AND((BD1="قواعد عادية"),(AY1&lt;=300),(BA1&lt;=300)),"B11",IF(AND((BD1="قواعد عادية"),(AY1&lt;=300),(BA1&gt;300)),"B12",IF(AND((BD1="قواعد عادية"),(AY1&gt;300),(AY1&lt;=400),(BA1&lt;=300)),"B21",IF(AND((BD1="قواعد عادية"),(AY1&gt;300),(AY1&lt;=400),(BA1&gt;300)),"B22",IF(AND((BD1="قواعد عادية"),(AY1&gt;400),(BA1&lt;=300)),"B31",IF(AND((BD1="قواعد عادية"),(AY1&gt;400),(BA1&gt;300)),"B32",0))))))))))))</f>
        <v>A22</v>
      </c>
      <c r="BJ3" s="207"/>
      <c r="BK3" s="207"/>
      <c r="BL3" s="234" t="s">
        <v>18</v>
      </c>
      <c r="BM3" s="888">
        <f>NOW()</f>
        <v>46132.450658726855</v>
      </c>
      <c r="BN3" s="889"/>
      <c r="BO3" s="889"/>
      <c r="BP3" s="235"/>
      <c r="BQ3" s="235"/>
      <c r="BR3" s="235"/>
      <c r="BS3" s="207"/>
      <c r="BT3" s="216" t="s">
        <v>19</v>
      </c>
      <c r="BU3" s="216">
        <v>180</v>
      </c>
      <c r="BV3" s="216">
        <v>300</v>
      </c>
      <c r="BW3" s="216">
        <v>125</v>
      </c>
      <c r="BX3" s="216">
        <v>3000</v>
      </c>
      <c r="BY3" s="216">
        <v>5000</v>
      </c>
      <c r="BZ3" s="216">
        <v>1000</v>
      </c>
      <c r="CA3" s="207"/>
      <c r="CB3" s="207"/>
      <c r="CC3" s="207"/>
      <c r="CD3" s="207"/>
      <c r="CE3" s="207"/>
      <c r="CF3" s="207"/>
      <c r="CG3" s="207"/>
      <c r="CH3" s="207"/>
      <c r="CI3" s="207"/>
      <c r="CJ3" s="207"/>
      <c r="CK3" s="207"/>
      <c r="CL3" s="207"/>
      <c r="CM3" s="207"/>
      <c r="CN3" s="207"/>
      <c r="CO3" s="255"/>
    </row>
    <row r="4" ht="18.6" s="187" customFormat="1">
      <c r="A4" s="537" t="s">
        <v>302</v>
      </c>
      <c r="B4" s="538">
        <v>2</v>
      </c>
      <c r="C4" s="540">
        <f>F1</f>
        <v>400</v>
      </c>
      <c r="D4" s="538" t="s">
        <v>301</v>
      </c>
      <c r="E4" s="538">
        <v>3.8</v>
      </c>
      <c r="F4" s="538">
        <f>IF(($H$1="سادة"),(J4*H4*E4*($U$2+(Sheet2!B41*1000))/1000),(J4*H4*E4*($U$2+(Sheet2!B15))/1000))</f>
        <v>9788.8</v>
      </c>
      <c r="G4" s="543"/>
      <c r="H4" s="539">
        <f>CEILING(Table80102114[[#This Row],[طول]]/100,0.5)</f>
        <v>4</v>
      </c>
      <c r="I4" s="279">
        <f t="shared" si="0"/>
        <v>1</v>
      </c>
      <c r="J4" s="542">
        <f t="shared" si="1"/>
        <v>2</v>
      </c>
      <c r="K4" s="1"/>
      <c r="L4" s="208"/>
      <c r="M4" s="208"/>
      <c r="N4" s="209"/>
      <c r="O4" s="885" t="s">
        <v>20</v>
      </c>
      <c r="P4" s="885"/>
      <c r="Q4" s="885"/>
      <c r="R4" s="885"/>
      <c r="S4" s="885"/>
      <c r="T4" s="885"/>
      <c r="U4" s="236"/>
      <c r="V4" s="236"/>
      <c r="W4" s="236"/>
      <c r="X4" s="207"/>
      <c r="Y4" s="216" t="s">
        <v>21</v>
      </c>
      <c r="Z4" s="216">
        <v>400</v>
      </c>
      <c r="AA4" s="216">
        <v>400</v>
      </c>
      <c r="AB4" s="216">
        <v>100</v>
      </c>
      <c r="AC4" s="216">
        <v>3500</v>
      </c>
      <c r="AD4" s="216">
        <v>6000</v>
      </c>
      <c r="AE4" s="216">
        <v>150</v>
      </c>
      <c r="AF4" s="207" t="s">
        <v>22</v>
      </c>
      <c r="AG4" s="207"/>
      <c r="AH4" s="207"/>
      <c r="AI4" s="207"/>
      <c r="AJ4" s="207" t="s">
        <v>23</v>
      </c>
      <c r="AK4" s="207" t="s">
        <v>24</v>
      </c>
      <c r="AL4" s="207" t="s">
        <v>25</v>
      </c>
      <c r="AM4" s="207" t="s">
        <v>26</v>
      </c>
      <c r="AN4" s="207"/>
      <c r="AO4" s="207" t="s">
        <v>9</v>
      </c>
      <c r="AP4" s="207" t="s">
        <v>30</v>
      </c>
      <c r="AQ4" s="207" t="s">
        <v>96</v>
      </c>
      <c r="AR4" s="207" t="s">
        <v>26</v>
      </c>
      <c r="AS4" s="207" t="s">
        <v>171</v>
      </c>
      <c r="AT4" s="255"/>
      <c r="AU4" s="207"/>
      <c r="AV4" s="193" t="s">
        <v>303</v>
      </c>
      <c r="AW4" s="194">
        <v>2</v>
      </c>
      <c r="AX4" s="196">
        <f>BA1</f>
        <v>500</v>
      </c>
      <c r="AY4" s="194" t="s">
        <v>301</v>
      </c>
      <c r="AZ4" s="194">
        <v>1.7</v>
      </c>
      <c r="BA4" s="194">
        <f>IF((تسعير!$AT$46="سادة"),(BE4*BC4*AZ4*(Sheet2!$B$14+(Sheet2!B41*1000))/1000),(BE4*BC4*AZ4*(Sheet2!$B$14+Sheet2!$B$15)/1000))</f>
        <v>5474</v>
      </c>
      <c r="BC4" s="258">
        <f>CEILING(Table8091[[#This Row],[طول]]/100,0.5)</f>
        <v>5</v>
      </c>
      <c r="BD4" s="205">
        <f ref="BD4:BD5" t="shared" si="2">(BC4*100)/AX4</f>
        <v>1</v>
      </c>
      <c r="BE4" s="262">
        <f ref="BE4:BE5" t="shared" si="3">AW4/(ROUNDDOWN(BD4,0))</f>
        <v>2</v>
      </c>
      <c r="BG4" s="208"/>
      <c r="BH4" s="208"/>
      <c r="BI4" s="209"/>
      <c r="BJ4" s="885" t="s">
        <v>20</v>
      </c>
      <c r="BK4" s="885"/>
      <c r="BL4" s="885"/>
      <c r="BM4" s="885"/>
      <c r="BN4" s="885"/>
      <c r="BO4" s="885"/>
      <c r="BP4" s="236"/>
      <c r="BQ4" s="236"/>
      <c r="BR4" s="236"/>
      <c r="BS4" s="207"/>
      <c r="BT4" s="216" t="s">
        <v>21</v>
      </c>
      <c r="BU4" s="216">
        <v>400</v>
      </c>
      <c r="BV4" s="216">
        <v>400</v>
      </c>
      <c r="BW4" s="216">
        <v>100</v>
      </c>
      <c r="BX4" s="216">
        <v>3500</v>
      </c>
      <c r="BY4" s="216">
        <v>6000</v>
      </c>
      <c r="BZ4" s="216">
        <v>150</v>
      </c>
      <c r="CA4" s="207" t="s">
        <v>22</v>
      </c>
      <c r="CB4" s="207"/>
      <c r="CC4" s="207"/>
      <c r="CD4" s="207"/>
      <c r="CE4" s="207" t="s">
        <v>23</v>
      </c>
      <c r="CF4" s="207" t="s">
        <v>24</v>
      </c>
      <c r="CG4" s="207" t="s">
        <v>25</v>
      </c>
      <c r="CH4" s="207" t="s">
        <v>26</v>
      </c>
      <c r="CI4" s="207"/>
      <c r="CJ4" s="207" t="s">
        <v>9</v>
      </c>
      <c r="CK4" s="207" t="s">
        <v>30</v>
      </c>
      <c r="CL4" s="207" t="s">
        <v>96</v>
      </c>
      <c r="CM4" s="207" t="s">
        <v>26</v>
      </c>
      <c r="CN4" s="207" t="s">
        <v>171</v>
      </c>
      <c r="CO4" s="255"/>
    </row>
    <row r="5" ht="18.6" s="187" customFormat="1">
      <c r="A5" s="537" t="s">
        <v>304</v>
      </c>
      <c r="B5" s="538">
        <v>2</v>
      </c>
      <c r="C5" s="540">
        <f>D1</f>
        <v>510</v>
      </c>
      <c r="D5" s="538" t="s">
        <v>301</v>
      </c>
      <c r="E5" s="538">
        <v>3.8</v>
      </c>
      <c r="F5" s="538">
        <f>IF(($H$1="سادة"),(J5*H5*E5*($U$2+(Sheet2!B41*1000))/1000),(J5*H5*E5*($U$2+(Sheet2!B15))/1000))</f>
        <v>13459.6</v>
      </c>
      <c r="G5" s="543"/>
      <c r="H5" s="539">
        <f>CEILING(Table80102114[[#This Row],[طول]]/100,0.5)</f>
        <v>5.5</v>
      </c>
      <c r="I5" s="279">
        <f t="shared" si="0"/>
        <v>1.0784313725490196</v>
      </c>
      <c r="J5" s="542">
        <f t="shared" si="1"/>
        <v>2</v>
      </c>
      <c r="K5" s="1"/>
      <c r="L5" s="208" t="s">
        <v>27</v>
      </c>
      <c r="M5" s="208" t="s">
        <v>28</v>
      </c>
      <c r="N5" s="210" t="s">
        <v>29</v>
      </c>
      <c r="O5" s="208" t="s">
        <v>30</v>
      </c>
      <c r="P5" s="208" t="s">
        <v>9</v>
      </c>
      <c r="Q5" s="208" t="s">
        <v>31</v>
      </c>
      <c r="R5" s="237" t="s">
        <v>32</v>
      </c>
      <c r="S5" s="237" t="s">
        <v>33</v>
      </c>
      <c r="T5" s="237" t="s">
        <v>305</v>
      </c>
      <c r="U5" s="237" t="s">
        <v>35</v>
      </c>
      <c r="V5" s="238" t="s">
        <v>36</v>
      </c>
      <c r="W5" s="237" t="s">
        <v>37</v>
      </c>
      <c r="X5" s="207"/>
      <c r="Y5" s="216" t="s">
        <v>38</v>
      </c>
      <c r="Z5" s="216">
        <v>400</v>
      </c>
      <c r="AA5" s="216">
        <v>400</v>
      </c>
      <c r="AB5" s="216">
        <v>100</v>
      </c>
      <c r="AC5" s="216">
        <v>3500</v>
      </c>
      <c r="AD5" s="216">
        <v>6000</v>
      </c>
      <c r="AE5" s="216">
        <v>150</v>
      </c>
      <c r="AF5" s="207" t="s">
        <v>39</v>
      </c>
      <c r="AG5" s="207"/>
      <c r="AH5" s="207"/>
      <c r="AI5" s="207"/>
      <c r="AJ5" s="233" t="s">
        <v>40</v>
      </c>
      <c r="AK5" s="233">
        <v>0.4</v>
      </c>
      <c r="AL5" s="237" t="s">
        <v>41</v>
      </c>
      <c r="AM5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5" s="207"/>
      <c r="AO5" s="207" t="s">
        <v>173</v>
      </c>
      <c r="AP5" s="207">
        <v>0.03</v>
      </c>
      <c r="AQ5" s="207">
        <v>0.03</v>
      </c>
      <c r="AR5" s="207"/>
      <c r="AS5" s="207"/>
      <c r="AT5" s="255"/>
      <c r="AU5" s="207"/>
      <c r="AV5" s="193" t="s">
        <v>304</v>
      </c>
      <c r="AW5" s="194">
        <v>2</v>
      </c>
      <c r="AX5" s="196">
        <f>AY1</f>
        <v>400</v>
      </c>
      <c r="AY5" s="194" t="s">
        <v>301</v>
      </c>
      <c r="AZ5" s="194">
        <v>1.7</v>
      </c>
      <c r="BA5" s="194">
        <f>IF((تسعير!$AT$46="سادة"),(BE5*BC5*AZ5*(Sheet2!$B$14+(Sheet2!B41*1000))/1000),(BE5*BC5*AZ5*(Sheet2!$B$14+Sheet2!$B$15)/1000))</f>
        <v>4379.2</v>
      </c>
      <c r="BC5" s="258">
        <f>CEILING(Table8091[[#This Row],[طول]]/100,0.5)</f>
        <v>4</v>
      </c>
      <c r="BD5" s="260">
        <f t="shared" si="2"/>
        <v>1</v>
      </c>
      <c r="BE5" s="263">
        <f t="shared" si="3"/>
        <v>2</v>
      </c>
      <c r="BG5" s="208" t="s">
        <v>27</v>
      </c>
      <c r="BH5" s="208" t="s">
        <v>28</v>
      </c>
      <c r="BI5" s="210" t="s">
        <v>29</v>
      </c>
      <c r="BJ5" s="208" t="s">
        <v>30</v>
      </c>
      <c r="BK5" s="208" t="s">
        <v>9</v>
      </c>
      <c r="BL5" s="208" t="s">
        <v>31</v>
      </c>
      <c r="BM5" s="237" t="s">
        <v>32</v>
      </c>
      <c r="BN5" s="237" t="s">
        <v>33</v>
      </c>
      <c r="BO5" s="237" t="s">
        <v>305</v>
      </c>
      <c r="BP5" s="237" t="s">
        <v>35</v>
      </c>
      <c r="BQ5" s="238" t="s">
        <v>36</v>
      </c>
      <c r="BR5" s="237" t="s">
        <v>37</v>
      </c>
      <c r="BS5" s="207"/>
      <c r="BT5" s="216" t="s">
        <v>38</v>
      </c>
      <c r="BU5" s="216">
        <v>400</v>
      </c>
      <c r="BV5" s="216">
        <v>400</v>
      </c>
      <c r="BW5" s="216">
        <v>100</v>
      </c>
      <c r="BX5" s="216">
        <v>3500</v>
      </c>
      <c r="BY5" s="216">
        <v>6000</v>
      </c>
      <c r="BZ5" s="216">
        <v>150</v>
      </c>
      <c r="CA5" s="207" t="s">
        <v>39</v>
      </c>
      <c r="CB5" s="207"/>
      <c r="CC5" s="207"/>
      <c r="CD5" s="207"/>
      <c r="CE5" s="233" t="s">
        <v>40</v>
      </c>
      <c r="CF5" s="233">
        <v>0.4</v>
      </c>
      <c r="CG5" s="237" t="s">
        <v>41</v>
      </c>
      <c r="CH5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5" s="207"/>
      <c r="CJ5" s="207" t="s">
        <v>173</v>
      </c>
      <c r="CK5" s="207">
        <v>0.03</v>
      </c>
      <c r="CL5" s="207">
        <v>0.03</v>
      </c>
      <c r="CM5" s="207"/>
      <c r="CN5" s="207"/>
      <c r="CO5" s="255"/>
    </row>
    <row r="6" ht="18" s="187" customFormat="1">
      <c r="A6" s="537" t="s">
        <v>306</v>
      </c>
      <c r="B6" s="538">
        <v>2</v>
      </c>
      <c r="C6" s="540">
        <f>F1</f>
        <v>400</v>
      </c>
      <c r="D6" s="538" t="s">
        <v>301</v>
      </c>
      <c r="E6" s="538">
        <v>1.7</v>
      </c>
      <c r="F6" s="538">
        <f>IF(($H$1="سادة"),(J6*H6*E6*($U$2+(Sheet2!B41*1000))/1000),(J6*H6*E6*($U$2+(Sheet2!B15))/1000))</f>
        <v>4379.2</v>
      </c>
      <c r="G6" s="543"/>
      <c r="H6" s="539">
        <f>CEILING(Table80102114[[#This Row],[طول]]/100,0.5)</f>
        <v>4</v>
      </c>
      <c r="I6" s="279">
        <f t="shared" si="0"/>
        <v>1</v>
      </c>
      <c r="J6" s="542">
        <f t="shared" si="1"/>
        <v>2</v>
      </c>
      <c r="K6" s="1"/>
      <c r="L6" s="211">
        <v>1</v>
      </c>
      <c r="M6" s="212">
        <f>IF(OR((N3="a11"),(N3="a112"),(N3="a21"),(N3="a22"),(N3="a31"),(N3="a32")),1,2)</f>
        <v>1</v>
      </c>
      <c r="N6" s="213" t="s">
        <v>307</v>
      </c>
      <c r="O6" s="214">
        <v>0.15</v>
      </c>
      <c r="P6" s="214">
        <v>0.15</v>
      </c>
      <c r="Q6" s="211">
        <f>(Table15880[[#This Row],[Column1]]+Table15880[[#This Row],[Column2]])*12*Table15880[[#This Row],[عدد]]</f>
        <v>3.5999999999999996</v>
      </c>
      <c r="R6" s="211"/>
      <c r="S6" s="211">
        <v>57</v>
      </c>
      <c r="T6" s="211">
        <f>Table15880[[#This Row],[المسطح]]*Table15880[[#This Row],[عدد]]</f>
        <v>3.5999999999999996</v>
      </c>
      <c r="U6" s="239">
        <f>S6*$S$2/1000</f>
        <v>2565</v>
      </c>
      <c r="V6" s="240">
        <f>M6*U6</f>
        <v>2565</v>
      </c>
      <c r="W6" s="241">
        <f>(V6)/$R$68</f>
        <v>0.009835792121588029</v>
      </c>
      <c r="X6" s="216"/>
      <c r="Y6" s="216" t="s">
        <v>44</v>
      </c>
      <c r="Z6" s="216">
        <v>320</v>
      </c>
      <c r="AA6" s="216">
        <v>400</v>
      </c>
      <c r="AB6" s="216">
        <v>100</v>
      </c>
      <c r="AC6" s="216">
        <v>3500</v>
      </c>
      <c r="AD6" s="216">
        <v>6000</v>
      </c>
      <c r="AE6" s="216">
        <v>150</v>
      </c>
      <c r="AF6" s="216"/>
      <c r="AG6" s="216"/>
      <c r="AH6" s="216"/>
      <c r="AI6" s="216"/>
      <c r="AJ6" s="216" t="s">
        <v>45</v>
      </c>
      <c r="AK6" s="216">
        <v>0.25</v>
      </c>
      <c r="AL6" s="216" t="s">
        <v>46</v>
      </c>
      <c r="AM6" s="216">
        <f>AM5*Table66374[[#This Row],[المعدل]]+4</f>
        <v>7.096</v>
      </c>
      <c r="AN6" s="216"/>
      <c r="AO6" s="216" t="s">
        <v>175</v>
      </c>
      <c r="AP6" s="216">
        <v>0.05</v>
      </c>
      <c r="AQ6" s="216">
        <v>0.05</v>
      </c>
      <c r="AR6" s="216"/>
      <c r="AS6" s="216"/>
      <c r="AT6" s="256"/>
      <c r="AU6" s="216"/>
      <c r="AV6" s="193" t="s">
        <v>308</v>
      </c>
      <c r="AW6" s="194">
        <v>1</v>
      </c>
      <c r="AX6" s="194">
        <f>(15.6*(AW3-1)+4)</f>
        <v>347.2</v>
      </c>
      <c r="AY6" s="194" t="s">
        <v>301</v>
      </c>
      <c r="AZ6" s="194">
        <v>600</v>
      </c>
      <c r="BA6" s="194">
        <f>AZ6*AW6</f>
        <v>600</v>
      </c>
      <c r="BC6" s="195"/>
      <c r="BD6" s="1"/>
      <c r="BE6" s="1"/>
      <c r="BG6" s="211">
        <v>1</v>
      </c>
      <c r="BH6" s="212">
        <f>IF(OR((BI3="a11"),(BI3="a112"),(BI3="a21"),(BI3="a22"),(BI3="a31"),(BI3="a32")),1,2)</f>
        <v>1</v>
      </c>
      <c r="BI6" s="213" t="s">
        <v>309</v>
      </c>
      <c r="BJ6" s="214">
        <v>0.15</v>
      </c>
      <c r="BK6" s="214">
        <v>0.15</v>
      </c>
      <c r="BL6" s="211">
        <f>(Table1588090[[#This Row],[Column1]]+Table1588090[[#This Row],[Column2]])*12*Table1588090[[#This Row],[عدد]]</f>
        <v>3.5999999999999996</v>
      </c>
      <c r="BM6" s="211"/>
      <c r="BN6" s="211">
        <v>57</v>
      </c>
      <c r="BO6" s="211">
        <f>Table1588090[[#This Row],[المسطح]]*Table1588090[[#This Row],[عدد]]</f>
        <v>3.5999999999999996</v>
      </c>
      <c r="BP6" s="239">
        <f>BN6*$S$2/1000</f>
        <v>2565</v>
      </c>
      <c r="BQ6" s="240">
        <f>BH6*BP6</f>
        <v>2565</v>
      </c>
      <c r="BR6" s="241">
        <f>(BQ6)/$R$68</f>
        <v>0.009835792121588029</v>
      </c>
      <c r="BS6" s="216"/>
      <c r="BT6" s="216" t="s">
        <v>44</v>
      </c>
      <c r="BU6" s="216">
        <v>320</v>
      </c>
      <c r="BV6" s="216">
        <v>400</v>
      </c>
      <c r="BW6" s="216">
        <v>100</v>
      </c>
      <c r="BX6" s="216">
        <v>3500</v>
      </c>
      <c r="BY6" s="216">
        <v>6000</v>
      </c>
      <c r="BZ6" s="216">
        <v>150</v>
      </c>
      <c r="CA6" s="216"/>
      <c r="CB6" s="216"/>
      <c r="CC6" s="216"/>
      <c r="CD6" s="216"/>
      <c r="CE6" s="216" t="s">
        <v>45</v>
      </c>
      <c r="CF6" s="216">
        <v>0.25</v>
      </c>
      <c r="CG6" s="216" t="s">
        <v>46</v>
      </c>
      <c r="CH6" s="216">
        <f>CH5*Table6637484[[#This Row],[المعدل]]+4</f>
        <v>4</v>
      </c>
      <c r="CI6" s="216"/>
      <c r="CJ6" s="216" t="s">
        <v>175</v>
      </c>
      <c r="CK6" s="216">
        <v>0.05</v>
      </c>
      <c r="CL6" s="216">
        <v>0.05</v>
      </c>
      <c r="CM6" s="216"/>
      <c r="CN6" s="216"/>
      <c r="CO6" s="256"/>
    </row>
    <row r="7" ht="18" s="187" customFormat="1">
      <c r="A7" s="537" t="s">
        <v>310</v>
      </c>
      <c r="B7" s="538">
        <v>2</v>
      </c>
      <c r="C7" s="540">
        <f>D1</f>
        <v>510</v>
      </c>
      <c r="D7" s="538" t="s">
        <v>301</v>
      </c>
      <c r="E7" s="538">
        <v>1.7</v>
      </c>
      <c r="F7" s="538">
        <f>IF(($H$1="سادة"),(J7*H7*E7*($U$2+(Sheet2!B41*1000))/1000),(J7*H7*E7*($U$2+(Sheet2!B15))/1000))</f>
        <v>6021.4</v>
      </c>
      <c r="G7" s="543"/>
      <c r="H7" s="539">
        <f>CEILING(Table80102114[[#This Row],[طول]]/100,0.5)</f>
        <v>5.5</v>
      </c>
      <c r="I7" s="279">
        <f t="shared" si="0"/>
        <v>1.0784313725490196</v>
      </c>
      <c r="J7" s="542">
        <f t="shared" si="1"/>
        <v>2</v>
      </c>
      <c r="K7" s="1"/>
      <c r="L7" s="211">
        <v>2</v>
      </c>
      <c r="M7" s="212">
        <f>IF((N3="A11"),2,IF((N3="A12"),3,IF((N3="A21"),3,IF((N3="A22"),4,IF((N3="B11"),2,IF((N3="B12"),3,IF((N3="B21"),3,IF((N3="B22"),4,IF((N3="A31"),3,IF((N3="A32"),4,IF((N3="B31"),3,IF((N3="B32"),4,0))))))))))))</f>
        <v>4</v>
      </c>
      <c r="N7" s="213" t="s">
        <v>311</v>
      </c>
      <c r="O7" s="214">
        <v>0.05</v>
      </c>
      <c r="P7" s="214">
        <v>0.15</v>
      </c>
      <c r="Q7" s="211">
        <f>(Table15880[[#This Row],[Column1]]+Table15880[[#This Row],[Column2]])*12*Table15880[[#This Row],[عدد]]</f>
        <v>9.6000000000000014</v>
      </c>
      <c r="R7" s="211"/>
      <c r="S7" s="211">
        <v>37</v>
      </c>
      <c r="T7" s="211">
        <f>Table15880[[#This Row],[المسطح]]*Table15880[[#This Row],[عدد]]</f>
        <v>38.400000000000006</v>
      </c>
      <c r="U7" s="239">
        <f>S7*$S$2/1000</f>
        <v>1665</v>
      </c>
      <c r="V7" s="240">
        <f>M7*U7</f>
        <v>6660</v>
      </c>
      <c r="W7" s="241">
        <f>(V7)/$R$68</f>
        <v>0.025538547964825058</v>
      </c>
      <c r="X7" s="216"/>
      <c r="Y7" s="216" t="s">
        <v>48</v>
      </c>
      <c r="Z7" s="216">
        <v>250</v>
      </c>
      <c r="AA7" s="216">
        <v>400</v>
      </c>
      <c r="AB7" s="216">
        <v>100</v>
      </c>
      <c r="AC7" s="216">
        <v>5000</v>
      </c>
      <c r="AD7" s="216">
        <v>8000</v>
      </c>
      <c r="AE7" s="216">
        <v>400</v>
      </c>
      <c r="AF7" s="216"/>
      <c r="AG7" s="216"/>
      <c r="AH7" s="216"/>
      <c r="AI7" s="216"/>
      <c r="AJ7" s="216" t="s">
        <v>49</v>
      </c>
      <c r="AK7" s="216">
        <v>0.25</v>
      </c>
      <c r="AL7" s="211" t="s">
        <v>50</v>
      </c>
      <c r="AM7" s="216">
        <f>IF((تسعير!AT25="A"),IF(((Table15880[[#Totals],[المسطح]]+Table166273[[#Totals],[Column12]])&gt;0),(Table15880[[#Totals],[المسطح]]+Table166273[[#Totals],[Column12]]+1)*Table66374[[#This Row],[المعدل]]),0)</f>
        <v>7.74</v>
      </c>
      <c r="AN7" s="216"/>
      <c r="AO7" s="216" t="s">
        <v>177</v>
      </c>
      <c r="AP7" s="216">
        <v>0.07</v>
      </c>
      <c r="AQ7" s="216">
        <v>0.07</v>
      </c>
      <c r="AR7" s="216"/>
      <c r="AS7" s="216"/>
      <c r="AT7" s="256"/>
      <c r="AU7" s="216"/>
      <c r="AV7" s="193" t="s">
        <v>312</v>
      </c>
      <c r="AW7" s="194"/>
      <c r="AX7" s="194">
        <f>AW3*2</f>
        <v>46</v>
      </c>
      <c r="AY7" s="194" t="s">
        <v>28</v>
      </c>
      <c r="AZ7" s="194">
        <v>17</v>
      </c>
      <c r="BA7" s="194">
        <f>AZ7*AX7</f>
        <v>782</v>
      </c>
      <c r="BC7" s="195"/>
      <c r="BD7" s="1"/>
      <c r="BE7" s="1"/>
      <c r="BG7" s="211">
        <v>2</v>
      </c>
      <c r="BH7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7" s="213" t="s">
        <v>311</v>
      </c>
      <c r="BJ7" s="214">
        <v>0.05</v>
      </c>
      <c r="BK7" s="214">
        <v>0.15</v>
      </c>
      <c r="BL7" s="211">
        <f>(Table1588090[[#This Row],[Column1]]+Table1588090[[#This Row],[Column2]])*12*Table1588090[[#This Row],[عدد]]</f>
        <v>9.6000000000000014</v>
      </c>
      <c r="BM7" s="211"/>
      <c r="BN7" s="211">
        <v>37</v>
      </c>
      <c r="BO7" s="211">
        <f>Table1588090[[#This Row],[المسطح]]*Table1588090[[#This Row],[عدد]]</f>
        <v>38.400000000000006</v>
      </c>
      <c r="BP7" s="239">
        <f>BN7*$S$2/1000</f>
        <v>1665</v>
      </c>
      <c r="BQ7" s="240">
        <f>BH7*BP7</f>
        <v>6660</v>
      </c>
      <c r="BR7" s="241">
        <f>(BQ7)/$R$68</f>
        <v>0.025538547964825058</v>
      </c>
      <c r="BS7" s="216"/>
      <c r="BT7" s="216" t="s">
        <v>48</v>
      </c>
      <c r="BU7" s="216">
        <v>250</v>
      </c>
      <c r="BV7" s="216">
        <v>400</v>
      </c>
      <c r="BW7" s="216">
        <v>100</v>
      </c>
      <c r="BX7" s="216">
        <v>5000</v>
      </c>
      <c r="BY7" s="216">
        <v>8000</v>
      </c>
      <c r="BZ7" s="216">
        <v>400</v>
      </c>
      <c r="CA7" s="216"/>
      <c r="CB7" s="216"/>
      <c r="CC7" s="216"/>
      <c r="CD7" s="216"/>
      <c r="CE7" s="216" t="s">
        <v>49</v>
      </c>
      <c r="CF7" s="216">
        <v>0.25</v>
      </c>
      <c r="CG7" s="211" t="s">
        <v>50</v>
      </c>
      <c r="CH7" s="216">
        <f>IF((تسعير!AT45="A"),IF(((Table1588090[[#Totals],[المسطح]]+Table16627383[[#Totals],[Column12]])&gt;0),(Table1588090[[#Totals],[المسطح]]+Table16627383[[#Totals],[Column12]]+1)*Table6637484[[#This Row],[المعدل]]),0)</f>
        <v>0</v>
      </c>
      <c r="CI7" s="216"/>
      <c r="CJ7" s="216" t="s">
        <v>177</v>
      </c>
      <c r="CK7" s="216">
        <v>0.07</v>
      </c>
      <c r="CL7" s="216">
        <v>0.07</v>
      </c>
      <c r="CM7" s="216"/>
      <c r="CN7" s="216"/>
      <c r="CO7" s="256"/>
    </row>
    <row r="8" ht="18" s="187" customFormat="1">
      <c r="A8" s="537" t="s">
        <v>313</v>
      </c>
      <c r="B8" s="538">
        <v>2</v>
      </c>
      <c r="C8" s="538">
        <f>C3</f>
        <v>383.5</v>
      </c>
      <c r="D8" s="538" t="s">
        <v>301</v>
      </c>
      <c r="E8" s="538">
        <v>0.65</v>
      </c>
      <c r="F8" s="538">
        <f>IF(($H$1="سادة"),(J8*H8*E8*($U$2+(Sheet2!B41*1000))/1000),(J8*H8*E8*($U$2+(Sheet2!B15))/1000))</f>
        <v>1674.4</v>
      </c>
      <c r="G8" s="543"/>
      <c r="H8" s="539">
        <f>CEILING(Table80102114[[#This Row],[طول]]/100,0.5)</f>
        <v>4</v>
      </c>
      <c r="I8" s="279">
        <f t="shared" si="0"/>
        <v>1.0430247718383312</v>
      </c>
      <c r="J8" s="542">
        <f t="shared" si="1"/>
        <v>2</v>
      </c>
      <c r="K8" s="1"/>
      <c r="L8" s="211">
        <v>3</v>
      </c>
      <c r="M8" s="212">
        <f>IF((N3="A11"),2,IF((N3="A12"),3,IF((N3="A21"),3,IF((N3="A22"),4,IF((N3="B11"),2,IF((N3="B12"),3,IF((N3="B21"),3,IF((N3="B22"),4,IF((N3="A31"),3,IF((N3="A32"),4,IF((N3="B31"),3,IF((N3="B32"),4,0))))))))))))</f>
        <v>4</v>
      </c>
      <c r="N8" s="550" t="s">
        <v>314</v>
      </c>
      <c r="O8" s="214">
        <v>0.07</v>
      </c>
      <c r="P8" s="214">
        <v>0.07</v>
      </c>
      <c r="Q8" s="211">
        <f>(Table15880[[#This Row],[Column1]]+Table15880[[#This Row],[Column2]])*12*Table15880[[#This Row],[عدد]]</f>
        <v>6.7200000000000006</v>
      </c>
      <c r="R8" s="211"/>
      <c r="S8" s="211">
        <v>44</v>
      </c>
      <c r="T8" s="211">
        <f>Table15880[[#This Row],[المسطح]]*Table15880[[#This Row],[عدد]]</f>
        <v>26.880000000000003</v>
      </c>
      <c r="U8" s="239">
        <f>S8*$S$2/1000</f>
        <v>1980</v>
      </c>
      <c r="V8" s="240">
        <f>M8*U8</f>
        <v>7920</v>
      </c>
      <c r="W8" s="241">
        <f>(V8)/$R$68</f>
        <v>0.030370165147359532</v>
      </c>
      <c r="X8" s="216"/>
      <c r="Y8" s="216" t="s">
        <v>52</v>
      </c>
      <c r="Z8" s="216">
        <v>75</v>
      </c>
      <c r="AA8" s="216">
        <v>200</v>
      </c>
      <c r="AB8" s="216">
        <v>100</v>
      </c>
      <c r="AC8" s="216">
        <v>3000</v>
      </c>
      <c r="AD8" s="216">
        <v>5000</v>
      </c>
      <c r="AE8" s="216">
        <v>250</v>
      </c>
      <c r="AF8" s="216"/>
      <c r="AG8" s="216"/>
      <c r="AH8" s="216"/>
      <c r="AI8" s="216"/>
      <c r="AJ8" s="216" t="s">
        <v>53</v>
      </c>
      <c r="AK8" s="216">
        <v>0.4</v>
      </c>
      <c r="AL8" s="211" t="s">
        <v>50</v>
      </c>
      <c r="AM8" s="216">
        <f>IF((تسعير!AT25="A"),IF(((Table15880[[#Totals],[المسطح]]+Table166273[[#Totals],[Column12]])&gt;0),(Table15880[[#Totals],[المسطح]]+Table166273[[#Totals],[Column12]]-Q10+1)*Table66374[[#This Row],[المعدل]]),0)</f>
        <v>12.384</v>
      </c>
      <c r="AN8" s="216"/>
      <c r="AO8" s="216" t="s">
        <v>179</v>
      </c>
      <c r="AP8" s="216">
        <v>0.1</v>
      </c>
      <c r="AQ8" s="216">
        <v>0.1</v>
      </c>
      <c r="AR8" s="216"/>
      <c r="AS8" s="216"/>
      <c r="AT8" s="256"/>
      <c r="AU8" s="216"/>
      <c r="AV8" s="193" t="s">
        <v>315</v>
      </c>
      <c r="AW8" s="194"/>
      <c r="AX8" s="194">
        <f>AW3*2</f>
        <v>46</v>
      </c>
      <c r="AY8" s="194" t="s">
        <v>28</v>
      </c>
      <c r="AZ8" s="194">
        <v>12</v>
      </c>
      <c r="BA8" s="194">
        <f>AZ8*AX8</f>
        <v>552</v>
      </c>
      <c r="BC8" s="195"/>
      <c r="BD8" s="1"/>
      <c r="BE8" s="1"/>
      <c r="BG8" s="211">
        <v>3</v>
      </c>
      <c r="BH8" s="212">
        <f>IF((BI3="A11"),2,IF((BI3="A12"),3,IF((BI3="A21"),3,IF((BI3="A22"),4,IF((BI3="B11"),2,IF((BI3="B12"),3,IF((BI3="B21"),3,IF((BI3="B22"),4,IF((BI3="A31"),3,IF((BI3="A32"),4,IF((BI3="B31"),3,IF((BI3="B32"),4,0))))))))))))</f>
        <v>4</v>
      </c>
      <c r="BI8" s="550" t="s">
        <v>314</v>
      </c>
      <c r="BJ8" s="214">
        <v>0.07</v>
      </c>
      <c r="BK8" s="214">
        <v>0.07</v>
      </c>
      <c r="BL8" s="211">
        <f>(Table1588090[[#This Row],[Column1]]+Table1588090[[#This Row],[Column2]])*12*Table1588090[[#This Row],[عدد]]</f>
        <v>6.7200000000000006</v>
      </c>
      <c r="BM8" s="211"/>
      <c r="BN8" s="211">
        <v>44</v>
      </c>
      <c r="BO8" s="211">
        <f>Table1588090[[#This Row],[المسطح]]*Table1588090[[#This Row],[عدد]]</f>
        <v>26.880000000000003</v>
      </c>
      <c r="BP8" s="239">
        <f>BN8*$S$2/1000</f>
        <v>1980</v>
      </c>
      <c r="BQ8" s="240">
        <f>BH8*BP8</f>
        <v>7920</v>
      </c>
      <c r="BR8" s="241">
        <f>(BQ8)/$R$68</f>
        <v>0.030370165147359532</v>
      </c>
      <c r="BS8" s="216"/>
      <c r="BT8" s="216" t="s">
        <v>52</v>
      </c>
      <c r="BU8" s="216">
        <v>75</v>
      </c>
      <c r="BV8" s="216">
        <v>200</v>
      </c>
      <c r="BW8" s="216">
        <v>100</v>
      </c>
      <c r="BX8" s="216">
        <v>3000</v>
      </c>
      <c r="BY8" s="216">
        <v>5000</v>
      </c>
      <c r="BZ8" s="216">
        <v>250</v>
      </c>
      <c r="CA8" s="216"/>
      <c r="CB8" s="216"/>
      <c r="CC8" s="216"/>
      <c r="CD8" s="216"/>
      <c r="CE8" s="216" t="s">
        <v>53</v>
      </c>
      <c r="CF8" s="216">
        <v>0.4</v>
      </c>
      <c r="CG8" s="211" t="s">
        <v>50</v>
      </c>
      <c r="CH8" s="216">
        <f>IF((تسعير!AT45="A"),IF(((Table1588090[[#Totals],[المسطح]]+Table16627383[[#Totals],[Column12]])&gt;0),(Table1588090[[#Totals],[المسطح]]+Table16627383[[#Totals],[Column12]]-BL10+1)*Table6637484[[#This Row],[المعدل]]),0)</f>
        <v>0</v>
      </c>
      <c r="CI8" s="216"/>
      <c r="CJ8" s="216" t="s">
        <v>179</v>
      </c>
      <c r="CK8" s="216">
        <v>0.1</v>
      </c>
      <c r="CL8" s="216">
        <v>0.1</v>
      </c>
      <c r="CM8" s="216"/>
      <c r="CN8" s="216"/>
      <c r="CO8" s="256"/>
    </row>
    <row r="9" ht="18" s="187" customFormat="1">
      <c r="A9" s="537" t="s">
        <v>308</v>
      </c>
      <c r="B9" s="538">
        <v>2</v>
      </c>
      <c r="C9" s="538">
        <f>(15.6*(B3-1)+4)</f>
        <v>487.59999999999997</v>
      </c>
      <c r="D9" s="538" t="s">
        <v>301</v>
      </c>
      <c r="E9" s="538">
        <v>1000</v>
      </c>
      <c r="F9" s="538">
        <f>E9*B9</f>
        <v>2000</v>
      </c>
      <c r="G9" s="543"/>
      <c r="H9" s="544"/>
      <c r="I9" s="528"/>
      <c r="J9" s="528"/>
      <c r="L9" s="211">
        <v>5</v>
      </c>
      <c r="M9" s="212">
        <v>0</v>
      </c>
      <c r="N9" s="213" t="s">
        <v>309</v>
      </c>
      <c r="O9" s="214">
        <v>0.15</v>
      </c>
      <c r="P9" s="214">
        <v>0.15</v>
      </c>
      <c r="Q9" s="211">
        <f>(Table15880[[#This Row],[Column1]]+Table15880[[#This Row],[Column2]])*12*Table15880[[#This Row],[عدد]]</f>
        <v>0</v>
      </c>
      <c r="R9" s="211"/>
      <c r="S9" s="211">
        <v>84</v>
      </c>
      <c r="T9" s="211">
        <f>Table15880[[#This Row],[المسطح]]*Table15880[[#This Row],[عدد]]</f>
        <v>0</v>
      </c>
      <c r="U9" s="239">
        <f>S9*$S$2/1000</f>
        <v>3780</v>
      </c>
      <c r="V9" s="240">
        <f>M9*U9</f>
        <v>0</v>
      </c>
      <c r="W9" s="241">
        <f>(V9)/$R$68</f>
        <v>0</v>
      </c>
      <c r="X9" s="216"/>
      <c r="Y9" s="216" t="s">
        <v>55</v>
      </c>
      <c r="Z9" s="216">
        <v>75</v>
      </c>
      <c r="AA9" s="216">
        <v>200</v>
      </c>
      <c r="AB9" s="216">
        <v>100</v>
      </c>
      <c r="AC9" s="216">
        <v>3000</v>
      </c>
      <c r="AD9" s="216">
        <v>6000</v>
      </c>
      <c r="AE9" s="216">
        <v>250</v>
      </c>
      <c r="AF9" s="216"/>
      <c r="AG9" s="216"/>
      <c r="AH9" s="216"/>
      <c r="AI9" s="216"/>
      <c r="AJ9" s="216" t="s">
        <v>56</v>
      </c>
      <c r="AK9" s="216"/>
      <c r="AL9" s="216" t="s">
        <v>57</v>
      </c>
      <c r="AM9" s="216"/>
      <c r="AN9" s="216"/>
      <c r="AO9" s="216" t="s">
        <v>181</v>
      </c>
      <c r="AP9" s="216">
        <v>0.15</v>
      </c>
      <c r="AQ9" s="216">
        <v>0.15</v>
      </c>
      <c r="AR9" s="216"/>
      <c r="AS9" s="216"/>
      <c r="AT9" s="256"/>
      <c r="AU9" s="216"/>
      <c r="AV9" s="193" t="s">
        <v>316</v>
      </c>
      <c r="AW9" s="194">
        <v>1</v>
      </c>
      <c r="AX9" s="196">
        <v>100</v>
      </c>
      <c r="AY9" s="194" t="s">
        <v>301</v>
      </c>
      <c r="AZ9" s="194">
        <v>150</v>
      </c>
      <c r="BA9" s="194">
        <f>Table8091[[#This Row],[wt/m]]*Table8091[[#This Row],[عدد]]</f>
        <v>150</v>
      </c>
      <c r="BC9" s="195"/>
      <c r="BD9" s="1"/>
      <c r="BE9" s="1"/>
      <c r="BG9" s="211">
        <v>4</v>
      </c>
      <c r="BH9" s="212">
        <v>0</v>
      </c>
      <c r="BI9" s="213" t="s">
        <v>309</v>
      </c>
      <c r="BJ9" s="214">
        <v>0.15</v>
      </c>
      <c r="BK9" s="214">
        <v>0.15</v>
      </c>
      <c r="BL9" s="211">
        <f>(Table1588090[[#This Row],[Column1]]+Table1588090[[#This Row],[Column2]])*12*Table1588090[[#This Row],[عدد]]</f>
        <v>0</v>
      </c>
      <c r="BM9" s="211"/>
      <c r="BN9" s="211">
        <v>84</v>
      </c>
      <c r="BO9" s="211">
        <f>Table1588090[[#This Row],[المسطح]]*Table1588090[[#This Row],[عدد]]</f>
        <v>0</v>
      </c>
      <c r="BP9" s="239">
        <f>BN9*$S$2/1000</f>
        <v>3780</v>
      </c>
      <c r="BQ9" s="240">
        <f>BH9*BP9</f>
        <v>0</v>
      </c>
      <c r="BR9" s="241">
        <f>(BQ9)/$R$68</f>
        <v>0</v>
      </c>
      <c r="BS9" s="216"/>
      <c r="BT9" s="216" t="s">
        <v>55</v>
      </c>
      <c r="BU9" s="216">
        <v>75</v>
      </c>
      <c r="BV9" s="216">
        <v>200</v>
      </c>
      <c r="BW9" s="216">
        <v>100</v>
      </c>
      <c r="BX9" s="216">
        <v>3000</v>
      </c>
      <c r="BY9" s="216">
        <v>6000</v>
      </c>
      <c r="BZ9" s="216">
        <v>250</v>
      </c>
      <c r="CA9" s="216"/>
      <c r="CB9" s="216"/>
      <c r="CC9" s="216"/>
      <c r="CD9" s="216"/>
      <c r="CE9" s="216" t="s">
        <v>56</v>
      </c>
      <c r="CF9" s="216"/>
      <c r="CG9" s="216" t="s">
        <v>57</v>
      </c>
      <c r="CH9" s="216"/>
      <c r="CI9" s="216"/>
      <c r="CJ9" s="216" t="s">
        <v>181</v>
      </c>
      <c r="CK9" s="216">
        <v>0.15</v>
      </c>
      <c r="CL9" s="216">
        <v>0.15</v>
      </c>
      <c r="CM9" s="216"/>
      <c r="CN9" s="216"/>
      <c r="CO9" s="256"/>
    </row>
    <row r="10" ht="18" s="187" customFormat="1">
      <c r="A10" s="537" t="s">
        <v>312</v>
      </c>
      <c r="B10" s="538"/>
      <c r="C10" s="538">
        <f>B3*2</f>
        <v>64</v>
      </c>
      <c r="D10" s="538" t="s">
        <v>28</v>
      </c>
      <c r="E10" s="194">
        <v>20</v>
      </c>
      <c r="F10" s="538">
        <f>E10*C10</f>
        <v>1280</v>
      </c>
      <c r="G10" s="543"/>
      <c r="H10" s="544"/>
      <c r="I10" s="528"/>
      <c r="J10" s="528"/>
      <c r="L10" s="211">
        <v>5</v>
      </c>
      <c r="M10" s="212">
        <f>IF(OR((N3="B11"),(N3="B12"),(N3="B21"),(N3="B22"),(N3="B31"),(N3="B32")),3,0)</f>
        <v>0</v>
      </c>
      <c r="N10" s="215" t="s">
        <v>317</v>
      </c>
      <c r="O10" s="214">
        <v>0.03</v>
      </c>
      <c r="P10" s="214">
        <v>0.03</v>
      </c>
      <c r="Q10" s="214">
        <f>(Table15880[[#This Row],[Column1]]+Table15880[[#This Row],[Column2]])*12*Table15880[[#This Row],[عدد]]</f>
        <v>0</v>
      </c>
      <c r="R10" s="242" t="s">
        <v>43</v>
      </c>
      <c r="S10" s="211"/>
      <c r="T10" s="211">
        <f>Table15880[[#This Row],[المسطح]]*Table15880[[#This Row],[عدد]]</f>
        <v>0</v>
      </c>
      <c r="U10" s="243">
        <f>S10*$S$2/1000</f>
        <v>0</v>
      </c>
      <c r="V10" s="240">
        <f>M10*U10</f>
        <v>0</v>
      </c>
      <c r="W10" s="241">
        <f>(V10)/$R$68</f>
        <v>0</v>
      </c>
      <c r="X10" s="216"/>
      <c r="Y10" s="216" t="s">
        <v>59</v>
      </c>
      <c r="Z10" s="216">
        <v>75</v>
      </c>
      <c r="AA10" s="216">
        <v>200</v>
      </c>
      <c r="AB10" s="216">
        <v>100</v>
      </c>
      <c r="AC10" s="216">
        <v>3000</v>
      </c>
      <c r="AD10" s="216">
        <v>6000</v>
      </c>
      <c r="AE10" s="216">
        <v>250</v>
      </c>
      <c r="AF10" s="216"/>
      <c r="AG10" s="216"/>
      <c r="AH10" s="216"/>
      <c r="AI10" s="216"/>
      <c r="AJ10" s="213" t="s">
        <v>113</v>
      </c>
      <c r="AK10" s="216">
        <v>0.6</v>
      </c>
      <c r="AL10" s="216"/>
      <c r="AM10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0" s="216"/>
      <c r="AO10" s="216" t="s">
        <v>183</v>
      </c>
      <c r="AP10" s="216">
        <v>0.05</v>
      </c>
      <c r="AQ10" s="216">
        <v>0.1</v>
      </c>
      <c r="AR10" s="216"/>
      <c r="AS10" s="216"/>
      <c r="AT10" s="256"/>
      <c r="AU10" s="216"/>
      <c r="AV10" s="193" t="s">
        <v>318</v>
      </c>
      <c r="AW10" s="194"/>
      <c r="AX10" s="194">
        <v>100</v>
      </c>
      <c r="AY10" s="194" t="s">
        <v>28</v>
      </c>
      <c r="AZ10" s="194">
        <v>0.375</v>
      </c>
      <c r="BA10" s="194">
        <f>AX10*AZ10</f>
        <v>37.5</v>
      </c>
      <c r="BC10" s="195"/>
      <c r="BD10" s="1"/>
      <c r="BE10" s="1"/>
      <c r="BG10" s="211">
        <v>5</v>
      </c>
      <c r="BH10" s="212">
        <f>IF(OR((BI3="B11"),(BI3="B12"),(BI3="B21"),(BI3="B22"),(BI3="B31"),(BI3="B32")),3,0)</f>
        <v>0</v>
      </c>
      <c r="BI10" s="215" t="s">
        <v>317</v>
      </c>
      <c r="BJ10" s="214">
        <v>0.03</v>
      </c>
      <c r="BK10" s="214">
        <v>0.03</v>
      </c>
      <c r="BL10" s="214">
        <f>(Table1588090[[#This Row],[Column1]]+Table1588090[[#This Row],[Column2]])*12*Table1588090[[#This Row],[عدد]]</f>
        <v>0</v>
      </c>
      <c r="BM10" s="242" t="s">
        <v>43</v>
      </c>
      <c r="BN10" s="211"/>
      <c r="BO10" s="211">
        <f>Table1588090[[#This Row],[المسطح]]*Table1588090[[#This Row],[عدد]]</f>
        <v>0</v>
      </c>
      <c r="BP10" s="243">
        <f>BN10*$S$2/1000</f>
        <v>0</v>
      </c>
      <c r="BQ10" s="240">
        <f>BH10*BP10</f>
        <v>0</v>
      </c>
      <c r="BR10" s="241">
        <f>(BQ10)/$R$68</f>
        <v>0</v>
      </c>
      <c r="BS10" s="216"/>
      <c r="BT10" s="216" t="s">
        <v>59</v>
      </c>
      <c r="BU10" s="216">
        <v>75</v>
      </c>
      <c r="BV10" s="216">
        <v>200</v>
      </c>
      <c r="BW10" s="216">
        <v>100</v>
      </c>
      <c r="BX10" s="216">
        <v>3000</v>
      </c>
      <c r="BY10" s="216">
        <v>6000</v>
      </c>
      <c r="BZ10" s="216">
        <v>250</v>
      </c>
      <c r="CA10" s="216"/>
      <c r="CB10" s="216"/>
      <c r="CC10" s="216"/>
      <c r="CD10" s="216"/>
      <c r="CE10" s="213" t="s">
        <v>113</v>
      </c>
      <c r="CF10" s="216">
        <v>0.6</v>
      </c>
      <c r="CG10" s="216"/>
      <c r="CH10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0" s="216"/>
      <c r="CJ10" s="216" t="s">
        <v>183</v>
      </c>
      <c r="CK10" s="216">
        <v>0.05</v>
      </c>
      <c r="CL10" s="216">
        <v>0.1</v>
      </c>
      <c r="CM10" s="216"/>
      <c r="CN10" s="216"/>
      <c r="CO10" s="256"/>
    </row>
    <row r="11" ht="18" s="187" customFormat="1">
      <c r="A11" s="537" t="s">
        <v>315</v>
      </c>
      <c r="B11" s="538"/>
      <c r="C11" s="538">
        <f>B3*2</f>
        <v>64</v>
      </c>
      <c r="D11" s="538" t="s">
        <v>28</v>
      </c>
      <c r="E11" s="194">
        <v>18</v>
      </c>
      <c r="F11" s="538">
        <f>E11*C11</f>
        <v>1152</v>
      </c>
      <c r="G11" s="543"/>
      <c r="H11" s="544"/>
      <c r="I11" s="528"/>
      <c r="J11" s="528"/>
      <c r="L11" s="211"/>
      <c r="M11" s="212"/>
      <c r="N11" s="213" t="s">
        <v>54</v>
      </c>
      <c r="O11" s="214"/>
      <c r="P11" s="214"/>
      <c r="Q11" s="216">
        <f>SUBTOTAL(109,Table15880[المسطح])</f>
        <v>19.92</v>
      </c>
      <c r="R11" s="211"/>
      <c r="S11" s="211">
        <f>(S6*M6)+(S7*M7)+(M8*S8)+(S9*M9)</f>
        <v>381</v>
      </c>
      <c r="T11" s="211">
        <f>SUBTOTAL(109,Table15880[اجمالي المسطح])</f>
        <v>68.88000000000001</v>
      </c>
      <c r="U11" s="242"/>
      <c r="V11" s="240">
        <f>SUBTOTAL(109,Table15880[اجمالي])</f>
        <v>17145</v>
      </c>
      <c r="W11" s="244">
        <f>Table15880[[#Totals],[اجمالي]]/$R$68</f>
        <v>0.065744505233772621</v>
      </c>
      <c r="X11" s="216"/>
      <c r="Y11" s="216" t="s">
        <v>62</v>
      </c>
      <c r="Z11" s="216">
        <v>150</v>
      </c>
      <c r="AA11" s="216">
        <v>200</v>
      </c>
      <c r="AB11" s="216">
        <v>100</v>
      </c>
      <c r="AC11" s="216">
        <v>3000</v>
      </c>
      <c r="AD11" s="216">
        <v>8000</v>
      </c>
      <c r="AE11" s="216">
        <v>250</v>
      </c>
      <c r="AF11" s="216"/>
      <c r="AG11" s="216"/>
      <c r="AH11" s="216"/>
      <c r="AI11" s="216"/>
      <c r="AJ11" s="218" t="s">
        <v>115</v>
      </c>
      <c r="AK11" s="216">
        <v>0.6</v>
      </c>
      <c r="AL11" s="216"/>
      <c r="AM11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1" s="216"/>
      <c r="AO11" s="216" t="s">
        <v>185</v>
      </c>
      <c r="AP11" s="216">
        <v>0.05</v>
      </c>
      <c r="AQ11" s="216">
        <v>0.15</v>
      </c>
      <c r="AR11" s="216"/>
      <c r="AS11" s="216"/>
      <c r="AT11" s="256"/>
      <c r="AU11" s="216"/>
      <c r="AV11" s="193" t="s">
        <v>319</v>
      </c>
      <c r="AW11" s="194"/>
      <c r="AX11" s="194">
        <f>AW3*2</f>
        <v>46</v>
      </c>
      <c r="AY11" s="194" t="s">
        <v>28</v>
      </c>
      <c r="AZ11" s="194">
        <v>100</v>
      </c>
      <c r="BA11" s="194">
        <f>AX11*AZ11</f>
        <v>4600</v>
      </c>
      <c r="BC11" s="195"/>
      <c r="BD11" s="1"/>
      <c r="BE11" s="1"/>
      <c r="BG11" s="211"/>
      <c r="BH11" s="212"/>
      <c r="BI11" s="213" t="s">
        <v>54</v>
      </c>
      <c r="BJ11" s="214"/>
      <c r="BK11" s="214"/>
      <c r="BL11" s="216">
        <f>SUBTOTAL(109,Table1588090[المسطح])</f>
        <v>19.92</v>
      </c>
      <c r="BM11" s="211"/>
      <c r="BN11" s="211">
        <f>(BN6*BH6)+(BN7*BG7)+(BN8*BG8)+(BN9*BG9)</f>
        <v>599</v>
      </c>
      <c r="BO11" s="211">
        <f>SUBTOTAL(109,Table1588090[اجمالي المسطح])</f>
        <v>68.88000000000001</v>
      </c>
      <c r="BP11" s="242"/>
      <c r="BQ11" s="240">
        <f>SUBTOTAL(109,Table1588090[اجمالي])</f>
        <v>17145</v>
      </c>
      <c r="BR11" s="244">
        <f>Table1588090[[#Totals],[اجمالي]]/$R$68</f>
        <v>0.065744505233772621</v>
      </c>
      <c r="BS11" s="216"/>
      <c r="BT11" s="216" t="s">
        <v>62</v>
      </c>
      <c r="BU11" s="216">
        <v>150</v>
      </c>
      <c r="BV11" s="216">
        <v>200</v>
      </c>
      <c r="BW11" s="216">
        <v>100</v>
      </c>
      <c r="BX11" s="216">
        <v>3000</v>
      </c>
      <c r="BY11" s="216">
        <v>8000</v>
      </c>
      <c r="BZ11" s="216">
        <v>250</v>
      </c>
      <c r="CA11" s="216"/>
      <c r="CB11" s="216"/>
      <c r="CC11" s="216"/>
      <c r="CD11" s="216"/>
      <c r="CE11" s="218" t="s">
        <v>115</v>
      </c>
      <c r="CF11" s="216">
        <v>0.6</v>
      </c>
      <c r="CG11" s="216"/>
      <c r="CH11" s="216">
        <f>IF(AND((تسعير!AT45="B"),(Table1588090[[#Totals],[المسطح]]+Table16627383[[#Totals],[Column12]])&gt;0),(((Table1588090[[#Totals],[المسطح]]+Table16627383[[#Totals],[Column12]])+1)*Table6637484[[#This Row],[المعدل]]),0)</f>
        <v>18.576</v>
      </c>
      <c r="CI11" s="216"/>
      <c r="CJ11" s="216" t="s">
        <v>185</v>
      </c>
      <c r="CK11" s="216">
        <v>0.05</v>
      </c>
      <c r="CL11" s="216">
        <v>0.15</v>
      </c>
      <c r="CM11" s="216"/>
      <c r="CN11" s="216"/>
      <c r="CO11" s="256"/>
    </row>
    <row r="12" ht="18" s="187" customFormat="1">
      <c r="A12" s="537" t="s">
        <v>316</v>
      </c>
      <c r="B12" s="538">
        <v>1</v>
      </c>
      <c r="C12" s="540">
        <v>100</v>
      </c>
      <c r="D12" s="538" t="s">
        <v>301</v>
      </c>
      <c r="E12" s="194">
        <v>250</v>
      </c>
      <c r="F12" s="538">
        <f>Table80102114[[#This Row],[wt/m]]*Table80102114[[#This Row],[عدد]]</f>
        <v>250</v>
      </c>
      <c r="G12" s="543"/>
      <c r="H12" s="544"/>
      <c r="I12" s="528"/>
      <c r="J12" s="545"/>
      <c r="L12" s="216"/>
      <c r="M12" s="216"/>
      <c r="N12" s="217"/>
      <c r="O12" s="885" t="s">
        <v>72</v>
      </c>
      <c r="P12" s="885"/>
      <c r="Q12" s="885"/>
      <c r="R12" s="885"/>
      <c r="S12" s="885"/>
      <c r="T12" s="885"/>
      <c r="U12" s="216"/>
      <c r="V12" s="216"/>
      <c r="W12" s="216"/>
      <c r="X12" s="216"/>
      <c r="Y12" s="216" t="s">
        <v>66</v>
      </c>
      <c r="Z12" s="216">
        <v>150</v>
      </c>
      <c r="AA12" s="216">
        <v>200</v>
      </c>
      <c r="AB12" s="216">
        <v>100</v>
      </c>
      <c r="AC12" s="216">
        <v>4000</v>
      </c>
      <c r="AD12" s="216">
        <v>8000</v>
      </c>
      <c r="AE12" s="216">
        <v>250</v>
      </c>
      <c r="AF12" s="216"/>
      <c r="AG12" s="216"/>
      <c r="AH12" s="216"/>
      <c r="AI12" s="216"/>
      <c r="AJ12" s="218" t="s">
        <v>67</v>
      </c>
      <c r="AK12" s="216">
        <v>0.1</v>
      </c>
      <c r="AL12" s="216"/>
      <c r="AM12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2" s="216"/>
      <c r="AO12" s="216" t="s">
        <v>187</v>
      </c>
      <c r="AP12" s="216">
        <v>0.1</v>
      </c>
      <c r="AQ12" s="216">
        <v>0.15</v>
      </c>
      <c r="AR12" s="216"/>
      <c r="AS12" s="216"/>
      <c r="AT12" s="256"/>
      <c r="AU12" s="216"/>
      <c r="AV12" s="193" t="s">
        <v>320</v>
      </c>
      <c r="AW12" s="194"/>
      <c r="AX12" s="194">
        <f>AW3*2</f>
        <v>46</v>
      </c>
      <c r="AY12" s="194" t="s">
        <v>28</v>
      </c>
      <c r="AZ12" s="194">
        <v>100</v>
      </c>
      <c r="BA12" s="194">
        <f>AX12*AZ12</f>
        <v>4600</v>
      </c>
      <c r="BC12" s="195"/>
      <c r="BD12" s="1"/>
      <c r="BE12" s="264"/>
      <c r="BG12" s="216"/>
      <c r="BH12" s="216"/>
      <c r="BI12" s="217"/>
      <c r="BJ12" s="885" t="s">
        <v>72</v>
      </c>
      <c r="BK12" s="885"/>
      <c r="BL12" s="885"/>
      <c r="BM12" s="885"/>
      <c r="BN12" s="885"/>
      <c r="BO12" s="885"/>
      <c r="BP12" s="216"/>
      <c r="BQ12" s="216"/>
      <c r="BR12" s="216"/>
      <c r="BS12" s="216"/>
      <c r="BT12" s="216" t="s">
        <v>66</v>
      </c>
      <c r="BU12" s="216">
        <v>150</v>
      </c>
      <c r="BV12" s="216">
        <v>200</v>
      </c>
      <c r="BW12" s="216">
        <v>100</v>
      </c>
      <c r="BX12" s="216">
        <v>4000</v>
      </c>
      <c r="BY12" s="216">
        <v>8000</v>
      </c>
      <c r="BZ12" s="216">
        <v>250</v>
      </c>
      <c r="CA12" s="216"/>
      <c r="CB12" s="216"/>
      <c r="CC12" s="216"/>
      <c r="CD12" s="216"/>
      <c r="CE12" s="218" t="s">
        <v>67</v>
      </c>
      <c r="CF12" s="216">
        <v>0.1</v>
      </c>
      <c r="CG12" s="216"/>
      <c r="CH12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2" s="216"/>
      <c r="CJ12" s="216" t="s">
        <v>187</v>
      </c>
      <c r="CK12" s="216">
        <v>0.1</v>
      </c>
      <c r="CL12" s="216">
        <v>0.15</v>
      </c>
      <c r="CM12" s="216"/>
      <c r="CN12" s="216"/>
      <c r="CO12" s="256"/>
    </row>
    <row r="13" ht="18" s="187" customFormat="1">
      <c r="A13" s="537" t="s">
        <v>321</v>
      </c>
      <c r="B13" s="538"/>
      <c r="C13" s="538">
        <v>4</v>
      </c>
      <c r="D13" s="538" t="s">
        <v>322</v>
      </c>
      <c r="E13" s="194">
        <v>250</v>
      </c>
      <c r="F13" s="538">
        <f>C13*E13</f>
        <v>1000</v>
      </c>
      <c r="G13" s="543"/>
      <c r="H13" s="528"/>
      <c r="I13" s="543"/>
      <c r="J13" s="543"/>
      <c r="L13" s="211" t="s">
        <v>27</v>
      </c>
      <c r="M13" s="211" t="s">
        <v>28</v>
      </c>
      <c r="N13" s="218" t="s">
        <v>29</v>
      </c>
      <c r="O13" s="211" t="s">
        <v>30</v>
      </c>
      <c r="P13" s="211" t="s">
        <v>9</v>
      </c>
      <c r="Q13" s="211" t="s">
        <v>61</v>
      </c>
      <c r="R13" s="211" t="s">
        <v>32</v>
      </c>
      <c r="S13" s="211" t="s">
        <v>33</v>
      </c>
      <c r="T13" s="211" t="s">
        <v>74</v>
      </c>
      <c r="U13" s="211" t="s">
        <v>35</v>
      </c>
      <c r="V13" s="245" t="s">
        <v>36</v>
      </c>
      <c r="W13" s="211" t="s">
        <v>37</v>
      </c>
      <c r="X13" s="216"/>
      <c r="Y13" s="216" t="s">
        <v>69</v>
      </c>
      <c r="Z13" s="216">
        <v>150</v>
      </c>
      <c r="AA13" s="216">
        <v>200</v>
      </c>
      <c r="AB13" s="216">
        <v>100</v>
      </c>
      <c r="AC13" s="216">
        <v>4000</v>
      </c>
      <c r="AD13" s="216">
        <v>8000</v>
      </c>
      <c r="AE13" s="216">
        <v>250</v>
      </c>
      <c r="AF13" s="216"/>
      <c r="AG13" s="216"/>
      <c r="AH13" s="216"/>
      <c r="AI13" s="216"/>
      <c r="AJ13" s="218" t="s">
        <v>70</v>
      </c>
      <c r="AK13" s="216">
        <v>0.1</v>
      </c>
      <c r="AL13" s="216"/>
      <c r="AM13" s="216">
        <f>IF(AND((تسعير!$AT$25="B"),(Table15880[[#Totals],[المسطح]]+Table166273[[#Totals],[Column12]])&gt;0),(((Table15880[[#Totals],[المسطح]]+Table166273[[#Totals],[Column12]])+1)*Table66374[[#This Row],[المعدل]]),0)</f>
        <v>0</v>
      </c>
      <c r="AN13" s="216"/>
      <c r="AO13" s="216"/>
      <c r="AP13" s="216"/>
      <c r="AQ13" s="216"/>
      <c r="AR13" s="216"/>
      <c r="AS13" s="216"/>
      <c r="AT13" s="256"/>
      <c r="AU13" s="216"/>
      <c r="AV13" s="193" t="s">
        <v>189</v>
      </c>
      <c r="AW13" s="194" t="s">
        <v>28</v>
      </c>
      <c r="AX13" s="194">
        <v>1</v>
      </c>
      <c r="AY13" s="194" t="s">
        <v>28</v>
      </c>
      <c r="AZ13" s="194">
        <f>E23</f>
        <v>9000</v>
      </c>
      <c r="BA13" s="194">
        <f>AZ13*AX13</f>
        <v>9000</v>
      </c>
      <c r="BC13" s="1"/>
      <c r="BG13" s="211" t="s">
        <v>27</v>
      </c>
      <c r="BH13" s="211" t="s">
        <v>28</v>
      </c>
      <c r="BI13" s="218" t="s">
        <v>29</v>
      </c>
      <c r="BJ13" s="211" t="s">
        <v>30</v>
      </c>
      <c r="BK13" s="211" t="s">
        <v>9</v>
      </c>
      <c r="BL13" s="211" t="s">
        <v>61</v>
      </c>
      <c r="BM13" s="211" t="s">
        <v>32</v>
      </c>
      <c r="BN13" s="211" t="s">
        <v>33</v>
      </c>
      <c r="BO13" s="211" t="s">
        <v>74</v>
      </c>
      <c r="BP13" s="211" t="s">
        <v>35</v>
      </c>
      <c r="BQ13" s="245" t="s">
        <v>36</v>
      </c>
      <c r="BR13" s="211" t="s">
        <v>37</v>
      </c>
      <c r="BS13" s="216"/>
      <c r="BT13" s="216" t="s">
        <v>69</v>
      </c>
      <c r="BU13" s="216">
        <v>150</v>
      </c>
      <c r="BV13" s="216">
        <v>200</v>
      </c>
      <c r="BW13" s="216">
        <v>100</v>
      </c>
      <c r="BX13" s="216">
        <v>4000</v>
      </c>
      <c r="BY13" s="216">
        <v>8000</v>
      </c>
      <c r="BZ13" s="216">
        <v>250</v>
      </c>
      <c r="CA13" s="216"/>
      <c r="CB13" s="216"/>
      <c r="CC13" s="216"/>
      <c r="CD13" s="216"/>
      <c r="CE13" s="218" t="s">
        <v>70</v>
      </c>
      <c r="CF13" s="216">
        <v>0.1</v>
      </c>
      <c r="CG13" s="216"/>
      <c r="CH13" s="216">
        <f>IF(AND((تسعير!AT45="B"),(Table1588090[[#Totals],[المسطح]]+Table16627383[[#Totals],[Column12]])&gt;0),(((Table1588090[[#Totals],[المسطح]]+Table16627383[[#Totals],[Column12]])+1)*Table6637484[[#This Row],[المعدل]]),0)</f>
        <v>3.096</v>
      </c>
      <c r="CI13" s="216"/>
      <c r="CJ13" s="216"/>
      <c r="CK13" s="216"/>
      <c r="CL13" s="216"/>
      <c r="CM13" s="216"/>
      <c r="CN13" s="216"/>
      <c r="CO13" s="256"/>
    </row>
    <row r="14" ht="18" s="187" customFormat="1">
      <c r="A14" s="537" t="s">
        <v>323</v>
      </c>
      <c r="B14" s="538"/>
      <c r="C14" s="538">
        <v>8</v>
      </c>
      <c r="D14" s="538" t="s">
        <v>28</v>
      </c>
      <c r="E14" s="194">
        <v>300</v>
      </c>
      <c r="F14" s="538">
        <f>C14*E14</f>
        <v>2400</v>
      </c>
      <c r="G14" s="543"/>
      <c r="H14" s="528"/>
      <c r="I14" s="543"/>
      <c r="J14" s="543"/>
      <c r="L14" s="211">
        <v>1</v>
      </c>
      <c r="M14" s="212">
        <v>2</v>
      </c>
      <c r="N14" s="213" t="s">
        <v>76</v>
      </c>
      <c r="O14" s="214"/>
      <c r="P14" s="214"/>
      <c r="Q14" s="214"/>
      <c r="R14" s="211" t="s">
        <v>77</v>
      </c>
      <c r="S14" s="211"/>
      <c r="T14" s="242"/>
      <c r="U14" s="246">
        <f>Sheet2!B28</f>
        <v>400</v>
      </c>
      <c r="V14" s="240">
        <f ref="V14:V18" t="shared" si="4">M14*U14</f>
        <v>800</v>
      </c>
      <c r="W14" s="241">
        <f>(V14)/$R$68</f>
        <v>0.0030676934492282356</v>
      </c>
      <c r="X14" s="216"/>
      <c r="Y14" s="216" t="s">
        <v>71</v>
      </c>
      <c r="Z14" s="216">
        <v>200</v>
      </c>
      <c r="AA14" s="216">
        <v>200</v>
      </c>
      <c r="AB14" s="216">
        <v>100</v>
      </c>
      <c r="AC14" s="216">
        <v>4000</v>
      </c>
      <c r="AD14" s="216">
        <v>8000</v>
      </c>
      <c r="AE14" s="216">
        <v>250</v>
      </c>
      <c r="AF14" s="216"/>
      <c r="AG14" s="216"/>
      <c r="AH14" s="216"/>
      <c r="AI14" s="216"/>
      <c r="AJ14" s="216"/>
      <c r="AK14" s="216"/>
      <c r="AL14" s="216"/>
      <c r="AM14" s="216"/>
      <c r="AN14" s="216"/>
      <c r="AO14" s="216"/>
      <c r="AP14" s="216"/>
      <c r="AQ14" s="216"/>
      <c r="AR14" s="216"/>
      <c r="AS14" s="216"/>
      <c r="AT14" s="256"/>
      <c r="AU14" s="216"/>
      <c r="AV14" s="193" t="s">
        <v>54</v>
      </c>
      <c r="AW14" s="199">
        <f>(Table8091[[#Totals],[price]]*1.1)/(BA1*AY1/10000)</f>
        <v>5732.9085000000005</v>
      </c>
      <c r="AX14" s="194"/>
      <c r="AY14" s="194"/>
      <c r="AZ14" s="194"/>
      <c r="BA14" s="194">
        <f>SUBTOTAL(109,Table8091[price])</f>
        <v>104234.7</v>
      </c>
      <c r="BC14" s="1"/>
      <c r="BG14" s="211">
        <v>1</v>
      </c>
      <c r="BH14" s="212">
        <v>2</v>
      </c>
      <c r="BI14" s="213" t="s">
        <v>76</v>
      </c>
      <c r="BJ14" s="214"/>
      <c r="BK14" s="214"/>
      <c r="BL14" s="214"/>
      <c r="BM14" s="211" t="s">
        <v>77</v>
      </c>
      <c r="BN14" s="211"/>
      <c r="BO14" s="242"/>
      <c r="BP14" s="246">
        <f>Sheet2!B28</f>
        <v>400</v>
      </c>
      <c r="BQ14" s="240">
        <f ref="BQ14:BQ18" t="shared" si="5">BH14*BP14</f>
        <v>800</v>
      </c>
      <c r="BR14" s="241">
        <f>(BQ14)/$R$68</f>
        <v>0.0030676934492282356</v>
      </c>
      <c r="BS14" s="216"/>
      <c r="BT14" s="216" t="s">
        <v>71</v>
      </c>
      <c r="BU14" s="216">
        <v>200</v>
      </c>
      <c r="BV14" s="216">
        <v>200</v>
      </c>
      <c r="BW14" s="216">
        <v>100</v>
      </c>
      <c r="BX14" s="216">
        <v>4000</v>
      </c>
      <c r="BY14" s="216">
        <v>8000</v>
      </c>
      <c r="BZ14" s="216">
        <v>250</v>
      </c>
      <c r="CA14" s="216"/>
      <c r="CB14" s="216"/>
      <c r="CC14" s="216"/>
      <c r="CD14" s="216"/>
      <c r="CE14" s="216"/>
      <c r="CF14" s="216"/>
      <c r="CG14" s="216"/>
      <c r="CH14" s="216"/>
      <c r="CI14" s="216"/>
      <c r="CJ14" s="216"/>
      <c r="CK14" s="216"/>
      <c r="CL14" s="216"/>
      <c r="CM14" s="216"/>
      <c r="CN14" s="216"/>
      <c r="CO14" s="256"/>
    </row>
    <row r="15" ht="18" s="187" customFormat="1">
      <c r="A15" s="537" t="s">
        <v>319</v>
      </c>
      <c r="B15" s="538"/>
      <c r="C15" s="538">
        <f>B3*2</f>
        <v>64</v>
      </c>
      <c r="D15" s="538" t="s">
        <v>28</v>
      </c>
      <c r="E15" s="194">
        <v>120</v>
      </c>
      <c r="F15" s="538">
        <f>C15*E15</f>
        <v>7680</v>
      </c>
      <c r="G15" s="543"/>
      <c r="H15" s="528"/>
      <c r="I15" s="528"/>
      <c r="J15" s="528"/>
      <c r="L15" s="211">
        <v>2</v>
      </c>
      <c r="M15" s="212">
        <v>2</v>
      </c>
      <c r="N15" s="213" t="s">
        <v>82</v>
      </c>
      <c r="O15" s="214"/>
      <c r="P15" s="214"/>
      <c r="Q15" s="214"/>
      <c r="R15" s="211" t="s">
        <v>28</v>
      </c>
      <c r="S15" s="211"/>
      <c r="T15" s="242"/>
      <c r="U15" s="246">
        <v>110</v>
      </c>
      <c r="V15" s="240">
        <f t="shared" si="4"/>
        <v>220</v>
      </c>
      <c r="W15" s="241">
        <f>(V15)/$R$68</f>
        <v>0.00084361569853776477</v>
      </c>
      <c r="X15" s="216"/>
      <c r="Y15" s="216" t="s">
        <v>73</v>
      </c>
      <c r="Z15" s="216">
        <v>250</v>
      </c>
      <c r="AA15" s="216">
        <v>200</v>
      </c>
      <c r="AB15" s="216">
        <v>100</v>
      </c>
      <c r="AC15" s="216">
        <v>3000</v>
      </c>
      <c r="AD15" s="216">
        <v>10000</v>
      </c>
      <c r="AE15" s="216">
        <v>300</v>
      </c>
      <c r="AF15" s="216"/>
      <c r="AG15" s="216"/>
      <c r="AH15" s="216"/>
      <c r="AI15" s="216"/>
      <c r="AJ15" s="216"/>
      <c r="AK15" s="216"/>
      <c r="AL15" s="216"/>
      <c r="AM15" s="216"/>
      <c r="AN15" s="216"/>
      <c r="AO15" s="216"/>
      <c r="AP15" s="216"/>
      <c r="AQ15" s="216"/>
      <c r="AR15" s="216"/>
      <c r="AS15" s="216"/>
      <c r="AT15" s="256"/>
      <c r="AU15" s="216"/>
      <c r="AV15" s="193"/>
      <c r="AW15" s="194"/>
      <c r="AX15" s="194"/>
      <c r="AY15" s="194"/>
      <c r="AZ15" s="194"/>
      <c r="BA15" s="194"/>
      <c r="BC15" s="1"/>
      <c r="BG15" s="211">
        <v>2</v>
      </c>
      <c r="BH15" s="212">
        <v>2</v>
      </c>
      <c r="BI15" s="213" t="s">
        <v>82</v>
      </c>
      <c r="BJ15" s="214"/>
      <c r="BK15" s="214"/>
      <c r="BL15" s="214"/>
      <c r="BM15" s="211" t="s">
        <v>28</v>
      </c>
      <c r="BN15" s="211"/>
      <c r="BO15" s="242"/>
      <c r="BP15" s="564">
        <v>110</v>
      </c>
      <c r="BQ15" s="240">
        <f t="shared" si="5"/>
        <v>220</v>
      </c>
      <c r="BR15" s="241">
        <f>(BQ15)/$R$68</f>
        <v>0.00084361569853776477</v>
      </c>
      <c r="BS15" s="216"/>
      <c r="BT15" s="216" t="s">
        <v>73</v>
      </c>
      <c r="BU15" s="216">
        <v>250</v>
      </c>
      <c r="BV15" s="216">
        <v>200</v>
      </c>
      <c r="BW15" s="216">
        <v>100</v>
      </c>
      <c r="BX15" s="216">
        <v>3000</v>
      </c>
      <c r="BY15" s="216">
        <v>10000</v>
      </c>
      <c r="BZ15" s="216">
        <v>300</v>
      </c>
      <c r="CA15" s="216"/>
      <c r="CB15" s="216"/>
      <c r="CC15" s="216"/>
      <c r="CD15" s="216"/>
      <c r="CE15" s="216"/>
      <c r="CF15" s="216"/>
      <c r="CG15" s="216"/>
      <c r="CH15" s="216"/>
      <c r="CI15" s="216"/>
      <c r="CJ15" s="216"/>
      <c r="CK15" s="216"/>
      <c r="CL15" s="216"/>
      <c r="CM15" s="216"/>
      <c r="CN15" s="216"/>
      <c r="CO15" s="256"/>
    </row>
    <row r="16" ht="18" s="187" customFormat="1">
      <c r="A16" s="537" t="s">
        <v>320</v>
      </c>
      <c r="B16" s="538"/>
      <c r="C16" s="538">
        <f>B3*2</f>
        <v>64</v>
      </c>
      <c r="D16" s="538" t="s">
        <v>28</v>
      </c>
      <c r="E16" s="194">
        <v>120</v>
      </c>
      <c r="F16" s="538">
        <f>C16*E16</f>
        <v>7680</v>
      </c>
      <c r="G16" s="543"/>
      <c r="H16" s="528"/>
      <c r="I16" s="528"/>
      <c r="J16" s="528"/>
      <c r="L16" s="211">
        <v>3</v>
      </c>
      <c r="M16" s="219">
        <v>1</v>
      </c>
      <c r="N16" s="213" t="s">
        <v>84</v>
      </c>
      <c r="O16" s="214"/>
      <c r="P16" s="214"/>
      <c r="Q16" s="214"/>
      <c r="R16" s="211" t="s">
        <v>28</v>
      </c>
      <c r="S16" s="211"/>
      <c r="T16" s="242"/>
      <c r="U16" s="246">
        <v>130</v>
      </c>
      <c r="V16" s="240">
        <f t="shared" si="4"/>
        <v>130</v>
      </c>
      <c r="W16" s="241">
        <f>(V16)/$R$68</f>
        <v>0.00049850018549958827</v>
      </c>
      <c r="X16" s="216"/>
      <c r="Y16" s="216" t="s">
        <v>75</v>
      </c>
      <c r="Z16" s="216">
        <v>250</v>
      </c>
      <c r="AA16" s="216">
        <v>200</v>
      </c>
      <c r="AB16" s="216">
        <v>100</v>
      </c>
      <c r="AC16" s="216">
        <v>3000</v>
      </c>
      <c r="AD16" s="216">
        <v>10000</v>
      </c>
      <c r="AE16" s="216">
        <v>300</v>
      </c>
      <c r="AF16" s="216"/>
      <c r="AG16" s="216"/>
      <c r="AH16" s="216"/>
      <c r="AI16" s="216"/>
      <c r="AJ16" s="216"/>
      <c r="AK16" s="216"/>
      <c r="AL16" s="216"/>
      <c r="AM16" s="216"/>
      <c r="AN16" s="216"/>
      <c r="AO16" s="216"/>
      <c r="AP16" s="216"/>
      <c r="AQ16" s="216"/>
      <c r="AR16" s="216"/>
      <c r="AS16" s="216"/>
      <c r="AT16" s="256"/>
      <c r="AU16" s="216"/>
      <c r="AV16" s="193"/>
      <c r="AW16" s="194"/>
      <c r="AX16" s="194"/>
      <c r="AY16" s="194"/>
      <c r="AZ16" s="194"/>
      <c r="BA16" s="194"/>
      <c r="BC16" s="1"/>
      <c r="BG16" s="211">
        <v>3</v>
      </c>
      <c r="BH16" s="219">
        <v>1</v>
      </c>
      <c r="BI16" s="213" t="s">
        <v>84</v>
      </c>
      <c r="BJ16" s="214"/>
      <c r="BK16" s="214"/>
      <c r="BL16" s="214"/>
      <c r="BM16" s="211" t="s">
        <v>28</v>
      </c>
      <c r="BN16" s="211"/>
      <c r="BO16" s="242"/>
      <c r="BP16" s="564">
        <v>130</v>
      </c>
      <c r="BQ16" s="240">
        <f t="shared" si="5"/>
        <v>130</v>
      </c>
      <c r="BR16" s="241">
        <f>(BQ16)/$R$68</f>
        <v>0.00049850018549958827</v>
      </c>
      <c r="BS16" s="216"/>
      <c r="BT16" s="216" t="s">
        <v>75</v>
      </c>
      <c r="BU16" s="216">
        <v>250</v>
      </c>
      <c r="BV16" s="216">
        <v>200</v>
      </c>
      <c r="BW16" s="216">
        <v>100</v>
      </c>
      <c r="BX16" s="216">
        <v>3000</v>
      </c>
      <c r="BY16" s="216">
        <v>10000</v>
      </c>
      <c r="BZ16" s="216">
        <v>300</v>
      </c>
      <c r="CA16" s="216"/>
      <c r="CB16" s="216"/>
      <c r="CC16" s="216"/>
      <c r="CD16" s="216"/>
      <c r="CE16" s="216"/>
      <c r="CF16" s="216"/>
      <c r="CG16" s="216"/>
      <c r="CH16" s="216"/>
      <c r="CI16" s="216"/>
      <c r="CJ16" s="216"/>
      <c r="CK16" s="216"/>
      <c r="CL16" s="216"/>
      <c r="CM16" s="216"/>
      <c r="CN16" s="216"/>
      <c r="CO16" s="256"/>
    </row>
    <row r="17" ht="18" s="187" customFormat="1">
      <c r="A17" s="537" t="s">
        <v>324</v>
      </c>
      <c r="B17" s="538">
        <v>2</v>
      </c>
      <c r="C17" s="538"/>
      <c r="D17" s="538" t="s">
        <v>301</v>
      </c>
      <c r="E17" s="194">
        <v>1000</v>
      </c>
      <c r="F17" s="538">
        <f>B17*E17</f>
        <v>2000</v>
      </c>
      <c r="G17" s="543"/>
      <c r="H17" s="528"/>
      <c r="I17" s="528"/>
      <c r="J17" s="528"/>
      <c r="L17" s="211">
        <v>4</v>
      </c>
      <c r="M17" s="212">
        <f>IF((N3="A11"),16,IF((N3="A12"),16,IF((N3="b11"),8,IF((N3="b12"),8,IF((N3="A21"),16,IF((N3="A22"),16,IF((N3="b21"),8,IF((N3="b22"),8,IF((N3="A31"),16,IF((N3="A32"),16,IF((N3="b31"),8,IF((N3="b32"),8,0))))))))))))</f>
        <v>16</v>
      </c>
      <c r="N17" s="213" t="s">
        <v>86</v>
      </c>
      <c r="O17" s="214"/>
      <c r="P17" s="214"/>
      <c r="Q17" s="214"/>
      <c r="R17" s="247" t="s">
        <v>87</v>
      </c>
      <c r="S17" s="247"/>
      <c r="T17" s="242"/>
      <c r="U17" s="246">
        <v>50</v>
      </c>
      <c r="V17" s="240">
        <f t="shared" si="4"/>
        <v>800</v>
      </c>
      <c r="W17" s="241">
        <f>(V17)/$R$68</f>
        <v>0.0030676934492282356</v>
      </c>
      <c r="X17" s="216"/>
      <c r="Y17" s="216" t="s">
        <v>78</v>
      </c>
      <c r="Z17" s="216">
        <v>250</v>
      </c>
      <c r="AA17" s="216">
        <v>200</v>
      </c>
      <c r="AB17" s="216">
        <v>100</v>
      </c>
      <c r="AC17" s="216">
        <v>3000</v>
      </c>
      <c r="AD17" s="216">
        <v>10000</v>
      </c>
      <c r="AE17" s="216">
        <v>300</v>
      </c>
      <c r="AF17" s="216"/>
      <c r="AG17" s="216"/>
      <c r="AH17" s="216"/>
      <c r="AI17" s="216"/>
      <c r="AJ17" s="216"/>
      <c r="AK17" s="216"/>
      <c r="AL17" s="216"/>
      <c r="AM17" s="216"/>
      <c r="AN17" s="216"/>
      <c r="AO17" s="216"/>
      <c r="AP17" s="216"/>
      <c r="AQ17" s="216"/>
      <c r="AR17" s="216"/>
      <c r="AS17" s="216"/>
      <c r="AT17" s="256"/>
      <c r="AU17" s="216"/>
      <c r="AV17" s="193"/>
      <c r="AW17" s="194"/>
      <c r="AX17" s="194"/>
      <c r="AY17" s="194"/>
      <c r="AZ17" s="194"/>
      <c r="BA17" s="194"/>
      <c r="BC17" s="1"/>
      <c r="BG17" s="211">
        <v>4</v>
      </c>
      <c r="BH17" s="212">
        <f>IF((BI3="A11"),16,IF((BI3="A12"),16,IF((BI3="b11"),8,IF((BI3="b12"),8,IF((BI3="A21"),16,IF((BI3="A22"),16,IF((BI3="b21"),8,IF((BI3="b22"),8,IF((BI3="A31"),16,IF((BI3="A32"),16,IF((BI3="b31"),8,IF((BI3="b32"),8,0))))))))))))</f>
        <v>16</v>
      </c>
      <c r="BI17" s="213" t="s">
        <v>86</v>
      </c>
      <c r="BJ17" s="214"/>
      <c r="BK17" s="214"/>
      <c r="BL17" s="214"/>
      <c r="BM17" s="247" t="s">
        <v>87</v>
      </c>
      <c r="BN17" s="247"/>
      <c r="BO17" s="242"/>
      <c r="BP17" s="564">
        <v>50</v>
      </c>
      <c r="BQ17" s="240">
        <f t="shared" si="5"/>
        <v>800</v>
      </c>
      <c r="BR17" s="241">
        <f>(BQ17)/$R$68</f>
        <v>0.0030676934492282356</v>
      </c>
      <c r="BS17" s="216"/>
      <c r="BT17" s="216" t="s">
        <v>78</v>
      </c>
      <c r="BU17" s="216">
        <v>250</v>
      </c>
      <c r="BV17" s="216">
        <v>200</v>
      </c>
      <c r="BW17" s="216">
        <v>100</v>
      </c>
      <c r="BX17" s="216">
        <v>3000</v>
      </c>
      <c r="BY17" s="216">
        <v>10000</v>
      </c>
      <c r="BZ17" s="216">
        <v>300</v>
      </c>
      <c r="CA17" s="216"/>
      <c r="CB17" s="216"/>
      <c r="CC17" s="216"/>
      <c r="CD17" s="216"/>
      <c r="CE17" s="216"/>
      <c r="CF17" s="216"/>
      <c r="CG17" s="216"/>
      <c r="CH17" s="216"/>
      <c r="CI17" s="216"/>
      <c r="CJ17" s="216"/>
      <c r="CK17" s="216"/>
      <c r="CL17" s="216"/>
      <c r="CM17" s="216"/>
      <c r="CN17" s="216"/>
      <c r="CO17" s="256"/>
    </row>
    <row r="18" ht="18" s="187" customFormat="1">
      <c r="A18" s="193" t="s">
        <v>325</v>
      </c>
      <c r="B18" s="194"/>
      <c r="C18" s="194">
        <f>C19</f>
        <v>123</v>
      </c>
      <c r="D18" s="194"/>
      <c r="E18" s="194">
        <v>20</v>
      </c>
      <c r="F18" s="538">
        <f>Table80102114[[#This Row],[طول]]*Table80102114[[#This Row],[wt/m]]</f>
        <v>2460</v>
      </c>
      <c r="G18" s="543"/>
      <c r="H18" s="528"/>
      <c r="I18" s="528"/>
      <c r="J18" s="528"/>
      <c r="L18" s="211">
        <v>7</v>
      </c>
      <c r="M18" s="212">
        <f>IF(OR((N3="B11"),(N3="B12"),(N3="B21"),(N3="B22"),(N3="B31"),(N3="B32")),2,0)</f>
        <v>0</v>
      </c>
      <c r="N18" s="213" t="s">
        <v>93</v>
      </c>
      <c r="O18" s="214"/>
      <c r="P18" s="214"/>
      <c r="Q18" s="214"/>
      <c r="R18" s="211" t="s">
        <v>87</v>
      </c>
      <c r="S18" s="211"/>
      <c r="T18" s="242"/>
      <c r="U18" s="243">
        <f>Sheet2!B30</f>
        <v>1200</v>
      </c>
      <c r="V18" s="240">
        <f t="shared" si="4"/>
        <v>0</v>
      </c>
      <c r="W18" s="241">
        <f>(V18)/$R$68</f>
        <v>0</v>
      </c>
      <c r="X18" s="216"/>
      <c r="Y18" s="216" t="s">
        <v>81</v>
      </c>
      <c r="Z18" s="216">
        <v>800</v>
      </c>
      <c r="AA18" s="216">
        <v>600</v>
      </c>
      <c r="AB18" s="216">
        <v>150</v>
      </c>
      <c r="AC18" s="216">
        <v>12000</v>
      </c>
      <c r="AD18" s="216">
        <v>22000</v>
      </c>
      <c r="AE18" s="216">
        <v>600</v>
      </c>
      <c r="AF18" s="216"/>
      <c r="AG18" s="216"/>
      <c r="AH18" s="216"/>
      <c r="AI18" s="216"/>
      <c r="AJ18" s="216"/>
      <c r="AK18" s="216"/>
      <c r="AL18" s="216"/>
      <c r="AM18" s="216"/>
      <c r="AN18" s="216"/>
      <c r="AO18" s="216"/>
      <c r="AP18" s="216"/>
      <c r="AQ18" s="216"/>
      <c r="AR18" s="216"/>
      <c r="AS18" s="216"/>
      <c r="AT18" s="256"/>
      <c r="AU18" s="216"/>
      <c r="AV18" s="193"/>
      <c r="AW18" s="194"/>
      <c r="AX18" s="194"/>
      <c r="AY18" s="194"/>
      <c r="AZ18" s="194"/>
      <c r="BA18" s="194"/>
      <c r="BC18" s="1"/>
      <c r="BG18" s="211">
        <v>5</v>
      </c>
      <c r="BH18" s="212">
        <f>IF(OR((BI3="B11"),(BI3="B12"),(BI3="B21"),(BI3="B22"),(BI3="B31"),(BI3="B32")),2,0)</f>
        <v>0</v>
      </c>
      <c r="BI18" s="213" t="s">
        <v>93</v>
      </c>
      <c r="BJ18" s="214"/>
      <c r="BK18" s="214"/>
      <c r="BL18" s="214"/>
      <c r="BM18" s="211" t="s">
        <v>87</v>
      </c>
      <c r="BN18" s="211"/>
      <c r="BO18" s="242"/>
      <c r="BP18" s="243">
        <f>Sheet2!AW30</f>
        <v>0</v>
      </c>
      <c r="BQ18" s="240">
        <f t="shared" si="5"/>
        <v>0</v>
      </c>
      <c r="BR18" s="241">
        <f>(BQ18)/$R$68</f>
        <v>0</v>
      </c>
      <c r="BS18" s="216"/>
      <c r="BT18" s="216" t="s">
        <v>81</v>
      </c>
      <c r="BU18" s="216">
        <v>800</v>
      </c>
      <c r="BV18" s="216">
        <v>600</v>
      </c>
      <c r="BW18" s="216">
        <v>150</v>
      </c>
      <c r="BX18" s="216">
        <v>12000</v>
      </c>
      <c r="BY18" s="216">
        <v>22000</v>
      </c>
      <c r="BZ18" s="216">
        <v>600</v>
      </c>
      <c r="CA18" s="216"/>
      <c r="CB18" s="216"/>
      <c r="CC18" s="216"/>
      <c r="CD18" s="216"/>
      <c r="CE18" s="216"/>
      <c r="CF18" s="216"/>
      <c r="CG18" s="216"/>
      <c r="CH18" s="216"/>
      <c r="CI18" s="216"/>
      <c r="CJ18" s="216"/>
      <c r="CK18" s="216"/>
      <c r="CL18" s="216"/>
      <c r="CM18" s="216"/>
      <c r="CN18" s="216"/>
      <c r="CO18" s="256"/>
    </row>
    <row r="19" ht="18">
      <c r="A19" s="537" t="s">
        <v>326</v>
      </c>
      <c r="B19" s="538"/>
      <c r="C19" s="538">
        <f>ROUNDUP(((C3*B3)/100),0)</f>
        <v>123</v>
      </c>
      <c r="D19" s="538" t="s">
        <v>301</v>
      </c>
      <c r="E19" s="194">
        <v>10</v>
      </c>
      <c r="F19" s="538">
        <f>Table80102114[[#This Row],[طول]]*Table80102114[[#This Row],[wt/m]]</f>
        <v>1230</v>
      </c>
      <c r="G19" s="528"/>
      <c r="H19" s="528"/>
      <c r="I19" s="528"/>
      <c r="J19" s="528"/>
      <c r="L19" s="211" t="s">
        <v>54</v>
      </c>
      <c r="M19" s="212"/>
      <c r="N19" s="213" t="s">
        <v>54</v>
      </c>
      <c r="O19" s="214"/>
      <c r="P19" s="214"/>
      <c r="Q19" s="216"/>
      <c r="R19" s="211"/>
      <c r="S19" s="211"/>
      <c r="T19" s="211"/>
      <c r="U19" s="242"/>
      <c r="V19" s="240">
        <f>SUBTOTAL(109,Table156172[اجمالي])</f>
        <v>1950</v>
      </c>
      <c r="W19" s="244">
        <f>Table156172[[#Totals],[اجمالي]]/$R$68</f>
        <v>0.0074775027824938237</v>
      </c>
      <c r="X19" s="216"/>
      <c r="Y19" s="216" t="s">
        <v>83</v>
      </c>
      <c r="Z19" s="216">
        <v>800</v>
      </c>
      <c r="AA19" s="216">
        <v>750</v>
      </c>
      <c r="AB19" s="216">
        <v>150</v>
      </c>
      <c r="AC19" s="216">
        <v>12000</v>
      </c>
      <c r="AD19" s="216">
        <v>22000</v>
      </c>
      <c r="AE19" s="216">
        <v>600</v>
      </c>
      <c r="AF19" s="216"/>
      <c r="AG19" s="216"/>
      <c r="AH19" s="216"/>
      <c r="AI19" s="216"/>
      <c r="AJ19" s="216"/>
      <c r="AK19" s="216"/>
      <c r="AL19" s="216"/>
      <c r="AM19" s="216"/>
      <c r="AN19" s="216"/>
      <c r="AO19" s="216"/>
      <c r="AP19" s="216"/>
      <c r="AQ19" s="216"/>
      <c r="AR19" s="216"/>
      <c r="AS19" s="216"/>
      <c r="AT19" s="256"/>
      <c r="AU19" s="216"/>
      <c r="AV19" s="193"/>
      <c r="AW19" s="194"/>
      <c r="AX19" s="194"/>
      <c r="AY19" s="194"/>
      <c r="AZ19" s="194"/>
      <c r="BA19" s="194"/>
      <c r="BG19" s="553" t="s">
        <v>54</v>
      </c>
      <c r="BH19" s="554"/>
      <c r="BI19" s="555" t="s">
        <v>54</v>
      </c>
      <c r="BJ19" s="556"/>
      <c r="BK19" s="556"/>
      <c r="BL19" s="565"/>
      <c r="BM19" s="553"/>
      <c r="BN19" s="553"/>
      <c r="BO19" s="553"/>
      <c r="BP19" s="557"/>
      <c r="BQ19" s="558">
        <f>SUBTOTAL(109,Table15617282[اجمالي])</f>
        <v>1950</v>
      </c>
      <c r="BR19" s="559">
        <f>Table15617282[[#Totals],[اجمالي]]/$R$68</f>
        <v>0.0074775027824938237</v>
      </c>
      <c r="BS19" s="216"/>
      <c r="BT19" s="216" t="s">
        <v>83</v>
      </c>
      <c r="BU19" s="216">
        <v>800</v>
      </c>
      <c r="BV19" s="216">
        <v>750</v>
      </c>
      <c r="BW19" s="216">
        <v>150</v>
      </c>
      <c r="BX19" s="216">
        <v>12000</v>
      </c>
      <c r="BY19" s="216">
        <v>22000</v>
      </c>
      <c r="BZ19" s="216">
        <v>600</v>
      </c>
      <c r="CA19" s="216"/>
      <c r="CB19" s="216"/>
      <c r="CC19" s="216"/>
      <c r="CD19" s="216"/>
      <c r="CE19" s="216"/>
      <c r="CF19" s="216"/>
      <c r="CG19" s="216"/>
      <c r="CH19" s="216"/>
      <c r="CI19" s="216"/>
      <c r="CJ19" s="216"/>
      <c r="CK19" s="216"/>
      <c r="CL19" s="216"/>
      <c r="CM19" s="216"/>
      <c r="CN19" s="216"/>
      <c r="CO19" s="256"/>
    </row>
    <row r="20" ht="18">
      <c r="A20" s="537" t="s">
        <v>327</v>
      </c>
      <c r="B20" s="538" t="s">
        <v>328</v>
      </c>
      <c r="C20" s="538">
        <f>ROUNDUP((B3/3),0)</f>
        <v>11</v>
      </c>
      <c r="D20" s="538" t="s">
        <v>28</v>
      </c>
      <c r="E20" s="194">
        <v>275</v>
      </c>
      <c r="F20" s="538">
        <f>Table80102114[[#This Row],[طول]]*Table80102114[[#This Row],[wt/m]]</f>
        <v>3025</v>
      </c>
      <c r="G20" s="528"/>
      <c r="H20" s="528"/>
      <c r="I20" s="528"/>
      <c r="J20" s="528"/>
      <c r="L20" s="216"/>
      <c r="M20" s="216"/>
      <c r="N20" s="217"/>
      <c r="O20" s="885" t="s">
        <v>95</v>
      </c>
      <c r="P20" s="885"/>
      <c r="Q20" s="885"/>
      <c r="R20" s="885"/>
      <c r="S20" s="885"/>
      <c r="T20" s="885"/>
      <c r="U20" s="216"/>
      <c r="V20" s="216"/>
      <c r="W20" s="216"/>
      <c r="X20" s="216"/>
      <c r="Y20" s="216" t="s">
        <v>85</v>
      </c>
      <c r="Z20" s="216">
        <v>800</v>
      </c>
      <c r="AA20" s="216">
        <v>750</v>
      </c>
      <c r="AB20" s="216">
        <v>150</v>
      </c>
      <c r="AC20" s="216">
        <v>12000</v>
      </c>
      <c r="AD20" s="216">
        <v>22000</v>
      </c>
      <c r="AE20" s="216">
        <v>600</v>
      </c>
      <c r="AF20" s="216"/>
      <c r="AG20" s="216"/>
      <c r="AH20" s="216"/>
      <c r="AI20" s="216"/>
      <c r="AJ20" s="216"/>
      <c r="AK20" s="216"/>
      <c r="AL20" s="216"/>
      <c r="AM20" s="216"/>
      <c r="AN20" s="216"/>
      <c r="AO20" s="216"/>
      <c r="AP20" s="216"/>
      <c r="AQ20" s="216"/>
      <c r="AR20" s="216"/>
      <c r="AS20" s="216"/>
      <c r="AT20" s="256"/>
      <c r="AU20" s="216"/>
      <c r="AV20" s="200"/>
      <c r="BG20" s="216"/>
      <c r="BH20" s="216"/>
      <c r="BI20" s="217"/>
      <c r="BJ20" s="885" t="s">
        <v>95</v>
      </c>
      <c r="BK20" s="885"/>
      <c r="BL20" s="885"/>
      <c r="BM20" s="885"/>
      <c r="BN20" s="885"/>
      <c r="BO20" s="885"/>
      <c r="BP20" s="216"/>
      <c r="BQ20" s="216"/>
      <c r="BR20" s="216"/>
      <c r="BS20" s="216"/>
      <c r="BT20" s="216" t="s">
        <v>85</v>
      </c>
      <c r="BU20" s="216">
        <v>800</v>
      </c>
      <c r="BV20" s="216">
        <v>750</v>
      </c>
      <c r="BW20" s="216">
        <v>150</v>
      </c>
      <c r="BX20" s="216">
        <v>12000</v>
      </c>
      <c r="BY20" s="216">
        <v>22000</v>
      </c>
      <c r="BZ20" s="216">
        <v>600</v>
      </c>
      <c r="CA20" s="216"/>
      <c r="CB20" s="216"/>
      <c r="CC20" s="216"/>
      <c r="CD20" s="216"/>
      <c r="CE20" s="216"/>
      <c r="CF20" s="216"/>
      <c r="CG20" s="216"/>
      <c r="CH20" s="216"/>
      <c r="CI20" s="216"/>
      <c r="CJ20" s="216"/>
      <c r="CK20" s="216"/>
      <c r="CL20" s="216"/>
      <c r="CM20" s="216"/>
      <c r="CN20" s="216"/>
      <c r="CO20" s="256"/>
    </row>
    <row r="21" ht="18">
      <c r="A21" s="537" t="s">
        <v>329</v>
      </c>
      <c r="B21" s="538" t="s">
        <v>330</v>
      </c>
      <c r="C21" s="538">
        <f>C20</f>
        <v>11</v>
      </c>
      <c r="D21" s="538" t="s">
        <v>28</v>
      </c>
      <c r="E21" s="194">
        <v>45</v>
      </c>
      <c r="F21" s="538">
        <f>E21*C21</f>
        <v>495</v>
      </c>
      <c r="G21" s="528"/>
      <c r="H21" s="528"/>
      <c r="I21" s="528"/>
      <c r="J21" s="528"/>
      <c r="L21" s="211" t="s">
        <v>27</v>
      </c>
      <c r="M21" s="211" t="s">
        <v>28</v>
      </c>
      <c r="N21" s="218" t="s">
        <v>29</v>
      </c>
      <c r="O21" s="211" t="s">
        <v>30</v>
      </c>
      <c r="P21" s="211" t="s">
        <v>9</v>
      </c>
      <c r="Q21" s="211" t="s">
        <v>61</v>
      </c>
      <c r="R21" s="211" t="s">
        <v>32</v>
      </c>
      <c r="S21" s="211" t="s">
        <v>33</v>
      </c>
      <c r="T21" s="211" t="s">
        <v>74</v>
      </c>
      <c r="U21" s="211" t="s">
        <v>35</v>
      </c>
      <c r="V21" s="245" t="s">
        <v>36</v>
      </c>
      <c r="W21" s="211" t="s">
        <v>37</v>
      </c>
      <c r="X21" s="216"/>
      <c r="Y21" s="216"/>
      <c r="Z21" s="216"/>
      <c r="AA21" s="216"/>
      <c r="AB21" s="216"/>
      <c r="AC21" s="216"/>
      <c r="AD21" s="216"/>
      <c r="AE21" s="216"/>
      <c r="AF21" s="216"/>
      <c r="AG21" s="216"/>
      <c r="AH21" s="216"/>
      <c r="AI21" s="216"/>
      <c r="AJ21" s="216"/>
      <c r="AK21" s="216"/>
      <c r="AL21" s="216"/>
      <c r="AM21" s="216"/>
      <c r="AN21" s="216"/>
      <c r="AO21" s="216"/>
      <c r="AP21" s="216"/>
      <c r="AQ21" s="216"/>
      <c r="AR21" s="216"/>
      <c r="AS21" s="216"/>
      <c r="AT21" s="256"/>
      <c r="AU21" s="216"/>
      <c r="AV21" s="200"/>
      <c r="BG21" s="211" t="s">
        <v>27</v>
      </c>
      <c r="BH21" s="211" t="s">
        <v>28</v>
      </c>
      <c r="BI21" s="218" t="s">
        <v>29</v>
      </c>
      <c r="BJ21" s="211" t="s">
        <v>30</v>
      </c>
      <c r="BK21" s="211" t="s">
        <v>9</v>
      </c>
      <c r="BL21" s="211" t="s">
        <v>61</v>
      </c>
      <c r="BM21" s="211" t="s">
        <v>32</v>
      </c>
      <c r="BN21" s="211" t="s">
        <v>33</v>
      </c>
      <c r="BO21" s="211" t="s">
        <v>74</v>
      </c>
      <c r="BP21" s="211" t="s">
        <v>35</v>
      </c>
      <c r="BQ21" s="245" t="s">
        <v>36</v>
      </c>
      <c r="BR21" s="211" t="s">
        <v>37</v>
      </c>
      <c r="BS21" s="216"/>
      <c r="BT21" s="216"/>
      <c r="BU21" s="216"/>
      <c r="BV21" s="216"/>
      <c r="BW21" s="216"/>
      <c r="BX21" s="216"/>
      <c r="BY21" s="216"/>
      <c r="BZ21" s="216"/>
      <c r="CA21" s="216"/>
      <c r="CB21" s="216"/>
      <c r="CC21" s="216"/>
      <c r="CD21" s="216"/>
      <c r="CE21" s="216"/>
      <c r="CF21" s="216"/>
      <c r="CG21" s="216"/>
      <c r="CH21" s="216"/>
      <c r="CI21" s="216"/>
      <c r="CJ21" s="216"/>
      <c r="CK21" s="216"/>
      <c r="CL21" s="216"/>
      <c r="CM21" s="216"/>
      <c r="CN21" s="216"/>
      <c r="CO21" s="256"/>
    </row>
    <row r="22" ht="18">
      <c r="A22" s="537" t="s">
        <v>331</v>
      </c>
      <c r="B22" s="538" t="s">
        <v>28</v>
      </c>
      <c r="C22" s="538">
        <v>2</v>
      </c>
      <c r="D22" s="538" t="s">
        <v>28</v>
      </c>
      <c r="E22" s="194">
        <v>800</v>
      </c>
      <c r="F22" s="538">
        <f>E22*C22</f>
        <v>1600</v>
      </c>
      <c r="G22" s="528"/>
      <c r="H22" s="528"/>
      <c r="I22" s="528"/>
      <c r="J22" s="528"/>
      <c r="L22" s="211"/>
      <c r="M22" s="212">
        <f>IF((I1="قواعد عادية"),0,2)</f>
        <v>2</v>
      </c>
      <c r="N22" s="220" t="s">
        <v>97</v>
      </c>
      <c r="O22" s="214">
        <v>0.4</v>
      </c>
      <c r="P22" s="214">
        <v>0.4</v>
      </c>
      <c r="Q22" s="211">
        <f>(Table166273[[#This Row],[Column1]]+Table166273[[#This Row],[Column2]])*12</f>
        <v>9.6000000000000014</v>
      </c>
      <c r="R22" s="211"/>
      <c r="S22" s="211">
        <v>12</v>
      </c>
      <c r="T22" s="211"/>
      <c r="U22" s="248">
        <f>S22*$S$2/1000</f>
        <v>540</v>
      </c>
      <c r="V22" s="240">
        <f>M22*U22</f>
        <v>1080</v>
      </c>
      <c r="W22" s="249">
        <f>(V22)/$R$68</f>
        <v>0.0041413861564581177</v>
      </c>
      <c r="X22" s="216"/>
      <c r="Y22" s="216"/>
      <c r="Z22" s="216"/>
      <c r="AA22" s="216"/>
      <c r="AB22" s="216"/>
      <c r="AC22" s="216"/>
      <c r="AD22" s="216"/>
      <c r="AE22" s="216"/>
      <c r="AF22" s="216"/>
      <c r="AG22" s="216"/>
      <c r="AH22" s="216"/>
      <c r="AI22" s="216"/>
      <c r="AJ22" s="216"/>
      <c r="AK22" s="216"/>
      <c r="AL22" s="216"/>
      <c r="AM22" s="216"/>
      <c r="AN22" s="216"/>
      <c r="AO22" s="216"/>
      <c r="AP22" s="216"/>
      <c r="AQ22" s="216"/>
      <c r="AR22" s="216"/>
      <c r="AS22" s="216"/>
      <c r="AT22" s="256"/>
      <c r="AU22" s="216"/>
      <c r="AV22" s="200"/>
      <c r="BG22" s="211">
        <v>1</v>
      </c>
      <c r="BH22" s="212">
        <f>IF((BD1="بالتات"),2,0)</f>
        <v>2</v>
      </c>
      <c r="BI22" s="220" t="s">
        <v>97</v>
      </c>
      <c r="BJ22" s="214">
        <v>0.4</v>
      </c>
      <c r="BK22" s="214">
        <v>0.4</v>
      </c>
      <c r="BL22" s="211">
        <f>(Table16627383[[#This Row],[Column1]]+Table16627383[[#This Row],[Column2]])*12</f>
        <v>9.6000000000000014</v>
      </c>
      <c r="BM22" s="211"/>
      <c r="BN22" s="211">
        <v>12</v>
      </c>
      <c r="BO22" s="211"/>
      <c r="BP22" s="248">
        <f>BN22*$S$2/1000</f>
        <v>540</v>
      </c>
      <c r="BQ22" s="240">
        <f>BH22*BP22</f>
        <v>1080</v>
      </c>
      <c r="BR22" s="249">
        <f>(BQ22)/$R$68</f>
        <v>0.0041413861564581177</v>
      </c>
      <c r="BS22" s="216"/>
      <c r="BT22" s="216"/>
      <c r="BU22" s="216"/>
      <c r="BV22" s="216"/>
      <c r="BW22" s="216"/>
      <c r="BX22" s="216"/>
      <c r="BY22" s="216"/>
      <c r="BZ22" s="216"/>
      <c r="CA22" s="216"/>
      <c r="CB22" s="216"/>
      <c r="CC22" s="216"/>
      <c r="CD22" s="216"/>
      <c r="CE22" s="216"/>
      <c r="CF22" s="216"/>
      <c r="CG22" s="216"/>
      <c r="CH22" s="216"/>
      <c r="CI22" s="216"/>
      <c r="CJ22" s="216"/>
      <c r="CK22" s="216"/>
      <c r="CL22" s="216"/>
      <c r="CM22" s="216"/>
      <c r="CN22" s="216"/>
      <c r="CO22" s="256"/>
    </row>
    <row r="23" ht="18">
      <c r="A23" s="537" t="s">
        <v>189</v>
      </c>
      <c r="B23" s="538" t="s">
        <v>28</v>
      </c>
      <c r="C23" s="538">
        <v>1</v>
      </c>
      <c r="D23" s="538" t="s">
        <v>28</v>
      </c>
      <c r="E23" s="538">
        <f>Sheet2!B57</f>
        <v>9000</v>
      </c>
      <c r="F23" s="538">
        <f>E23*C23</f>
        <v>9000</v>
      </c>
      <c r="G23" s="528"/>
      <c r="H23" s="528"/>
      <c r="I23" s="528"/>
      <c r="J23" s="528"/>
      <c r="L23" s="211">
        <v>3</v>
      </c>
      <c r="M23" s="219">
        <v>2</v>
      </c>
      <c r="N23" s="220" t="s">
        <v>195</v>
      </c>
      <c r="O23" s="221">
        <v>0.3</v>
      </c>
      <c r="P23" s="221">
        <v>0.3</v>
      </c>
      <c r="Q23" s="221">
        <f>(Table166273[[#This Row],[Column1]]*Table166273[[#This Row],[Column2]])*2*Table166273[[#This Row],[عدد]]</f>
        <v>0.36</v>
      </c>
      <c r="R23" s="250" t="s">
        <v>80</v>
      </c>
      <c r="S23" s="250">
        <v>7</v>
      </c>
      <c r="T23" s="211"/>
      <c r="U23" s="243">
        <f>S23*$S$2/1000</f>
        <v>315</v>
      </c>
      <c r="V23" s="240">
        <f>M23*U23</f>
        <v>630</v>
      </c>
      <c r="W23" s="241">
        <f>(V23)/$R$68</f>
        <v>0.0024158085912672355</v>
      </c>
      <c r="X23" s="216"/>
      <c r="Y23" s="216"/>
      <c r="Z23" s="216"/>
      <c r="AA23" s="216"/>
      <c r="AB23" s="216"/>
      <c r="AC23" s="216"/>
      <c r="AD23" s="216"/>
      <c r="AE23" s="216"/>
      <c r="AF23" s="216"/>
      <c r="AG23" s="216"/>
      <c r="AH23" s="216"/>
      <c r="AI23" s="216"/>
      <c r="AJ23" s="216"/>
      <c r="AK23" s="216"/>
      <c r="AL23" s="216"/>
      <c r="AM23" s="216"/>
      <c r="AN23" s="216"/>
      <c r="AO23" s="216"/>
      <c r="AP23" s="216"/>
      <c r="AQ23" s="216"/>
      <c r="AR23" s="216"/>
      <c r="AS23" s="216"/>
      <c r="AT23" s="256"/>
      <c r="AU23" s="216"/>
      <c r="AV23" s="200"/>
      <c r="BG23" s="211">
        <v>2</v>
      </c>
      <c r="BH23" s="219">
        <v>2</v>
      </c>
      <c r="BI23" s="220" t="s">
        <v>195</v>
      </c>
      <c r="BJ23" s="221">
        <v>0.3</v>
      </c>
      <c r="BK23" s="221">
        <v>0.3</v>
      </c>
      <c r="BL23" s="221">
        <f>(Table16627383[[#This Row],[Column1]]*Table16627383[[#This Row],[Column2]])*2*Table16627383[[#This Row],[عدد]]</f>
        <v>0.36</v>
      </c>
      <c r="BM23" s="250" t="s">
        <v>80</v>
      </c>
      <c r="BN23" s="250">
        <v>7</v>
      </c>
      <c r="BO23" s="211"/>
      <c r="BP23" s="243">
        <f>BN23*$S$2/1000</f>
        <v>315</v>
      </c>
      <c r="BQ23" s="240">
        <f>BH23*BP23</f>
        <v>630</v>
      </c>
      <c r="BR23" s="241">
        <f>(BQ23)/$R$68</f>
        <v>0.0024158085912672355</v>
      </c>
      <c r="BS23" s="216"/>
      <c r="BT23" s="216"/>
      <c r="BU23" s="216"/>
      <c r="BV23" s="216"/>
      <c r="BW23" s="216"/>
      <c r="BX23" s="216"/>
      <c r="BY23" s="216"/>
      <c r="BZ23" s="216"/>
      <c r="CA23" s="216"/>
      <c r="CB23" s="216"/>
      <c r="CC23" s="216"/>
      <c r="CD23" s="216"/>
      <c r="CE23" s="216"/>
      <c r="CF23" s="216"/>
      <c r="CG23" s="216"/>
      <c r="CH23" s="216"/>
      <c r="CI23" s="216"/>
      <c r="CJ23" s="216"/>
      <c r="CK23" s="216"/>
      <c r="CL23" s="216"/>
      <c r="CM23" s="216"/>
      <c r="CN23" s="216"/>
      <c r="CO23" s="256"/>
    </row>
    <row r="24" ht="18">
      <c r="A24" s="193" t="s">
        <v>54</v>
      </c>
      <c r="B24" s="199">
        <f>(Table80102114[[#Totals],[price]]*1.1)/(F1*D1/10000)</f>
        <v>9348.50098039216</v>
      </c>
      <c r="C24" s="194"/>
      <c r="D24" s="194"/>
      <c r="E24" s="194"/>
      <c r="F24" s="194">
        <f>SUBTOTAL(109,Table80102114[price])</f>
        <v>173372.2</v>
      </c>
      <c r="L24" s="211">
        <v>8</v>
      </c>
      <c r="M24" s="212">
        <f>M22*4</f>
        <v>8</v>
      </c>
      <c r="N24" s="213" t="s">
        <v>98</v>
      </c>
      <c r="O24" s="214">
        <v>0.1</v>
      </c>
      <c r="P24" s="214">
        <v>0.1</v>
      </c>
      <c r="Q24" s="221">
        <f>(Table166273[[#This Row],[Column1]]*Table166273[[#This Row],[Column2]])*Table166273[[#This Row],[عدد]]</f>
        <v>0.080000000000000016</v>
      </c>
      <c r="R24" s="211" t="s">
        <v>80</v>
      </c>
      <c r="S24" s="211">
        <v>0.75</v>
      </c>
      <c r="T24" s="211"/>
      <c r="U24" s="243">
        <f>S24*$S$2/1000</f>
        <v>33.75</v>
      </c>
      <c r="V24" s="240">
        <f>M24*U24</f>
        <v>270</v>
      </c>
      <c r="W24" s="251">
        <f>(V24)/$R$68</f>
        <v>0.0010353465391145294</v>
      </c>
      <c r="X24" s="216"/>
      <c r="Y24" s="216"/>
      <c r="Z24" s="216"/>
      <c r="AA24" s="216"/>
      <c r="AB24" s="216"/>
      <c r="AC24" s="216"/>
      <c r="AD24" s="216"/>
      <c r="AE24" s="216"/>
      <c r="AF24" s="216"/>
      <c r="AG24" s="216"/>
      <c r="AH24" s="216"/>
      <c r="AI24" s="216"/>
      <c r="AJ24" s="216"/>
      <c r="AK24" s="216"/>
      <c r="AL24" s="216"/>
      <c r="AM24" s="216"/>
      <c r="AN24" s="216"/>
      <c r="AO24" s="216"/>
      <c r="AP24" s="216"/>
      <c r="AQ24" s="216"/>
      <c r="AR24" s="216"/>
      <c r="AS24" s="216"/>
      <c r="AT24" s="256"/>
      <c r="AU24" s="216"/>
      <c r="AV24" s="200"/>
      <c r="BG24" s="211">
        <v>3</v>
      </c>
      <c r="BH24" s="212">
        <f>BH22*4</f>
        <v>8</v>
      </c>
      <c r="BI24" s="213" t="s">
        <v>98</v>
      </c>
      <c r="BJ24" s="214">
        <v>0.1</v>
      </c>
      <c r="BK24" s="214">
        <v>0.1</v>
      </c>
      <c r="BL24" s="221">
        <f>(Table16627383[[#This Row],[Column1]]*Table16627383[[#This Row],[Column2]])*Table16627383[[#This Row],[عدد]]</f>
        <v>0.080000000000000016</v>
      </c>
      <c r="BM24" s="211" t="s">
        <v>80</v>
      </c>
      <c r="BN24" s="211">
        <v>0.75</v>
      </c>
      <c r="BO24" s="211"/>
      <c r="BP24" s="243">
        <f>BN24*$S$2/1000</f>
        <v>33.75</v>
      </c>
      <c r="BQ24" s="240">
        <f>BH24*BP24</f>
        <v>270</v>
      </c>
      <c r="BR24" s="251">
        <f>(BQ24)/$R$68</f>
        <v>0.0010353465391145294</v>
      </c>
      <c r="BS24" s="216"/>
      <c r="BT24" s="216"/>
      <c r="BU24" s="216"/>
      <c r="BV24" s="216"/>
      <c r="BW24" s="216"/>
      <c r="BX24" s="216"/>
      <c r="BY24" s="216"/>
      <c r="BZ24" s="216"/>
      <c r="CA24" s="216"/>
      <c r="CB24" s="216"/>
      <c r="CC24" s="216"/>
      <c r="CD24" s="216"/>
      <c r="CE24" s="216"/>
      <c r="CF24" s="216"/>
      <c r="CG24" s="216"/>
      <c r="CH24" s="216"/>
      <c r="CI24" s="216"/>
      <c r="CJ24" s="216"/>
      <c r="CK24" s="216"/>
      <c r="CL24" s="216"/>
      <c r="CM24" s="216"/>
      <c r="CN24" s="216"/>
      <c r="CO24" s="256"/>
    </row>
    <row r="25" ht="18">
      <c r="A25" s="200"/>
      <c r="L25" s="211" t="s">
        <v>54</v>
      </c>
      <c r="M25" s="212">
        <f>SUBTOTAL(103,Table166273[عدد])</f>
        <v>3</v>
      </c>
      <c r="N25" s="213" t="s">
        <v>54</v>
      </c>
      <c r="O25" s="214"/>
      <c r="P25" s="214"/>
      <c r="Q25" s="216">
        <f>SUBTOTAL(109,Table166273[Column12])</f>
        <v>10.040000000000001</v>
      </c>
      <c r="R25" s="211"/>
      <c r="S25" s="211">
        <f>(S23*M23)+(M24*S24)</f>
        <v>20</v>
      </c>
      <c r="T25" s="211"/>
      <c r="U25" s="242"/>
      <c r="V25" s="240">
        <f>SUBTOTAL(109,Table166273[اجمالي])</f>
        <v>1980</v>
      </c>
      <c r="W25" s="244">
        <f>Table166273[[#Totals],[اجمالي]]/$R$68</f>
        <v>0.007592541286839883</v>
      </c>
      <c r="X25" s="216"/>
      <c r="Y25" s="216"/>
      <c r="Z25" s="216"/>
      <c r="AA25" s="216"/>
      <c r="AB25" s="216"/>
      <c r="AC25" s="216"/>
      <c r="AD25" s="216"/>
      <c r="AE25" s="216"/>
      <c r="AF25" s="216"/>
      <c r="AG25" s="216"/>
      <c r="AH25" s="216"/>
      <c r="AI25" s="216"/>
      <c r="AJ25" s="216"/>
      <c r="AK25" s="216"/>
      <c r="AL25" s="216"/>
      <c r="AM25" s="216"/>
      <c r="AN25" s="216"/>
      <c r="AO25" s="216"/>
      <c r="AP25" s="216"/>
      <c r="AQ25" s="216"/>
      <c r="AR25" s="216"/>
      <c r="AS25" s="216"/>
      <c r="AT25" s="256"/>
      <c r="AU25" s="216"/>
      <c r="AV25" s="200"/>
      <c r="BG25" s="211" t="s">
        <v>54</v>
      </c>
      <c r="BH25" s="212">
        <f>SUBTOTAL(103,Table16627383[عدد])</f>
        <v>3</v>
      </c>
      <c r="BI25" s="213" t="s">
        <v>54</v>
      </c>
      <c r="BJ25" s="214"/>
      <c r="BK25" s="214"/>
      <c r="BL25" s="216">
        <f>SUBTOTAL(109,Table16627383[Column12])</f>
        <v>10.040000000000001</v>
      </c>
      <c r="BM25" s="211"/>
      <c r="BN25" s="211">
        <f>(BN23*BH23)+(BH24*BN24)</f>
        <v>20</v>
      </c>
      <c r="BO25" s="211"/>
      <c r="BP25" s="242"/>
      <c r="BQ25" s="240">
        <f>SUBTOTAL(109,Table16627383[اجمالي])</f>
        <v>1980</v>
      </c>
      <c r="BR25" s="244">
        <f>Table16627383[[#Totals],[اجمالي]]/$R$68</f>
        <v>0.007592541286839883</v>
      </c>
      <c r="BS25" s="216"/>
      <c r="BT25" s="216"/>
      <c r="BU25" s="216"/>
      <c r="BV25" s="216"/>
      <c r="BW25" s="216"/>
      <c r="BX25" s="216"/>
      <c r="BY25" s="216"/>
      <c r="BZ25" s="216"/>
      <c r="CA25" s="216"/>
      <c r="CB25" s="216"/>
      <c r="CC25" s="216"/>
      <c r="CD25" s="216"/>
      <c r="CE25" s="216"/>
      <c r="CF25" s="216"/>
      <c r="CG25" s="216"/>
      <c r="CH25" s="216"/>
      <c r="CI25" s="216"/>
      <c r="CJ25" s="216"/>
      <c r="CK25" s="216"/>
      <c r="CL25" s="216"/>
      <c r="CM25" s="216"/>
      <c r="CN25" s="216"/>
      <c r="CO25" s="256"/>
    </row>
    <row r="26" ht="18">
      <c r="A26" s="200"/>
      <c r="L26" s="216"/>
      <c r="M26" s="216"/>
      <c r="N26" s="217"/>
      <c r="O26" s="885" t="s">
        <v>99</v>
      </c>
      <c r="P26" s="885"/>
      <c r="Q26" s="885"/>
      <c r="R26" s="885"/>
      <c r="S26" s="885"/>
      <c r="T26" s="885"/>
      <c r="U26" s="216"/>
      <c r="V26" s="216"/>
      <c r="W26" s="216"/>
      <c r="X26" s="216"/>
      <c r="Y26" s="216"/>
      <c r="Z26" s="216"/>
      <c r="AA26" s="216"/>
      <c r="AB26" s="216"/>
      <c r="AC26" s="216"/>
      <c r="AD26" s="216"/>
      <c r="AE26" s="216"/>
      <c r="AF26" s="216"/>
      <c r="AG26" s="216"/>
      <c r="AH26" s="216"/>
      <c r="AI26" s="216"/>
      <c r="AJ26" s="216"/>
      <c r="AK26" s="216"/>
      <c r="AL26" s="216"/>
      <c r="AM26" s="216"/>
      <c r="AN26" s="216"/>
      <c r="AO26" s="216"/>
      <c r="AP26" s="216"/>
      <c r="AQ26" s="216"/>
      <c r="AR26" s="216"/>
      <c r="AS26" s="216"/>
      <c r="AT26" s="256"/>
      <c r="AU26" s="216"/>
      <c r="AV26" s="200"/>
      <c r="BG26" s="216"/>
      <c r="BH26" s="216"/>
      <c r="BI26" s="217"/>
      <c r="BJ26" s="885" t="s">
        <v>99</v>
      </c>
      <c r="BK26" s="885"/>
      <c r="BL26" s="885"/>
      <c r="BM26" s="885"/>
      <c r="BN26" s="885"/>
      <c r="BO26" s="885"/>
      <c r="BP26" s="216"/>
      <c r="BQ26" s="216"/>
      <c r="BR26" s="216"/>
      <c r="BS26" s="216"/>
      <c r="BT26" s="216"/>
      <c r="BU26" s="216"/>
      <c r="BV26" s="216"/>
      <c r="BW26" s="216"/>
      <c r="BX26" s="216"/>
      <c r="BY26" s="216"/>
      <c r="BZ26" s="216"/>
      <c r="CA26" s="216"/>
      <c r="CB26" s="216"/>
      <c r="CC26" s="216"/>
      <c r="CD26" s="216"/>
      <c r="CE26" s="216"/>
      <c r="CF26" s="216"/>
      <c r="CG26" s="216"/>
      <c r="CH26" s="216"/>
      <c r="CI26" s="216"/>
      <c r="CJ26" s="216"/>
      <c r="CK26" s="216"/>
      <c r="CL26" s="216"/>
      <c r="CM26" s="216"/>
      <c r="CN26" s="216"/>
      <c r="CO26" s="256"/>
    </row>
    <row r="27" ht="18">
      <c r="A27" s="200"/>
      <c r="L27" s="211" t="s">
        <v>27</v>
      </c>
      <c r="M27" s="211" t="s">
        <v>28</v>
      </c>
      <c r="N27" s="218" t="s">
        <v>29</v>
      </c>
      <c r="O27" s="211" t="s">
        <v>30</v>
      </c>
      <c r="P27" s="211" t="s">
        <v>9</v>
      </c>
      <c r="Q27" s="211" t="s">
        <v>61</v>
      </c>
      <c r="R27" s="211" t="s">
        <v>32</v>
      </c>
      <c r="S27" s="211" t="s">
        <v>33</v>
      </c>
      <c r="T27" s="211" t="s">
        <v>74</v>
      </c>
      <c r="U27" s="211" t="s">
        <v>35</v>
      </c>
      <c r="V27" s="245" t="s">
        <v>36</v>
      </c>
      <c r="W27" s="211" t="s">
        <v>37</v>
      </c>
      <c r="X27" s="216"/>
      <c r="Y27" s="216"/>
      <c r="Z27" s="216"/>
      <c r="AA27" s="216"/>
      <c r="AB27" s="216"/>
      <c r="AC27" s="216"/>
      <c r="AD27" s="216"/>
      <c r="AE27" s="216"/>
      <c r="AF27" s="216"/>
      <c r="AG27" s="216"/>
      <c r="AH27" s="216"/>
      <c r="AI27" s="216"/>
      <c r="AJ27" s="216"/>
      <c r="AK27" s="216"/>
      <c r="AL27" s="216"/>
      <c r="AM27" s="216"/>
      <c r="AN27" s="216"/>
      <c r="AO27" s="216"/>
      <c r="AP27" s="216"/>
      <c r="AQ27" s="216"/>
      <c r="AR27" s="216"/>
      <c r="AS27" s="216"/>
      <c r="AT27" s="256"/>
      <c r="AU27" s="216"/>
      <c r="AV27" s="200"/>
      <c r="BG27" s="211" t="s">
        <v>27</v>
      </c>
      <c r="BH27" s="211" t="s">
        <v>28</v>
      </c>
      <c r="BI27" s="218" t="s">
        <v>29</v>
      </c>
      <c r="BJ27" s="211" t="s">
        <v>30</v>
      </c>
      <c r="BK27" s="211" t="s">
        <v>9</v>
      </c>
      <c r="BL27" s="211" t="s">
        <v>61</v>
      </c>
      <c r="BM27" s="211" t="s">
        <v>32</v>
      </c>
      <c r="BN27" s="211" t="s">
        <v>33</v>
      </c>
      <c r="BO27" s="211" t="s">
        <v>74</v>
      </c>
      <c r="BP27" s="211" t="s">
        <v>35</v>
      </c>
      <c r="BQ27" s="245" t="s">
        <v>36</v>
      </c>
      <c r="BR27" s="211" t="s">
        <v>37</v>
      </c>
      <c r="BS27" s="216"/>
      <c r="BT27" s="216"/>
      <c r="BU27" s="216"/>
      <c r="BV27" s="216"/>
      <c r="BW27" s="216"/>
      <c r="BX27" s="216"/>
      <c r="BY27" s="216"/>
      <c r="BZ27" s="216"/>
      <c r="CA27" s="216"/>
      <c r="CB27" s="216"/>
      <c r="CC27" s="216"/>
      <c r="CD27" s="216"/>
      <c r="CE27" s="216"/>
      <c r="CF27" s="216"/>
      <c r="CG27" s="216"/>
      <c r="CH27" s="216"/>
      <c r="CI27" s="216"/>
      <c r="CJ27" s="216"/>
      <c r="CK27" s="216"/>
      <c r="CL27" s="216"/>
      <c r="CM27" s="216"/>
      <c r="CN27" s="216"/>
      <c r="CO27" s="256"/>
    </row>
    <row r="28" ht="18">
      <c r="A28" s="200"/>
      <c r="L28" s="211">
        <v>3</v>
      </c>
      <c r="M28" s="222">
        <f>AM7/3</f>
        <v>2.58</v>
      </c>
      <c r="N28" s="213" t="s">
        <v>107</v>
      </c>
      <c r="O28" s="214"/>
      <c r="P28" s="214"/>
      <c r="Q28" s="214"/>
      <c r="R28" s="211" t="s">
        <v>108</v>
      </c>
      <c r="S28" s="211"/>
      <c r="T28" s="211"/>
      <c r="U28" s="248">
        <f>Sheet2!B24</f>
        <v>400</v>
      </c>
      <c r="V28" s="240">
        <f ref="V28:V33" t="shared" si="6">M28*U28</f>
        <v>1032</v>
      </c>
      <c r="W28" s="241">
        <f ref="W28:W42" t="shared" si="7" ca="1">(V28)/$R$68</f>
        <v>0.0039573245495044236</v>
      </c>
      <c r="X28" s="216"/>
      <c r="Y28" s="216"/>
      <c r="Z28" s="216"/>
      <c r="AA28" s="216"/>
      <c r="AB28" s="216"/>
      <c r="AC28" s="216"/>
      <c r="AD28" s="216"/>
      <c r="AE28" s="216"/>
      <c r="AF28" s="216"/>
      <c r="AG28" s="216"/>
      <c r="AH28" s="216"/>
      <c r="AI28" s="216"/>
      <c r="AJ28" s="216"/>
      <c r="AK28" s="216"/>
      <c r="AL28" s="216"/>
      <c r="AM28" s="216"/>
      <c r="AN28" s="216"/>
      <c r="AO28" s="216"/>
      <c r="AP28" s="216"/>
      <c r="AQ28" s="216"/>
      <c r="AR28" s="216"/>
      <c r="AS28" s="216"/>
      <c r="AT28" s="256"/>
      <c r="AU28" s="216"/>
      <c r="AV28" s="200"/>
      <c r="BG28" s="211">
        <v>1</v>
      </c>
      <c r="BH28" s="222">
        <f>CH7/3</f>
        <v>0</v>
      </c>
      <c r="BI28" s="213" t="s">
        <v>107</v>
      </c>
      <c r="BJ28" s="214"/>
      <c r="BK28" s="214"/>
      <c r="BL28" s="214"/>
      <c r="BM28" s="211" t="s">
        <v>108</v>
      </c>
      <c r="BN28" s="211"/>
      <c r="BO28" s="211"/>
      <c r="BP28" s="248">
        <f>Sheet2!B24</f>
        <v>400</v>
      </c>
      <c r="BQ28" s="240">
        <f ref="BQ28:BQ41" t="shared" si="8">BH28*BP28</f>
        <v>0</v>
      </c>
      <c r="BR28" s="241">
        <f ref="BR28:BR41" t="shared" si="9" ca="1">(BQ28)/$R$68</f>
        <v>0</v>
      </c>
      <c r="BS28" s="216"/>
      <c r="BT28" s="216"/>
      <c r="BU28" s="216"/>
      <c r="BV28" s="216"/>
      <c r="BW28" s="216"/>
      <c r="BX28" s="216"/>
      <c r="BY28" s="216"/>
      <c r="BZ28" s="216"/>
      <c r="CA28" s="216"/>
      <c r="CB28" s="216"/>
      <c r="CC28" s="216"/>
      <c r="CD28" s="216"/>
      <c r="CE28" s="216"/>
      <c r="CF28" s="216"/>
      <c r="CG28" s="216"/>
      <c r="CH28" s="216"/>
      <c r="CI28" s="216"/>
      <c r="CJ28" s="216"/>
      <c r="CK28" s="216"/>
      <c r="CL28" s="216"/>
      <c r="CM28" s="216"/>
      <c r="CN28" s="216"/>
      <c r="CO28" s="256"/>
    </row>
    <row r="29" ht="18">
      <c r="A29" s="200"/>
      <c r="L29" s="211">
        <v>4</v>
      </c>
      <c r="M29" s="219">
        <v>3</v>
      </c>
      <c r="N29" s="218" t="s">
        <v>100</v>
      </c>
      <c r="O29" s="211"/>
      <c r="P29" s="211"/>
      <c r="Q29" s="211"/>
      <c r="R29" s="211" t="s">
        <v>101</v>
      </c>
      <c r="S29" s="211"/>
      <c r="T29" s="211"/>
      <c r="U29" s="248">
        <f>Sheet2!B48</f>
        <v>25</v>
      </c>
      <c r="V29" s="240">
        <f t="shared" si="6"/>
        <v>75</v>
      </c>
      <c r="W29" s="241">
        <f t="shared" si="7" ca="1"/>
        <v>0.00028759626086514707</v>
      </c>
      <c r="X29" s="216"/>
      <c r="Y29" s="216"/>
      <c r="Z29" s="216"/>
      <c r="AA29" s="216"/>
      <c r="AB29" s="216"/>
      <c r="AC29" s="216"/>
      <c r="AD29" s="216"/>
      <c r="AE29" s="216"/>
      <c r="AF29" s="216"/>
      <c r="AG29" s="216"/>
      <c r="AH29" s="216"/>
      <c r="AI29" s="216"/>
      <c r="AJ29" s="216"/>
      <c r="AK29" s="216"/>
      <c r="AL29" s="216"/>
      <c r="AM29" s="216"/>
      <c r="AN29" s="216"/>
      <c r="AO29" s="216"/>
      <c r="AP29" s="216"/>
      <c r="AQ29" s="216"/>
      <c r="AR29" s="216"/>
      <c r="AS29" s="216"/>
      <c r="AT29" s="256"/>
      <c r="AU29" s="216"/>
      <c r="AV29" s="200"/>
      <c r="BG29" s="211">
        <v>2</v>
      </c>
      <c r="BH29" s="219">
        <v>3</v>
      </c>
      <c r="BI29" s="218" t="s">
        <v>100</v>
      </c>
      <c r="BJ29" s="211"/>
      <c r="BK29" s="211"/>
      <c r="BL29" s="211"/>
      <c r="BM29" s="211" t="s">
        <v>101</v>
      </c>
      <c r="BN29" s="211"/>
      <c r="BO29" s="211"/>
      <c r="BP29" s="248">
        <v>18</v>
      </c>
      <c r="BQ29" s="240">
        <f t="shared" si="8"/>
        <v>54</v>
      </c>
      <c r="BR29" s="241">
        <f t="shared" si="9" ca="1"/>
        <v>0.00020706930782290588</v>
      </c>
      <c r="BS29" s="216"/>
      <c r="BT29" s="216"/>
      <c r="BU29" s="216"/>
      <c r="BV29" s="216"/>
      <c r="BW29" s="216"/>
      <c r="BX29" s="216"/>
      <c r="BY29" s="216"/>
      <c r="BZ29" s="216"/>
      <c r="CA29" s="216"/>
      <c r="CB29" s="216"/>
      <c r="CC29" s="216"/>
      <c r="CD29" s="216"/>
      <c r="CE29" s="216"/>
      <c r="CF29" s="216"/>
      <c r="CG29" s="216"/>
      <c r="CH29" s="216"/>
      <c r="CI29" s="216"/>
      <c r="CJ29" s="216"/>
      <c r="CK29" s="216"/>
      <c r="CL29" s="216"/>
      <c r="CM29" s="216"/>
      <c r="CN29" s="216"/>
      <c r="CO29" s="256"/>
    </row>
    <row r="30" ht="18">
      <c r="A30" s="200"/>
      <c r="L30" s="211">
        <v>5</v>
      </c>
      <c r="M30" s="212">
        <v>3</v>
      </c>
      <c r="N30" s="218" t="s">
        <v>102</v>
      </c>
      <c r="O30" s="211"/>
      <c r="P30" s="211"/>
      <c r="Q30" s="211"/>
      <c r="R30" s="211" t="s">
        <v>101</v>
      </c>
      <c r="S30" s="211"/>
      <c r="T30" s="211"/>
      <c r="U30" s="248">
        <f>Sheet2!B48</f>
        <v>25</v>
      </c>
      <c r="V30" s="240">
        <f t="shared" si="6"/>
        <v>75</v>
      </c>
      <c r="W30" s="241">
        <f t="shared" si="7" ca="1"/>
        <v>0.00028759626086514707</v>
      </c>
      <c r="X30" s="216"/>
      <c r="Y30" s="216"/>
      <c r="Z30" s="216"/>
      <c r="AA30" s="216"/>
      <c r="AB30" s="216"/>
      <c r="AC30" s="216"/>
      <c r="AD30" s="216"/>
      <c r="AE30" s="216"/>
      <c r="AF30" s="216"/>
      <c r="AG30" s="216"/>
      <c r="AH30" s="216"/>
      <c r="AI30" s="216"/>
      <c r="AJ30" s="216"/>
      <c r="AK30" s="216"/>
      <c r="AL30" s="216"/>
      <c r="AM30" s="216"/>
      <c r="AN30" s="216"/>
      <c r="AO30" s="216"/>
      <c r="AP30" s="216"/>
      <c r="AQ30" s="216"/>
      <c r="AR30" s="216"/>
      <c r="AS30" s="216"/>
      <c r="AT30" s="256"/>
      <c r="AU30" s="216"/>
      <c r="AV30" s="200"/>
      <c r="BG30" s="211">
        <v>3</v>
      </c>
      <c r="BH30" s="212">
        <v>3</v>
      </c>
      <c r="BI30" s="218" t="s">
        <v>102</v>
      </c>
      <c r="BJ30" s="211"/>
      <c r="BK30" s="211"/>
      <c r="BL30" s="211"/>
      <c r="BM30" s="211" t="s">
        <v>101</v>
      </c>
      <c r="BN30" s="211"/>
      <c r="BO30" s="211"/>
      <c r="BP30" s="248">
        <v>18</v>
      </c>
      <c r="BQ30" s="240">
        <f t="shared" si="8"/>
        <v>54</v>
      </c>
      <c r="BR30" s="241">
        <f t="shared" si="9" ca="1"/>
        <v>0.00020706930782290588</v>
      </c>
      <c r="BS30" s="216"/>
      <c r="BT30" s="216"/>
      <c r="BU30" s="216"/>
      <c r="BV30" s="216"/>
      <c r="BW30" s="216"/>
      <c r="BX30" s="216"/>
      <c r="BY30" s="216"/>
      <c r="BZ30" s="216"/>
      <c r="CA30" s="216"/>
      <c r="CB30" s="216"/>
      <c r="CC30" s="216"/>
      <c r="CD30" s="216"/>
      <c r="CE30" s="216"/>
      <c r="CF30" s="216"/>
      <c r="CG30" s="216"/>
      <c r="CH30" s="216"/>
      <c r="CI30" s="216"/>
      <c r="CJ30" s="216"/>
      <c r="CK30" s="216"/>
      <c r="CL30" s="216"/>
      <c r="CM30" s="216"/>
      <c r="CN30" s="216"/>
      <c r="CO30" s="256"/>
    </row>
    <row r="31" ht="18">
      <c r="A31" s="200"/>
      <c r="L31" s="211">
        <v>6</v>
      </c>
      <c r="M31" s="219">
        <v>1</v>
      </c>
      <c r="N31" s="213" t="s">
        <v>103</v>
      </c>
      <c r="O31" s="214"/>
      <c r="P31" s="214"/>
      <c r="Q31" s="214"/>
      <c r="R31" s="211" t="s">
        <v>104</v>
      </c>
      <c r="S31" s="211"/>
      <c r="T31" s="211"/>
      <c r="U31" s="248">
        <v>40</v>
      </c>
      <c r="V31" s="240">
        <f t="shared" si="6"/>
        <v>40</v>
      </c>
      <c r="W31" s="241">
        <f t="shared" si="7" ca="1"/>
        <v>0.00015338467246141179</v>
      </c>
      <c r="X31" s="216"/>
      <c r="Y31" s="216"/>
      <c r="Z31" s="216"/>
      <c r="AA31" s="216"/>
      <c r="AB31" s="216"/>
      <c r="AC31" s="216"/>
      <c r="AD31" s="216"/>
      <c r="AE31" s="216"/>
      <c r="AF31" s="216"/>
      <c r="AG31" s="216"/>
      <c r="AH31" s="216"/>
      <c r="AI31" s="216"/>
      <c r="AJ31" s="216"/>
      <c r="AK31" s="216"/>
      <c r="AL31" s="216"/>
      <c r="AM31" s="216"/>
      <c r="AN31" s="216"/>
      <c r="AO31" s="216"/>
      <c r="AP31" s="216"/>
      <c r="AQ31" s="216"/>
      <c r="AR31" s="216"/>
      <c r="AS31" s="216"/>
      <c r="AT31" s="256"/>
      <c r="AU31" s="216"/>
      <c r="AV31" s="200"/>
      <c r="BG31" s="211">
        <v>4</v>
      </c>
      <c r="BH31" s="219">
        <v>1</v>
      </c>
      <c r="BI31" s="213" t="s">
        <v>103</v>
      </c>
      <c r="BJ31" s="214"/>
      <c r="BK31" s="214"/>
      <c r="BL31" s="214"/>
      <c r="BM31" s="211" t="s">
        <v>104</v>
      </c>
      <c r="BN31" s="211"/>
      <c r="BO31" s="211"/>
      <c r="BP31" s="248">
        <v>25</v>
      </c>
      <c r="BQ31" s="240">
        <f t="shared" si="8"/>
        <v>25</v>
      </c>
      <c r="BR31" s="241">
        <f t="shared" si="9" ca="1"/>
        <v>9.5865420288382362E-05</v>
      </c>
      <c r="BS31" s="216"/>
      <c r="BT31" s="216"/>
      <c r="BU31" s="216"/>
      <c r="BV31" s="216"/>
      <c r="BW31" s="216"/>
      <c r="BX31" s="216"/>
      <c r="BY31" s="216"/>
      <c r="BZ31" s="216"/>
      <c r="CA31" s="216"/>
      <c r="CB31" s="216"/>
      <c r="CC31" s="216"/>
      <c r="CD31" s="216"/>
      <c r="CE31" s="216"/>
      <c r="CF31" s="216"/>
      <c r="CG31" s="216"/>
      <c r="CH31" s="216"/>
      <c r="CI31" s="216"/>
      <c r="CJ31" s="216"/>
      <c r="CK31" s="216"/>
      <c r="CL31" s="216"/>
      <c r="CM31" s="216"/>
      <c r="CN31" s="216"/>
      <c r="CO31" s="256"/>
    </row>
    <row r="32" ht="18">
      <c r="A32" s="200"/>
      <c r="L32" s="211">
        <v>7</v>
      </c>
      <c r="M32" s="212">
        <v>1</v>
      </c>
      <c r="N32" s="213" t="s">
        <v>105</v>
      </c>
      <c r="O32" s="214"/>
      <c r="P32" s="214"/>
      <c r="Q32" s="214"/>
      <c r="R32" s="211" t="s">
        <v>104</v>
      </c>
      <c r="S32" s="211"/>
      <c r="T32" s="211"/>
      <c r="U32" s="248">
        <v>150</v>
      </c>
      <c r="V32" s="240">
        <f t="shared" si="6"/>
        <v>150</v>
      </c>
      <c r="W32" s="241">
        <f t="shared" si="7" ca="1"/>
        <v>0.00057519252173029414</v>
      </c>
      <c r="X32" s="216"/>
      <c r="Y32" s="216"/>
      <c r="Z32" s="216"/>
      <c r="AA32" s="216"/>
      <c r="AB32" s="216"/>
      <c r="AC32" s="216"/>
      <c r="AD32" s="216"/>
      <c r="AE32" s="216"/>
      <c r="AF32" s="216"/>
      <c r="AG32" s="216"/>
      <c r="AH32" s="216"/>
      <c r="AI32" s="216"/>
      <c r="AJ32" s="216"/>
      <c r="AK32" s="216"/>
      <c r="AL32" s="216"/>
      <c r="AM32" s="216"/>
      <c r="AN32" s="216"/>
      <c r="AO32" s="216"/>
      <c r="AP32" s="216"/>
      <c r="AQ32" s="216"/>
      <c r="AR32" s="216"/>
      <c r="AS32" s="216"/>
      <c r="AT32" s="256"/>
      <c r="AU32" s="216"/>
      <c r="AV32" s="200"/>
      <c r="BG32" s="211">
        <v>5</v>
      </c>
      <c r="BH32" s="212">
        <v>1</v>
      </c>
      <c r="BI32" s="213" t="s">
        <v>105</v>
      </c>
      <c r="BJ32" s="214"/>
      <c r="BK32" s="214"/>
      <c r="BL32" s="214"/>
      <c r="BM32" s="211" t="s">
        <v>104</v>
      </c>
      <c r="BN32" s="211"/>
      <c r="BO32" s="211"/>
      <c r="BP32" s="248">
        <v>150</v>
      </c>
      <c r="BQ32" s="240">
        <f t="shared" si="8"/>
        <v>150</v>
      </c>
      <c r="BR32" s="241">
        <f t="shared" si="9" ca="1"/>
        <v>0.00057519252173029414</v>
      </c>
      <c r="BS32" s="216"/>
      <c r="BT32" s="216"/>
      <c r="BU32" s="216"/>
      <c r="BV32" s="216"/>
      <c r="BW32" s="216"/>
      <c r="BX32" s="216"/>
      <c r="BY32" s="216"/>
      <c r="BZ32" s="216"/>
      <c r="CA32" s="216"/>
      <c r="CB32" s="216"/>
      <c r="CC32" s="216"/>
      <c r="CD32" s="216"/>
      <c r="CE32" s="216"/>
      <c r="CF32" s="216"/>
      <c r="CG32" s="216"/>
      <c r="CH32" s="216"/>
      <c r="CI32" s="216"/>
      <c r="CJ32" s="216"/>
      <c r="CK32" s="216"/>
      <c r="CL32" s="216"/>
      <c r="CM32" s="216"/>
      <c r="CN32" s="216"/>
      <c r="CO32" s="256"/>
    </row>
    <row r="33" ht="18">
      <c r="A33" s="200"/>
      <c r="L33" s="211">
        <v>8</v>
      </c>
      <c r="M33" s="219">
        <v>2</v>
      </c>
      <c r="N33" s="213" t="s">
        <v>106</v>
      </c>
      <c r="O33" s="214"/>
      <c r="P33" s="214"/>
      <c r="Q33" s="214"/>
      <c r="R33" s="211" t="s">
        <v>80</v>
      </c>
      <c r="S33" s="211"/>
      <c r="T33" s="211"/>
      <c r="U33" s="248">
        <v>40</v>
      </c>
      <c r="V33" s="240">
        <f t="shared" si="6"/>
        <v>80</v>
      </c>
      <c r="W33" s="241">
        <f t="shared" si="7" ca="1"/>
        <v>0.00030676934492282357</v>
      </c>
      <c r="X33" s="216"/>
      <c r="Y33" s="216"/>
      <c r="Z33" s="216"/>
      <c r="AA33" s="216"/>
      <c r="AB33" s="216"/>
      <c r="AC33" s="216"/>
      <c r="AD33" s="216"/>
      <c r="AE33" s="216"/>
      <c r="AF33" s="216"/>
      <c r="AG33" s="216"/>
      <c r="AH33" s="216"/>
      <c r="AI33" s="216"/>
      <c r="AJ33" s="216"/>
      <c r="AK33" s="216"/>
      <c r="AL33" s="216"/>
      <c r="AM33" s="216"/>
      <c r="AN33" s="216"/>
      <c r="AO33" s="216"/>
      <c r="AP33" s="216"/>
      <c r="AQ33" s="216"/>
      <c r="AR33" s="216"/>
      <c r="AS33" s="216"/>
      <c r="AT33" s="256"/>
      <c r="AU33" s="216"/>
      <c r="AV33" s="200"/>
      <c r="BG33" s="211">
        <v>6</v>
      </c>
      <c r="BH33" s="219">
        <v>2</v>
      </c>
      <c r="BI33" s="213" t="s">
        <v>106</v>
      </c>
      <c r="BJ33" s="214"/>
      <c r="BK33" s="214"/>
      <c r="BL33" s="214"/>
      <c r="BM33" s="211" t="s">
        <v>80</v>
      </c>
      <c r="BN33" s="211"/>
      <c r="BO33" s="211"/>
      <c r="BP33" s="248">
        <v>40</v>
      </c>
      <c r="BQ33" s="240">
        <f t="shared" si="8"/>
        <v>80</v>
      </c>
      <c r="BR33" s="241">
        <f t="shared" si="9" ca="1"/>
        <v>0.00030676934492282357</v>
      </c>
      <c r="BS33" s="216"/>
      <c r="BT33" s="216"/>
      <c r="BU33" s="216"/>
      <c r="BV33" s="216"/>
      <c r="BW33" s="216"/>
      <c r="BX33" s="216"/>
      <c r="BY33" s="216"/>
      <c r="BZ33" s="216"/>
      <c r="CA33" s="216"/>
      <c r="CB33" s="216"/>
      <c r="CC33" s="216"/>
      <c r="CD33" s="216"/>
      <c r="CE33" s="216"/>
      <c r="CF33" s="216"/>
      <c r="CG33" s="216"/>
      <c r="CH33" s="216"/>
      <c r="CI33" s="216"/>
      <c r="CJ33" s="216"/>
      <c r="CK33" s="216"/>
      <c r="CL33" s="216"/>
      <c r="CM33" s="216"/>
      <c r="CN33" s="216"/>
      <c r="CO33" s="256"/>
    </row>
    <row r="34" ht="18">
      <c r="A34" s="200"/>
      <c r="L34" s="211"/>
      <c r="M34" s="219">
        <f>ROUNDUP(AM5,0)</f>
        <v>13</v>
      </c>
      <c r="N34" s="213" t="s">
        <v>40</v>
      </c>
      <c r="O34" s="214"/>
      <c r="P34" s="214"/>
      <c r="Q34" s="214"/>
      <c r="R34" s="211"/>
      <c r="S34" s="211"/>
      <c r="T34" s="211"/>
      <c r="U34" s="248">
        <f>Sheet2!B26</f>
        <v>220</v>
      </c>
      <c r="V34" s="240">
        <f ref="V34:V42" t="shared" si="10">M34*U34</f>
        <v>2860</v>
      </c>
      <c r="W34" s="251">
        <f t="shared" si="7" ca="1"/>
        <v>0.010967004080990942</v>
      </c>
      <c r="X34" s="216"/>
      <c r="Y34" s="216"/>
      <c r="Z34" s="216"/>
      <c r="AA34" s="216"/>
      <c r="AB34" s="216"/>
      <c r="AC34" s="216"/>
      <c r="AD34" s="216"/>
      <c r="AE34" s="216"/>
      <c r="AF34" s="216"/>
      <c r="AG34" s="216"/>
      <c r="AH34" s="216"/>
      <c r="AI34" s="216"/>
      <c r="AJ34" s="216"/>
      <c r="AK34" s="216"/>
      <c r="AL34" s="216"/>
      <c r="AM34" s="216"/>
      <c r="AN34" s="216"/>
      <c r="AO34" s="216"/>
      <c r="AP34" s="216"/>
      <c r="AQ34" s="216"/>
      <c r="AR34" s="216"/>
      <c r="AS34" s="216"/>
      <c r="AT34" s="256"/>
      <c r="AU34" s="216"/>
      <c r="AV34" s="200"/>
      <c r="BG34" s="211">
        <v>7</v>
      </c>
      <c r="BH34" s="219">
        <f>ROUNDUP(CH5,0)</f>
        <v>0</v>
      </c>
      <c r="BI34" s="213" t="s">
        <v>40</v>
      </c>
      <c r="BJ34" s="214"/>
      <c r="BK34" s="214"/>
      <c r="BL34" s="214"/>
      <c r="BM34" s="211"/>
      <c r="BN34" s="211"/>
      <c r="BO34" s="211"/>
      <c r="BP34" s="248">
        <f>Sheet2!B26</f>
        <v>220</v>
      </c>
      <c r="BQ34" s="240">
        <f t="shared" si="8"/>
        <v>0</v>
      </c>
      <c r="BR34" s="251">
        <f t="shared" si="9" ca="1"/>
        <v>0</v>
      </c>
      <c r="BS34" s="216"/>
      <c r="BT34" s="216"/>
      <c r="BU34" s="216"/>
      <c r="BV34" s="216"/>
      <c r="BW34" s="216"/>
      <c r="BX34" s="216"/>
      <c r="BY34" s="216"/>
      <c r="BZ34" s="216"/>
      <c r="CA34" s="216"/>
      <c r="CB34" s="216"/>
      <c r="CC34" s="216"/>
      <c r="CD34" s="216"/>
      <c r="CE34" s="216"/>
      <c r="CF34" s="216"/>
      <c r="CG34" s="216"/>
      <c r="CH34" s="216"/>
      <c r="CI34" s="216"/>
      <c r="CJ34" s="216"/>
      <c r="CK34" s="216"/>
      <c r="CL34" s="216"/>
      <c r="CM34" s="216"/>
      <c r="CN34" s="216"/>
      <c r="CO34" s="256"/>
    </row>
    <row r="35" ht="18">
      <c r="A35" s="200"/>
      <c r="L35" s="211"/>
      <c r="M35" s="219">
        <f ref="M35:M36" t="shared" si="11">ROUNDUP(AM6,0)</f>
        <v>8</v>
      </c>
      <c r="N35" s="213" t="s">
        <v>45</v>
      </c>
      <c r="O35" s="214"/>
      <c r="P35" s="214"/>
      <c r="Q35" s="214"/>
      <c r="R35" s="211"/>
      <c r="S35" s="211"/>
      <c r="T35" s="211"/>
      <c r="U35" s="248">
        <f>Sheet2!B25</f>
        <v>95</v>
      </c>
      <c r="V35" s="240">
        <f t="shared" si="10"/>
        <v>760</v>
      </c>
      <c r="W35" s="251">
        <f t="shared" si="7" ca="1"/>
        <v>0.0029143087767668236</v>
      </c>
      <c r="X35" s="216"/>
      <c r="Y35" s="216"/>
      <c r="Z35" s="216"/>
      <c r="AA35" s="216"/>
      <c r="AB35" s="216"/>
      <c r="AC35" s="216"/>
      <c r="AD35" s="216"/>
      <c r="AE35" s="216"/>
      <c r="AF35" s="216"/>
      <c r="AG35" s="216"/>
      <c r="AH35" s="216"/>
      <c r="AI35" s="216"/>
      <c r="AJ35" s="216"/>
      <c r="AK35" s="216"/>
      <c r="AL35" s="216"/>
      <c r="AM35" s="216"/>
      <c r="AN35" s="216"/>
      <c r="AO35" s="216"/>
      <c r="AP35" s="216"/>
      <c r="AQ35" s="216"/>
      <c r="AR35" s="216"/>
      <c r="AS35" s="216"/>
      <c r="AT35" s="256"/>
      <c r="AU35" s="216"/>
      <c r="AV35" s="200"/>
      <c r="BG35" s="211">
        <v>8</v>
      </c>
      <c r="BH35" s="219">
        <f ref="BH35:BH36" t="shared" si="12">ROUNDUP(CH6,0)</f>
        <v>4</v>
      </c>
      <c r="BI35" s="213" t="s">
        <v>45</v>
      </c>
      <c r="BJ35" s="214"/>
      <c r="BK35" s="214"/>
      <c r="BL35" s="214"/>
      <c r="BM35" s="211"/>
      <c r="BN35" s="211"/>
      <c r="BO35" s="211"/>
      <c r="BP35" s="248">
        <f>Sheet2!B25</f>
        <v>95</v>
      </c>
      <c r="BQ35" s="240">
        <f t="shared" si="8"/>
        <v>380</v>
      </c>
      <c r="BR35" s="251">
        <f t="shared" si="9" ca="1"/>
        <v>0.0014571543883834118</v>
      </c>
      <c r="BS35" s="216"/>
      <c r="BT35" s="216"/>
      <c r="BU35" s="216"/>
      <c r="BV35" s="216"/>
      <c r="BW35" s="216"/>
      <c r="BX35" s="216"/>
      <c r="BY35" s="216"/>
      <c r="BZ35" s="216"/>
      <c r="CA35" s="216"/>
      <c r="CB35" s="216"/>
      <c r="CC35" s="216"/>
      <c r="CD35" s="216"/>
      <c r="CE35" s="216"/>
      <c r="CF35" s="216"/>
      <c r="CG35" s="216"/>
      <c r="CH35" s="216"/>
      <c r="CI35" s="216"/>
      <c r="CJ35" s="216"/>
      <c r="CK35" s="216"/>
      <c r="CL35" s="216"/>
      <c r="CM35" s="216"/>
      <c r="CN35" s="216"/>
      <c r="CO35" s="256"/>
    </row>
    <row r="36" ht="18">
      <c r="A36" s="200"/>
      <c r="L36" s="211"/>
      <c r="M36" s="219">
        <f t="shared" si="11"/>
        <v>8</v>
      </c>
      <c r="N36" s="213" t="s">
        <v>53</v>
      </c>
      <c r="O36" s="214"/>
      <c r="P36" s="214"/>
      <c r="Q36" s="214"/>
      <c r="R36" s="211"/>
      <c r="S36" s="211"/>
      <c r="T36" s="211"/>
      <c r="U36" s="248">
        <f>Sheet2!B27</f>
        <v>510</v>
      </c>
      <c r="V36" s="240">
        <f t="shared" si="10"/>
        <v>4080</v>
      </c>
      <c r="W36" s="251">
        <f t="shared" si="7" ca="1"/>
        <v>0.015645236591064</v>
      </c>
      <c r="X36" s="216"/>
      <c r="Y36" s="216"/>
      <c r="Z36" s="216"/>
      <c r="AA36" s="216"/>
      <c r="AB36" s="216"/>
      <c r="AC36" s="216"/>
      <c r="AD36" s="216"/>
      <c r="AE36" s="216"/>
      <c r="AF36" s="216"/>
      <c r="AG36" s="216"/>
      <c r="AH36" s="216"/>
      <c r="AI36" s="216"/>
      <c r="AJ36" s="216"/>
      <c r="AK36" s="216"/>
      <c r="AL36" s="216"/>
      <c r="AM36" s="216"/>
      <c r="AN36" s="216"/>
      <c r="AO36" s="216"/>
      <c r="AP36" s="216"/>
      <c r="AQ36" s="216"/>
      <c r="AR36" s="216"/>
      <c r="AS36" s="216"/>
      <c r="AT36" s="256"/>
      <c r="AU36" s="216"/>
      <c r="AV36" s="200"/>
      <c r="BG36" s="211">
        <v>9</v>
      </c>
      <c r="BH36" s="219">
        <f t="shared" si="12"/>
        <v>0</v>
      </c>
      <c r="BI36" s="213" t="s">
        <v>53</v>
      </c>
      <c r="BJ36" s="214"/>
      <c r="BK36" s="214"/>
      <c r="BL36" s="214"/>
      <c r="BM36" s="211"/>
      <c r="BN36" s="211"/>
      <c r="BO36" s="211"/>
      <c r="BP36" s="248">
        <f>Sheet2!B27</f>
        <v>510</v>
      </c>
      <c r="BQ36" s="240">
        <f t="shared" si="8"/>
        <v>0</v>
      </c>
      <c r="BR36" s="251">
        <f t="shared" si="9" ca="1"/>
        <v>0</v>
      </c>
      <c r="BS36" s="216"/>
      <c r="BT36" s="216"/>
      <c r="BU36" s="216"/>
      <c r="BV36" s="216"/>
      <c r="BW36" s="216"/>
      <c r="BX36" s="216"/>
      <c r="BY36" s="216"/>
      <c r="BZ36" s="216"/>
      <c r="CA36" s="216"/>
      <c r="CB36" s="216"/>
      <c r="CC36" s="216"/>
      <c r="CD36" s="216"/>
      <c r="CE36" s="216"/>
      <c r="CF36" s="216"/>
      <c r="CG36" s="216"/>
      <c r="CH36" s="216"/>
      <c r="CI36" s="216"/>
      <c r="CJ36" s="216"/>
      <c r="CK36" s="216"/>
      <c r="CL36" s="216"/>
      <c r="CM36" s="216"/>
      <c r="CN36" s="216"/>
      <c r="CO36" s="256"/>
    </row>
    <row r="37" ht="18">
      <c r="A37" s="200"/>
      <c r="L37" s="211"/>
      <c r="M37" s="219"/>
      <c r="N37" s="213"/>
      <c r="O37" s="214"/>
      <c r="P37" s="214"/>
      <c r="Q37" s="214"/>
      <c r="R37" s="211"/>
      <c r="S37" s="211"/>
      <c r="T37" s="211"/>
      <c r="U37" s="248"/>
      <c r="V37" s="240">
        <f t="shared" si="10"/>
        <v>0</v>
      </c>
      <c r="W37" s="251">
        <f t="shared" si="7" ca="1"/>
        <v>0</v>
      </c>
      <c r="X37" s="216"/>
      <c r="Y37" s="216"/>
      <c r="Z37" s="216"/>
      <c r="AA37" s="216"/>
      <c r="AB37" s="216"/>
      <c r="AC37" s="216"/>
      <c r="AD37" s="216"/>
      <c r="AE37" s="216"/>
      <c r="AF37" s="216"/>
      <c r="AG37" s="216"/>
      <c r="AH37" s="216"/>
      <c r="AI37" s="216"/>
      <c r="AJ37" s="216"/>
      <c r="AK37" s="216"/>
      <c r="AL37" s="216"/>
      <c r="AM37" s="216"/>
      <c r="AN37" s="216"/>
      <c r="AO37" s="216"/>
      <c r="AP37" s="216"/>
      <c r="AQ37" s="216"/>
      <c r="AR37" s="216"/>
      <c r="AS37" s="216"/>
      <c r="AT37" s="256"/>
      <c r="AU37" s="216"/>
      <c r="AV37" s="200"/>
      <c r="BG37" s="211">
        <v>11</v>
      </c>
      <c r="BH37" s="212">
        <f>IF((تسعير!AT45="جلفنة و جوتن"),(Table1588090[[#Totals],[الوزن]]+Table16627383[[#Totals],[الوزن]]),0)</f>
        <v>0</v>
      </c>
      <c r="BI37" s="213" t="s">
        <v>112</v>
      </c>
      <c r="BJ37" s="214"/>
      <c r="BK37" s="214"/>
      <c r="BL37" s="214"/>
      <c r="BM37" s="211"/>
      <c r="BN37" s="211"/>
      <c r="BO37" s="211"/>
      <c r="BP37" s="248">
        <v>30</v>
      </c>
      <c r="BQ37" s="240">
        <f t="shared" si="8"/>
        <v>0</v>
      </c>
      <c r="BR37" s="251">
        <f t="shared" si="9" ca="1"/>
        <v>0</v>
      </c>
      <c r="BS37" s="216"/>
      <c r="BT37" s="216"/>
      <c r="BU37" s="216"/>
      <c r="BV37" s="216"/>
      <c r="BW37" s="216"/>
      <c r="BX37" s="216"/>
      <c r="BY37" s="216"/>
      <c r="BZ37" s="216"/>
      <c r="CA37" s="216"/>
      <c r="CB37" s="216"/>
      <c r="CC37" s="216"/>
      <c r="CD37" s="216"/>
      <c r="CE37" s="216"/>
      <c r="CF37" s="216"/>
      <c r="CG37" s="216"/>
      <c r="CH37" s="216"/>
      <c r="CI37" s="216"/>
      <c r="CJ37" s="216"/>
      <c r="CK37" s="216"/>
      <c r="CL37" s="216"/>
      <c r="CM37" s="216"/>
      <c r="CN37" s="216"/>
      <c r="CO37" s="256"/>
    </row>
    <row r="38" ht="18">
      <c r="A38" s="200"/>
      <c r="L38" s="211"/>
      <c r="M38" s="212">
        <f>IF((تسعير!AT25="جلفنة و جوتن"),(Table15880[[#Totals],[الوزن]]+Table166273[[#Totals],[الوزن]]),0)</f>
        <v>0</v>
      </c>
      <c r="N38" s="213" t="s">
        <v>112</v>
      </c>
      <c r="O38" s="214"/>
      <c r="P38" s="214"/>
      <c r="Q38" s="214"/>
      <c r="R38" s="211"/>
      <c r="S38" s="211"/>
      <c r="T38" s="211"/>
      <c r="U38" s="248">
        <v>30</v>
      </c>
      <c r="V38" s="240">
        <f t="shared" si="10"/>
        <v>0</v>
      </c>
      <c r="W38" s="251">
        <f t="shared" si="7" ca="1"/>
        <v>0</v>
      </c>
      <c r="X38" s="216"/>
      <c r="Y38" s="216"/>
      <c r="Z38" s="216"/>
      <c r="AA38" s="216"/>
      <c r="AB38" s="216"/>
      <c r="AC38" s="216"/>
      <c r="AD38" s="216"/>
      <c r="AE38" s="216"/>
      <c r="AF38" s="216"/>
      <c r="AG38" s="216"/>
      <c r="AH38" s="216"/>
      <c r="AI38" s="216"/>
      <c r="AJ38" s="216"/>
      <c r="AK38" s="216"/>
      <c r="AL38" s="216"/>
      <c r="AM38" s="216"/>
      <c r="AN38" s="216"/>
      <c r="AO38" s="216"/>
      <c r="AP38" s="216"/>
      <c r="AQ38" s="216"/>
      <c r="AR38" s="216"/>
      <c r="AS38" s="216"/>
      <c r="AT38" s="256"/>
      <c r="AU38" s="216"/>
      <c r="AV38" s="200"/>
      <c r="BG38" s="211">
        <v>12</v>
      </c>
      <c r="BH38" s="212">
        <f>IF(AND((CH10&gt;0),(CH10&lt;=5)),5,IF(AND((CH10&gt;5),(CH10&lt;=10)),10,IF(AND((CH10&gt;10),(CH10&lt;=15)),15,IF(AND((CH10&gt;15),(CH10&lt;=20)),20,IF(AND((CH10&gt;20),(CH10&lt;=25)),25,IF(AND((CH10&gt;25),(CH10&lt;=30)),30,IF(AND((CH10&gt;30),(CH10&lt;=35)),35,IF(AND((CH10&gt;35),(CH10&lt;=40)),40,IF(AND((CH10&gt;40),(CH10&lt;=45)),45,IF(AND((CH10&gt;45),(CH10&lt;=50)),50,IF(AND((CH10&gt;50),(CH10&lt;=55)),55,IF(AND((CH10&gt;55),(CH10&lt;=60)),60,0))))))))))))</f>
        <v>20</v>
      </c>
      <c r="BI38" s="213" t="s">
        <v>113</v>
      </c>
      <c r="BJ38" s="214"/>
      <c r="BK38" s="214"/>
      <c r="BL38" s="214"/>
      <c r="BM38" s="211" t="s">
        <v>114</v>
      </c>
      <c r="BN38" s="211"/>
      <c r="BO38" s="211"/>
      <c r="BP38" s="248">
        <f>Sheet2!B18</f>
        <v>360</v>
      </c>
      <c r="BQ38" s="240">
        <f t="shared" si="8"/>
        <v>7200</v>
      </c>
      <c r="BR38" s="251">
        <f t="shared" si="9" ca="1"/>
        <v>0.027609241043054119</v>
      </c>
      <c r="BS38" s="216"/>
      <c r="BT38" s="216"/>
      <c r="BU38" s="216"/>
      <c r="BV38" s="216"/>
      <c r="BW38" s="216"/>
      <c r="BX38" s="216"/>
      <c r="BY38" s="216"/>
      <c r="BZ38" s="216"/>
      <c r="CA38" s="216"/>
      <c r="CB38" s="216"/>
      <c r="CC38" s="216"/>
      <c r="CD38" s="216"/>
      <c r="CE38" s="216"/>
      <c r="CF38" s="216"/>
      <c r="CG38" s="216"/>
      <c r="CH38" s="216"/>
      <c r="CI38" s="216"/>
      <c r="CJ38" s="216"/>
      <c r="CK38" s="216"/>
      <c r="CL38" s="216"/>
      <c r="CM38" s="216"/>
      <c r="CN38" s="216"/>
      <c r="CO38" s="256"/>
    </row>
    <row r="39" ht="18">
      <c r="A39" s="200"/>
      <c r="L39" s="211"/>
      <c r="M39" s="212">
        <f>IF(AND((AM10&gt;0),(AM10&lt;=5)),5,IF(AND((AM10&gt;5),(AM10&lt;=10)),10,IF(AND((AM10&gt;10),(AM10&lt;=15)),15,IF(AND((AM10&gt;15),(AM10&lt;=20)),20,IF(AND((AM10&gt;20),(AM10&lt;=25)),25,IF(AND((AM10&gt;25),(AM10&lt;=30)),30,IF(AND((AM10&gt;30),(AM10&lt;=35)),35,IF(AND((AM10&gt;35),(AM10&lt;=40)),40,IF(AND((AM10&gt;40),(AM10&lt;=45)),45,IF(AND((AM10&gt;45),(AM10&lt;=50)),50,IF(AND((AM10&gt;50),(AM10&lt;=55)),55,IF(AND((AM10&gt;55),(AM10&lt;=60)),60,0))))))))))))</f>
        <v>0</v>
      </c>
      <c r="N39" s="213" t="s">
        <v>113</v>
      </c>
      <c r="O39" s="214"/>
      <c r="P39" s="214"/>
      <c r="Q39" s="214"/>
      <c r="R39" s="211" t="s">
        <v>114</v>
      </c>
      <c r="S39" s="211"/>
      <c r="T39" s="211"/>
      <c r="U39" s="248">
        <f>Sheet2!B18</f>
        <v>360</v>
      </c>
      <c r="V39" s="240">
        <f t="shared" si="10"/>
        <v>0</v>
      </c>
      <c r="W39" s="251">
        <f t="shared" si="7" ca="1"/>
        <v>0</v>
      </c>
      <c r="X39" s="216"/>
      <c r="Y39" s="216"/>
      <c r="Z39" s="216"/>
      <c r="AA39" s="216"/>
      <c r="AB39" s="216"/>
      <c r="AC39" s="216"/>
      <c r="AD39" s="216"/>
      <c r="AE39" s="216"/>
      <c r="AF39" s="216"/>
      <c r="AG39" s="216"/>
      <c r="AH39" s="216"/>
      <c r="AI39" s="216"/>
      <c r="AJ39" s="216"/>
      <c r="AK39" s="216"/>
      <c r="AL39" s="216"/>
      <c r="AM39" s="216"/>
      <c r="AN39" s="216"/>
      <c r="AO39" s="216"/>
      <c r="AP39" s="216"/>
      <c r="AQ39" s="216"/>
      <c r="AR39" s="216"/>
      <c r="AS39" s="216"/>
      <c r="AT39" s="256"/>
      <c r="AU39" s="216"/>
      <c r="AV39" s="200"/>
      <c r="BG39" s="211">
        <v>14</v>
      </c>
      <c r="BH39" s="212">
        <f>IF(AND((CH11&gt;0),(CH11&lt;=5)),5,IF(AND((CH11&gt;5),(CH11&lt;=10)),10,IF(AND((CH11&gt;10),(CH11&lt;=15)),15,IF(AND((CH11&gt;15),(CH11&lt;=20)),20,IF(AND((CH11&gt;20),(CH11&lt;=25)),25,IF(AND((CH11&gt;25),(CH11&lt;=30)),30,IF(AND((CH11&gt;30),(CH11&lt;=35)),35,IF(AND((CH11&gt;35),(CH11&lt;=40)),40,IF(AND((CH11&gt;40),(CH11&lt;=45)),45,IF(AND((CH11&gt;45),(CH11&lt;=50)),50,IF(AND((CH11&gt;50),(CH11&lt;=55)),55,IF(AND((CH11&gt;55),(CH11&lt;=60)),60,0))))))))))))</f>
        <v>20</v>
      </c>
      <c r="BI39" s="218" t="s">
        <v>115</v>
      </c>
      <c r="BJ39" s="214"/>
      <c r="BK39" s="214"/>
      <c r="BL39" s="214"/>
      <c r="BM39" s="218" t="s">
        <v>116</v>
      </c>
      <c r="BN39" s="211"/>
      <c r="BO39" s="211"/>
      <c r="BP39" s="248">
        <f>Sheet2!B20</f>
        <v>435</v>
      </c>
      <c r="BQ39" s="240">
        <f t="shared" si="8"/>
        <v>8700</v>
      </c>
      <c r="BR39" s="251">
        <f t="shared" si="9" ca="1"/>
        <v>0.03336116626035706</v>
      </c>
      <c r="BS39" s="216"/>
      <c r="BT39" s="216"/>
      <c r="BU39" s="216"/>
      <c r="BV39" s="216"/>
      <c r="BW39" s="216"/>
      <c r="BX39" s="216"/>
      <c r="BY39" s="216"/>
      <c r="BZ39" s="216"/>
      <c r="CA39" s="216"/>
      <c r="CB39" s="216"/>
      <c r="CC39" s="216"/>
      <c r="CD39" s="216"/>
      <c r="CE39" s="216"/>
      <c r="CF39" s="216"/>
      <c r="CG39" s="216"/>
      <c r="CH39" s="216"/>
      <c r="CI39" s="216"/>
      <c r="CJ39" s="216"/>
      <c r="CK39" s="216"/>
      <c r="CL39" s="216"/>
      <c r="CM39" s="216"/>
      <c r="CN39" s="216"/>
      <c r="CO39" s="256"/>
    </row>
    <row r="40" ht="18">
      <c r="A40" s="200"/>
      <c r="L40" s="211"/>
      <c r="M40" s="212">
        <f>IF(AND((AM11&gt;0),(AM11&lt;=5)),5,IF(AND((AM11&gt;5),(AM11&lt;=10)),10,IF(AND((AM11&gt;10),(AM11&lt;=15)),15,IF(AND((AM11&gt;15),(AM11&lt;=20)),20,IF(AND((AM11&gt;20),(AM11&lt;=25)),25,IF(AND((AM11&gt;25),(AM11&lt;=30)),30,IF(AND((AM11&gt;30),(AM11&lt;=35)),35,IF(AND((AM11&gt;35),(AM11&lt;=40)),40,IF(AND((AM11&gt;40),(AM11&lt;=45)),45,IF(AND((AM11&gt;45),(AM11&lt;=50)),50,IF(AND((AM11&gt;50),(AM11&lt;=55)),55,IF(AND((AM11&gt;55),(AM11&lt;=60)),60,0))))))))))))</f>
        <v>0</v>
      </c>
      <c r="N40" s="218" t="s">
        <v>115</v>
      </c>
      <c r="O40" s="214"/>
      <c r="P40" s="214"/>
      <c r="Q40" s="214"/>
      <c r="R40" s="218" t="s">
        <v>116</v>
      </c>
      <c r="S40" s="211"/>
      <c r="T40" s="211"/>
      <c r="U40" s="248">
        <f>Sheet2!B20</f>
        <v>435</v>
      </c>
      <c r="V40" s="240">
        <f t="shared" si="10"/>
        <v>0</v>
      </c>
      <c r="W40" s="251">
        <f t="shared" si="7" ca="1"/>
        <v>0</v>
      </c>
      <c r="X40" s="216"/>
      <c r="Y40" s="216"/>
      <c r="Z40" s="216"/>
      <c r="AA40" s="216"/>
      <c r="AB40" s="216"/>
      <c r="AC40" s="216"/>
      <c r="AD40" s="216"/>
      <c r="AE40" s="216"/>
      <c r="AF40" s="216"/>
      <c r="AG40" s="216"/>
      <c r="AH40" s="216"/>
      <c r="AI40" s="216"/>
      <c r="AJ40" s="216"/>
      <c r="AK40" s="216"/>
      <c r="AL40" s="216"/>
      <c r="AM40" s="216"/>
      <c r="AN40" s="216"/>
      <c r="AO40" s="216"/>
      <c r="AP40" s="216"/>
      <c r="AQ40" s="216"/>
      <c r="AR40" s="216"/>
      <c r="AS40" s="216"/>
      <c r="AT40" s="256"/>
      <c r="AU40" s="216"/>
      <c r="AV40" s="200"/>
      <c r="BG40" s="211">
        <v>17</v>
      </c>
      <c r="BH40" s="212">
        <f>IF(AND((CH12&gt;0),(CH12&lt;=5)),5,IF(AND((CH12&gt;5),(CH12&lt;=10)),10,IF(AND((CH12&gt;10),(CH12&lt;=15)),15,IF(AND((CH12&gt;15),(CH12&lt;=20)),20,IF(AND((CH12&gt;20),(CH12&lt;=25)),25,IF(AND((CH12&gt;25),(CH12&lt;=30)),30,IF(AND((CH12&gt;30),(CH12&lt;=35)),35,IF(AND((CH12&gt;35),(CH12&lt;=40)),40,IF(AND((CH12&gt;40),(CH12&lt;=45)),45,IF(AND((CH12&gt;45),(CH12&lt;=50)),50,IF(AND((CH12&gt;50),(CH12&lt;=55)),55,IF(AND((CH12&gt;55),(CH12&lt;=60)),60,0))))))))))))</f>
        <v>5</v>
      </c>
      <c r="BI40" s="218" t="s">
        <v>67</v>
      </c>
      <c r="BJ40" s="214"/>
      <c r="BK40" s="214"/>
      <c r="BL40" s="214"/>
      <c r="BM40" s="218" t="s">
        <v>117</v>
      </c>
      <c r="BN40" s="211"/>
      <c r="BO40" s="211"/>
      <c r="BP40" s="248">
        <f>Sheet2!B22</f>
        <v>190</v>
      </c>
      <c r="BQ40" s="240">
        <f t="shared" si="8"/>
        <v>950</v>
      </c>
      <c r="BR40" s="251">
        <f t="shared" si="9" ca="1"/>
        <v>0.0036428859709585295</v>
      </c>
      <c r="BS40" s="216"/>
      <c r="BT40" s="216"/>
      <c r="BU40" s="216"/>
      <c r="BV40" s="216"/>
      <c r="BW40" s="216"/>
      <c r="BX40" s="216"/>
      <c r="BY40" s="216"/>
      <c r="BZ40" s="216"/>
      <c r="CA40" s="216"/>
      <c r="CB40" s="216"/>
      <c r="CC40" s="216"/>
      <c r="CD40" s="216"/>
      <c r="CE40" s="216"/>
      <c r="CF40" s="216"/>
      <c r="CG40" s="216"/>
      <c r="CH40" s="216"/>
      <c r="CI40" s="216"/>
      <c r="CJ40" s="216"/>
      <c r="CK40" s="216"/>
      <c r="CL40" s="216"/>
      <c r="CM40" s="216"/>
      <c r="CN40" s="216"/>
      <c r="CO40" s="256"/>
    </row>
    <row r="41" ht="18">
      <c r="A41" s="200"/>
      <c r="L41" s="211"/>
      <c r="M41" s="212">
        <f>IF(AND((AM12&gt;0),(AM12&lt;=5)),5,IF(AND((AM12&gt;5),(AM12&lt;=10)),10,IF(AND((AM12&gt;10),(AM12&lt;=15)),15,IF(AND((AM12&gt;15),(AM12&lt;=20)),20,IF(AND((AM12&gt;20),(AM12&lt;=25)),25,IF(AND((AM12&gt;25),(AM12&lt;=30)),30,IF(AND((AM12&gt;30),(AM12&lt;=35)),35,IF(AND((AM12&gt;35),(AM12&lt;=40)),40,IF(AND((AM12&gt;40),(AM12&lt;=45)),45,IF(AND((AM12&gt;45),(AM12&lt;=50)),50,IF(AND((AM12&gt;50),(AM12&lt;=55)),55,IF(AND((AM12&gt;55),(AM12&lt;=60)),60,0))))))))))))</f>
        <v>0</v>
      </c>
      <c r="N41" s="218" t="s">
        <v>67</v>
      </c>
      <c r="O41" s="214"/>
      <c r="P41" s="214"/>
      <c r="Q41" s="214"/>
      <c r="R41" s="218" t="s">
        <v>117</v>
      </c>
      <c r="S41" s="211"/>
      <c r="T41" s="211"/>
      <c r="U41" s="248">
        <f>Sheet2!B22</f>
        <v>190</v>
      </c>
      <c r="V41" s="240">
        <f t="shared" si="10"/>
        <v>0</v>
      </c>
      <c r="W41" s="251">
        <f t="shared" si="7" ca="1"/>
        <v>0</v>
      </c>
      <c r="X41" s="216"/>
      <c r="Y41" s="216"/>
      <c r="Z41" s="216"/>
      <c r="AA41" s="216"/>
      <c r="AB41" s="216"/>
      <c r="AC41" s="216"/>
      <c r="AD41" s="216"/>
      <c r="AE41" s="216"/>
      <c r="AF41" s="216"/>
      <c r="AG41" s="216"/>
      <c r="AH41" s="216"/>
      <c r="AI41" s="216"/>
      <c r="AJ41" s="216"/>
      <c r="AK41" s="216"/>
      <c r="AL41" s="216"/>
      <c r="AM41" s="216"/>
      <c r="AN41" s="216"/>
      <c r="AO41" s="216"/>
      <c r="AP41" s="216"/>
      <c r="AQ41" s="216"/>
      <c r="AR41" s="216"/>
      <c r="AS41" s="216"/>
      <c r="AT41" s="256"/>
      <c r="AU41" s="216"/>
      <c r="AV41" s="200"/>
      <c r="BG41" s="211">
        <v>18</v>
      </c>
      <c r="BH41" s="212">
        <f>IF(AND((CH13&gt;0),(CH13&lt;=5)),5,IF(AND((CH13&gt;5),(CH13&lt;=10)),10,IF(AND((CH13&gt;10),(CH13&lt;=15)),15,IF(AND((CH13&gt;15),(CH13&lt;=20)),20,IF(AND((CH13&gt;20),(CH13&lt;=25)),25,IF(AND((CH13&gt;25),(CH13&lt;=30)),30,IF(AND((CH13&gt;30),(CH13&lt;=35)),35,IF(AND((CH13&gt;35),(CH13&lt;=40)),40,IF(AND((CH13&gt;40),(CH13&lt;=45)),45,IF(AND((CH13&gt;45),(CH13&lt;=50)),50,IF(AND((CH13&gt;50),(CH13&lt;=55)),55,IF(AND((CH13&gt;55),(CH13&lt;=60)),60,0))))))))))))</f>
        <v>5</v>
      </c>
      <c r="BI41" s="218" t="s">
        <v>70</v>
      </c>
      <c r="BJ41" s="214"/>
      <c r="BK41" s="214"/>
      <c r="BL41" s="214"/>
      <c r="BM41" s="218" t="s">
        <v>117</v>
      </c>
      <c r="BN41" s="211"/>
      <c r="BO41" s="211"/>
      <c r="BP41" s="248">
        <f>Sheet2!B23</f>
        <v>190</v>
      </c>
      <c r="BQ41" s="240">
        <f t="shared" si="8"/>
        <v>950</v>
      </c>
      <c r="BR41" s="251">
        <f t="shared" si="9" ca="1"/>
        <v>0.0036428859709585295</v>
      </c>
      <c r="BS41" s="216"/>
      <c r="BT41" s="216"/>
      <c r="BU41" s="216"/>
      <c r="BV41" s="216"/>
      <c r="BW41" s="216"/>
      <c r="BX41" s="216"/>
      <c r="BY41" s="216"/>
      <c r="BZ41" s="216"/>
      <c r="CA41" s="216"/>
      <c r="CB41" s="216"/>
      <c r="CC41" s="216"/>
      <c r="CD41" s="216"/>
      <c r="CE41" s="216"/>
      <c r="CF41" s="216"/>
      <c r="CG41" s="216"/>
      <c r="CH41" s="216"/>
      <c r="CI41" s="216"/>
      <c r="CJ41" s="216"/>
      <c r="CK41" s="216"/>
      <c r="CL41" s="216"/>
      <c r="CM41" s="216"/>
      <c r="CN41" s="216"/>
      <c r="CO41" s="256"/>
    </row>
    <row r="42" ht="18">
      <c r="A42" s="200"/>
      <c r="L42" s="211"/>
      <c r="M42" s="212">
        <f>IF(AND((AM13&gt;0),(AM13&lt;=5)),5,IF(AND((AM13&gt;5),(AM13&lt;=10)),10,IF(AND((AM13&gt;10),(AM13&lt;=15)),15,IF(AND((AM13&gt;15),(AM13&lt;=20)),20,IF(AND((AM13&gt;20),(AM13&lt;=25)),25,IF(AND((AM13&gt;25),(AM13&lt;=30)),30,IF(AND((AM13&gt;30),(AM13&lt;=35)),35,IF(AND((AM13&gt;35),(AM13&lt;=40)),40,IF(AND((AM13&gt;40),(AM13&lt;=45)),45,IF(AND((AM13&gt;45),(AM13&lt;=50)),50,IF(AND((AM13&gt;50),(AM13&lt;=55)),55,IF(AND((AM13&gt;55),(AM13&lt;=60)),60,0))))))))))))</f>
        <v>0</v>
      </c>
      <c r="N42" s="218" t="s">
        <v>70</v>
      </c>
      <c r="O42" s="214"/>
      <c r="P42" s="214"/>
      <c r="Q42" s="214"/>
      <c r="R42" s="218" t="s">
        <v>117</v>
      </c>
      <c r="S42" s="211"/>
      <c r="T42" s="211"/>
      <c r="U42" s="248">
        <f>Sheet2!B23</f>
        <v>190</v>
      </c>
      <c r="V42" s="240">
        <f t="shared" si="10"/>
        <v>0</v>
      </c>
      <c r="W42" s="251">
        <f t="shared" si="7" ca="1"/>
        <v>0</v>
      </c>
      <c r="X42" s="216"/>
      <c r="Y42" s="216"/>
      <c r="Z42" s="216"/>
      <c r="AA42" s="216"/>
      <c r="AB42" s="216"/>
      <c r="AC42" s="216"/>
      <c r="AD42" s="216"/>
      <c r="AE42" s="216"/>
      <c r="AF42" s="216"/>
      <c r="AG42" s="216"/>
      <c r="AH42" s="216"/>
      <c r="AI42" s="216"/>
      <c r="AJ42" s="216"/>
      <c r="AK42" s="216"/>
      <c r="AL42" s="216"/>
      <c r="AM42" s="216"/>
      <c r="AN42" s="216"/>
      <c r="AO42" s="216"/>
      <c r="AP42" s="216"/>
      <c r="AQ42" s="216"/>
      <c r="AR42" s="216"/>
      <c r="AS42" s="216"/>
      <c r="AT42" s="256"/>
      <c r="AU42" s="216"/>
      <c r="AV42" s="200"/>
      <c r="BG42" s="211" t="s">
        <v>54</v>
      </c>
      <c r="BH42" s="212"/>
      <c r="BI42" s="213" t="s">
        <v>54</v>
      </c>
      <c r="BJ42" s="214"/>
      <c r="BK42" s="214"/>
      <c r="BL42" s="214"/>
      <c r="BM42" s="211" t="s">
        <v>118</v>
      </c>
      <c r="BN42" s="211"/>
      <c r="BO42" s="211"/>
      <c r="BP42" s="242"/>
      <c r="BQ42" s="240">
        <f>SUBTOTAL(109,Table13597166[اجمالي])</f>
        <v>18543</v>
      </c>
      <c r="BR42" s="244">
        <f>Table13597166[[#Totals],[اجمالي]]/$R$68</f>
        <v>0.07110529953629896</v>
      </c>
      <c r="BS42" s="216"/>
      <c r="BT42" s="216"/>
      <c r="BU42" s="216"/>
      <c r="BV42" s="216"/>
      <c r="BW42" s="216"/>
      <c r="BX42" s="216"/>
      <c r="BY42" s="216"/>
      <c r="BZ42" s="216"/>
      <c r="CA42" s="216"/>
      <c r="CB42" s="216"/>
      <c r="CC42" s="216"/>
      <c r="CD42" s="216"/>
      <c r="CE42" s="216"/>
      <c r="CF42" s="216"/>
      <c r="CG42" s="216"/>
      <c r="CH42" s="216"/>
      <c r="CI42" s="216"/>
      <c r="CJ42" s="216"/>
      <c r="CK42" s="216"/>
      <c r="CL42" s="216"/>
      <c r="CM42" s="216"/>
      <c r="CN42" s="216"/>
      <c r="CO42" s="256"/>
    </row>
    <row r="43" ht="18">
      <c r="A43" s="200"/>
      <c r="L43" s="211" t="s">
        <v>54</v>
      </c>
      <c r="M43" s="212"/>
      <c r="N43" s="213" t="s">
        <v>54</v>
      </c>
      <c r="O43" s="214"/>
      <c r="P43" s="214"/>
      <c r="Q43" s="214"/>
      <c r="R43" s="211" t="s">
        <v>118</v>
      </c>
      <c r="S43" s="211"/>
      <c r="T43" s="211"/>
      <c r="U43" s="242"/>
      <c r="V43" s="240">
        <f>SUBTOTAL(109,Table135971[اجمالي])</f>
        <v>9152</v>
      </c>
      <c r="W43" s="244">
        <f>Table135971[[#Totals],[اجمالي]]/$R$68</f>
        <v>0.035094413059171013</v>
      </c>
      <c r="X43" s="216"/>
      <c r="Y43" s="216"/>
      <c r="Z43" s="216"/>
      <c r="AA43" s="216"/>
      <c r="AB43" s="216"/>
      <c r="AC43" s="216"/>
      <c r="AD43" s="216"/>
      <c r="AE43" s="216"/>
      <c r="AF43" s="216"/>
      <c r="AG43" s="216"/>
      <c r="AH43" s="216"/>
      <c r="AI43" s="216"/>
      <c r="AJ43" s="216"/>
      <c r="AK43" s="216"/>
      <c r="AL43" s="216"/>
      <c r="AM43" s="216"/>
      <c r="AN43" s="216"/>
      <c r="AO43" s="216"/>
      <c r="AP43" s="216"/>
      <c r="AQ43" s="216"/>
      <c r="AR43" s="216"/>
      <c r="AS43" s="216"/>
      <c r="AT43" s="256"/>
      <c r="AU43" s="216"/>
      <c r="AV43" s="200"/>
      <c r="BG43" s="211"/>
      <c r="BH43" s="212"/>
      <c r="BI43" s="213"/>
      <c r="BJ43" s="214"/>
      <c r="BK43" s="214"/>
      <c r="BL43" s="214"/>
      <c r="BM43" s="211"/>
      <c r="BN43" s="211"/>
      <c r="BO43" s="211"/>
      <c r="BP43" s="242"/>
      <c r="BQ43" s="240"/>
      <c r="BR43" s="244"/>
      <c r="BS43" s="216"/>
      <c r="BT43" s="216"/>
      <c r="BU43" s="216"/>
      <c r="BV43" s="216"/>
      <c r="BW43" s="216"/>
      <c r="BX43" s="216"/>
      <c r="BY43" s="216"/>
      <c r="BZ43" s="216"/>
      <c r="CA43" s="216"/>
      <c r="CB43" s="216"/>
      <c r="CC43" s="216"/>
      <c r="CD43" s="216"/>
      <c r="CE43" s="216"/>
      <c r="CF43" s="216"/>
      <c r="CG43" s="216"/>
      <c r="CH43" s="216"/>
      <c r="CI43" s="216"/>
      <c r="CJ43" s="216"/>
      <c r="CK43" s="216"/>
      <c r="CL43" s="216"/>
      <c r="CM43" s="216"/>
      <c r="CN43" s="216"/>
      <c r="CO43" s="256"/>
    </row>
    <row r="44" ht="18">
      <c r="A44" s="200"/>
      <c r="L44" s="211"/>
      <c r="M44" s="212"/>
      <c r="N44" s="213"/>
      <c r="O44" s="214"/>
      <c r="P44" s="214"/>
      <c r="Q44" s="214"/>
      <c r="R44" s="211"/>
      <c r="S44" s="211"/>
      <c r="T44" s="211"/>
      <c r="U44" s="242"/>
      <c r="V44" s="240"/>
      <c r="W44" s="244"/>
      <c r="X44" s="216"/>
      <c r="Y44" s="216"/>
      <c r="Z44" s="216"/>
      <c r="AA44" s="216"/>
      <c r="AB44" s="216"/>
      <c r="AC44" s="216"/>
      <c r="AD44" s="216"/>
      <c r="AE44" s="216"/>
      <c r="AF44" s="216"/>
      <c r="AG44" s="216"/>
      <c r="AH44" s="216"/>
      <c r="AI44" s="216"/>
      <c r="AJ44" s="216"/>
      <c r="AK44" s="216"/>
      <c r="AL44" s="216"/>
      <c r="AM44" s="216"/>
      <c r="AN44" s="216"/>
      <c r="AO44" s="216"/>
      <c r="AP44" s="216"/>
      <c r="AQ44" s="216"/>
      <c r="AR44" s="216"/>
      <c r="AS44" s="216"/>
      <c r="AT44" s="256"/>
      <c r="AU44" s="216"/>
      <c r="AV44" s="200"/>
      <c r="BG44" s="216"/>
      <c r="BH44" s="216"/>
      <c r="BI44" s="217"/>
      <c r="BJ44" s="885" t="s">
        <v>162</v>
      </c>
      <c r="BK44" s="885"/>
      <c r="BL44" s="885"/>
      <c r="BM44" s="885"/>
      <c r="BN44" s="885"/>
      <c r="BO44" s="885"/>
      <c r="BP44" s="216"/>
      <c r="BQ44" s="216"/>
      <c r="BR44" s="216"/>
      <c r="BS44" s="216"/>
      <c r="BT44" s="216"/>
      <c r="BU44" s="216"/>
      <c r="BV44" s="216"/>
      <c r="BW44" s="216"/>
      <c r="BX44" s="216"/>
      <c r="BY44" s="216"/>
      <c r="BZ44" s="216"/>
      <c r="CA44" s="216"/>
      <c r="CB44" s="216"/>
      <c r="CC44" s="216"/>
      <c r="CD44" s="216"/>
      <c r="CE44" s="216"/>
      <c r="CF44" s="216"/>
      <c r="CG44" s="216"/>
      <c r="CH44" s="216"/>
      <c r="CI44" s="216"/>
      <c r="CJ44" s="216"/>
      <c r="CK44" s="216"/>
      <c r="CL44" s="216"/>
      <c r="CM44" s="216"/>
      <c r="CN44" s="216"/>
      <c r="CO44" s="256"/>
    </row>
    <row r="45" ht="18">
      <c r="A45" s="200"/>
      <c r="L45" s="216"/>
      <c r="M45" s="216"/>
      <c r="N45" s="217"/>
      <c r="O45" s="885" t="s">
        <v>162</v>
      </c>
      <c r="P45" s="885"/>
      <c r="Q45" s="885"/>
      <c r="R45" s="885"/>
      <c r="S45" s="885"/>
      <c r="T45" s="885"/>
      <c r="U45" s="216"/>
      <c r="V45" s="216"/>
      <c r="W45" s="216"/>
      <c r="X45" s="216"/>
      <c r="Y45" s="216"/>
      <c r="Z45" s="216"/>
      <c r="AA45" s="216"/>
      <c r="AB45" s="216"/>
      <c r="AC45" s="216"/>
      <c r="AD45" s="216"/>
      <c r="AE45" s="216"/>
      <c r="AF45" s="216"/>
      <c r="AG45" s="216"/>
      <c r="AH45" s="216"/>
      <c r="AI45" s="216"/>
      <c r="AJ45" s="216"/>
      <c r="AK45" s="216"/>
      <c r="AL45" s="216"/>
      <c r="AM45" s="216"/>
      <c r="AN45" s="216"/>
      <c r="AO45" s="216"/>
      <c r="AP45" s="216"/>
      <c r="AQ45" s="216"/>
      <c r="AR45" s="216"/>
      <c r="AS45" s="216"/>
      <c r="AT45" s="256"/>
      <c r="AU45" s="216"/>
      <c r="AV45" s="200"/>
      <c r="BG45" s="211" t="s">
        <v>27</v>
      </c>
      <c r="BH45" s="211" t="s">
        <v>28</v>
      </c>
      <c r="BI45" s="218" t="s">
        <v>29</v>
      </c>
      <c r="BJ45" s="211" t="s">
        <v>30</v>
      </c>
      <c r="BK45" s="211" t="s">
        <v>9</v>
      </c>
      <c r="BL45" s="211" t="s">
        <v>61</v>
      </c>
      <c r="BM45" s="211" t="s">
        <v>32</v>
      </c>
      <c r="BN45" s="211" t="s">
        <v>33</v>
      </c>
      <c r="BO45" s="211" t="s">
        <v>74</v>
      </c>
      <c r="BP45" s="211" t="s">
        <v>35</v>
      </c>
      <c r="BQ45" s="245" t="s">
        <v>36</v>
      </c>
      <c r="BR45" s="211" t="s">
        <v>37</v>
      </c>
      <c r="BS45" s="216"/>
      <c r="BT45" s="216"/>
      <c r="BU45" s="216"/>
      <c r="BV45" s="216"/>
      <c r="BW45" s="216"/>
      <c r="BX45" s="216"/>
      <c r="BY45" s="216"/>
      <c r="BZ45" s="216"/>
      <c r="CA45" s="216"/>
      <c r="CB45" s="216"/>
      <c r="CC45" s="216"/>
      <c r="CD45" s="216"/>
      <c r="CE45" s="216"/>
      <c r="CF45" s="216"/>
      <c r="CG45" s="216"/>
      <c r="CH45" s="216"/>
      <c r="CI45" s="216"/>
      <c r="CJ45" s="216"/>
      <c r="CK45" s="216"/>
      <c r="CL45" s="216"/>
      <c r="CM45" s="216"/>
      <c r="CN45" s="216"/>
      <c r="CO45" s="256"/>
    </row>
    <row r="46" ht="18">
      <c r="A46" s="200"/>
      <c r="L46" s="211" t="s">
        <v>27</v>
      </c>
      <c r="M46" s="211" t="s">
        <v>28</v>
      </c>
      <c r="N46" s="218" t="s">
        <v>29</v>
      </c>
      <c r="O46" s="211" t="s">
        <v>30</v>
      </c>
      <c r="P46" s="211" t="s">
        <v>9</v>
      </c>
      <c r="Q46" s="211" t="s">
        <v>61</v>
      </c>
      <c r="R46" s="211" t="s">
        <v>32</v>
      </c>
      <c r="S46" s="211" t="s">
        <v>33</v>
      </c>
      <c r="T46" s="211" t="s">
        <v>74</v>
      </c>
      <c r="U46" s="211" t="s">
        <v>35</v>
      </c>
      <c r="V46" s="245" t="s">
        <v>36</v>
      </c>
      <c r="W46" s="211" t="s">
        <v>37</v>
      </c>
      <c r="X46" s="216"/>
      <c r="Y46" s="216"/>
      <c r="Z46" s="216"/>
      <c r="AA46" s="216"/>
      <c r="AB46" s="216"/>
      <c r="AC46" s="216"/>
      <c r="AD46" s="216"/>
      <c r="AE46" s="216"/>
      <c r="AF46" s="216"/>
      <c r="AG46" s="216"/>
      <c r="AH46" s="216"/>
      <c r="AI46" s="216"/>
      <c r="AJ46" s="216"/>
      <c r="AK46" s="216"/>
      <c r="AL46" s="216"/>
      <c r="AM46" s="216"/>
      <c r="AN46" s="216"/>
      <c r="AO46" s="216"/>
      <c r="AP46" s="216"/>
      <c r="AQ46" s="216"/>
      <c r="AR46" s="216"/>
      <c r="AS46" s="216"/>
      <c r="AT46" s="256"/>
      <c r="AU46" s="216"/>
      <c r="AV46" s="200"/>
      <c r="BG46" s="211">
        <v>5</v>
      </c>
      <c r="BH46" s="219">
        <v>1</v>
      </c>
      <c r="BI46" s="213" t="s">
        <v>292</v>
      </c>
      <c r="BJ46" s="214"/>
      <c r="BK46" s="211"/>
      <c r="BL46" s="216"/>
      <c r="BM46" s="214"/>
      <c r="BN46" s="211"/>
      <c r="BO46" s="247"/>
      <c r="BP46" s="248">
        <f>Table8091[[#Totals],[price]]</f>
        <v>104234.7</v>
      </c>
      <c r="BQ46" s="252">
        <f>BH46*Table1613687787[[#This Row],[سعر الشبك ]]</f>
        <v>104234.7</v>
      </c>
      <c r="BR46" s="241">
        <f>(BQ46)/$R$68</f>
        <v>0.39970013296533791</v>
      </c>
      <c r="BS46" s="216"/>
      <c r="BT46" s="216"/>
      <c r="BU46" s="216"/>
      <c r="BV46" s="216"/>
      <c r="BW46" s="216"/>
      <c r="BX46" s="216"/>
      <c r="BY46" s="216"/>
      <c r="BZ46" s="216"/>
      <c r="CA46" s="216"/>
      <c r="CB46" s="216"/>
      <c r="CC46" s="216"/>
      <c r="CD46" s="216"/>
      <c r="CE46" s="216"/>
      <c r="CF46" s="216"/>
      <c r="CG46" s="216"/>
      <c r="CH46" s="216"/>
      <c r="CI46" s="216"/>
      <c r="CJ46" s="216"/>
      <c r="CK46" s="216"/>
      <c r="CL46" s="216"/>
      <c r="CM46" s="216"/>
      <c r="CN46" s="216"/>
      <c r="CO46" s="256"/>
    </row>
    <row r="47" ht="18">
      <c r="A47" s="200"/>
      <c r="L47" s="211">
        <v>5</v>
      </c>
      <c r="M47" s="219">
        <v>1</v>
      </c>
      <c r="N47" s="213" t="s">
        <v>292</v>
      </c>
      <c r="O47" s="214"/>
      <c r="P47" s="211"/>
      <c r="Q47" s="216"/>
      <c r="R47" s="214"/>
      <c r="S47" s="211"/>
      <c r="T47" s="247"/>
      <c r="U47" s="248">
        <f>Table80102114[[#Totals],[price]]</f>
        <v>173372.2</v>
      </c>
      <c r="V47" s="252">
        <f>M47*Table16136877[[#This Row],[سعر الشبك ]]</f>
        <v>173372.2</v>
      </c>
      <c r="W47" s="241">
        <f>(V47)/$R$68</f>
        <v>0.66481595277285943</v>
      </c>
      <c r="X47" s="216"/>
      <c r="Y47" s="216"/>
      <c r="Z47" s="216"/>
      <c r="AA47" s="216"/>
      <c r="AB47" s="216"/>
      <c r="AC47" s="216"/>
      <c r="AD47" s="216"/>
      <c r="AE47" s="216"/>
      <c r="AF47" s="216"/>
      <c r="AG47" s="216"/>
      <c r="AH47" s="216"/>
      <c r="AI47" s="216"/>
      <c r="AJ47" s="216"/>
      <c r="AK47" s="216"/>
      <c r="AL47" s="216"/>
      <c r="AM47" s="216"/>
      <c r="AN47" s="216"/>
      <c r="AO47" s="216"/>
      <c r="AP47" s="216"/>
      <c r="AQ47" s="216"/>
      <c r="AR47" s="216"/>
      <c r="AS47" s="216"/>
      <c r="AT47" s="256"/>
      <c r="AU47" s="216"/>
      <c r="AV47" s="200"/>
      <c r="BG47" s="211">
        <v>4</v>
      </c>
      <c r="BH47" s="212">
        <f>IF((BL63="الاسكندرية"),0.25,0.1)</f>
        <v>0.1</v>
      </c>
      <c r="BI47" s="213" t="s">
        <v>131</v>
      </c>
      <c r="BJ47" s="214"/>
      <c r="BK47" s="211"/>
      <c r="BL47" s="216"/>
      <c r="BM47" s="214"/>
      <c r="BN47" s="211"/>
      <c r="BO47" s="247"/>
      <c r="BP47" s="248">
        <f>BQ46</f>
        <v>104234.7</v>
      </c>
      <c r="BQ47" s="240">
        <f>BH47*Table1613687787[[#This Row],[سعر الشبك ]]</f>
        <v>10423.470000000001</v>
      </c>
      <c r="BR47" s="241">
        <f>(BQ47)/$R$68</f>
        <v>0.039970013296533796</v>
      </c>
      <c r="BS47" s="216"/>
      <c r="BT47" s="216"/>
      <c r="BU47" s="216"/>
      <c r="BV47" s="216"/>
      <c r="BW47" s="216"/>
      <c r="BX47" s="216"/>
      <c r="BY47" s="216"/>
      <c r="BZ47" s="216"/>
      <c r="CA47" s="216"/>
      <c r="CB47" s="216"/>
      <c r="CC47" s="216"/>
      <c r="CD47" s="216"/>
      <c r="CE47" s="216"/>
      <c r="CF47" s="216"/>
      <c r="CG47" s="216"/>
      <c r="CH47" s="216"/>
      <c r="CI47" s="216"/>
      <c r="CJ47" s="216"/>
      <c r="CK47" s="216"/>
      <c r="CL47" s="216"/>
      <c r="CM47" s="216"/>
      <c r="CN47" s="216"/>
      <c r="CO47" s="256"/>
    </row>
    <row r="48" ht="18">
      <c r="A48" s="200"/>
      <c r="L48" s="211">
        <v>4</v>
      </c>
      <c r="M48" s="212">
        <f>IF((Q64="الاسكندرية"),0.25,0.1)</f>
        <v>0.25</v>
      </c>
      <c r="N48" s="213" t="s">
        <v>131</v>
      </c>
      <c r="O48" s="214"/>
      <c r="P48" s="211"/>
      <c r="Q48" s="216"/>
      <c r="R48" s="214"/>
      <c r="S48" s="211"/>
      <c r="T48" s="247"/>
      <c r="U48" s="248">
        <f>Table80102114[[#Totals],[price]]</f>
        <v>173372.2</v>
      </c>
      <c r="V48" s="240">
        <f>M48*Table16136877[[#This Row],[سعر الشبك ]]</f>
        <v>43343.05</v>
      </c>
      <c r="W48" s="241">
        <f>(V48)/$R$68</f>
        <v>0.16620398819321486</v>
      </c>
      <c r="X48" s="216"/>
      <c r="Y48" s="216"/>
      <c r="Z48" s="216"/>
      <c r="AA48" s="216"/>
      <c r="AB48" s="216"/>
      <c r="AC48" s="216"/>
      <c r="AD48" s="216"/>
      <c r="AE48" s="216"/>
      <c r="AF48" s="216"/>
      <c r="AG48" s="216"/>
      <c r="AH48" s="216"/>
      <c r="AI48" s="216"/>
      <c r="AJ48" s="216"/>
      <c r="AK48" s="216"/>
      <c r="AL48" s="216"/>
      <c r="AM48" s="216"/>
      <c r="AN48" s="216"/>
      <c r="AO48" s="216"/>
      <c r="AP48" s="216"/>
      <c r="AQ48" s="216"/>
      <c r="AR48" s="216"/>
      <c r="AS48" s="216"/>
      <c r="AT48" s="256"/>
      <c r="AU48" s="216"/>
      <c r="AV48" s="200"/>
      <c r="BG48" s="211" t="s">
        <v>54</v>
      </c>
      <c r="BH48" s="212"/>
      <c r="BI48" s="213" t="s">
        <v>54</v>
      </c>
      <c r="BJ48" s="214"/>
      <c r="BK48" s="214"/>
      <c r="BL48" s="216">
        <f>SUBTOTAL(109,Table1613687787[Column12])</f>
        <v>0</v>
      </c>
      <c r="BM48" s="211"/>
      <c r="BN48" s="211"/>
      <c r="BO48" s="211"/>
      <c r="BP48" s="242"/>
      <c r="BQ48" s="240">
        <f>SUBTOTAL(109,Table1613687787[اجمالي])</f>
        <v>114658.17</v>
      </c>
      <c r="BR48" s="244">
        <f>Table1613687787[[#Totals],[اجمالي]]/$R$68</f>
        <v>0.43967014626187173</v>
      </c>
      <c r="BS48" s="216"/>
      <c r="BT48" s="216"/>
      <c r="BU48" s="216"/>
      <c r="BV48" s="216"/>
      <c r="BW48" s="216"/>
      <c r="BX48" s="216"/>
      <c r="BY48" s="216"/>
      <c r="BZ48" s="216"/>
      <c r="CA48" s="216"/>
      <c r="CB48" s="216"/>
      <c r="CC48" s="216"/>
      <c r="CD48" s="216"/>
      <c r="CE48" s="216"/>
      <c r="CF48" s="216"/>
      <c r="CG48" s="216"/>
      <c r="CH48" s="216"/>
      <c r="CI48" s="216"/>
      <c r="CJ48" s="216"/>
      <c r="CK48" s="216"/>
      <c r="CL48" s="216"/>
      <c r="CM48" s="216"/>
      <c r="CN48" s="216"/>
      <c r="CO48" s="256"/>
    </row>
    <row r="49" ht="18">
      <c r="A49" s="200"/>
      <c r="L49" s="211" t="s">
        <v>54</v>
      </c>
      <c r="M49" s="212"/>
      <c r="N49" s="213" t="s">
        <v>54</v>
      </c>
      <c r="O49" s="214"/>
      <c r="P49" s="214"/>
      <c r="Q49" s="216">
        <f>SUBTOTAL(109,Table16136877[Column12])</f>
        <v>0</v>
      </c>
      <c r="R49" s="211"/>
      <c r="S49" s="211"/>
      <c r="T49" s="211"/>
      <c r="U49" s="242"/>
      <c r="V49" s="240">
        <f>SUBTOTAL(109,Table16136877[اجمالي])</f>
        <v>216715.25</v>
      </c>
      <c r="W49" s="244">
        <f>Table16136877[[#Totals],[اجمالي]]/$R$68</f>
        <v>0.83101994096607423</v>
      </c>
      <c r="X49" s="216"/>
      <c r="Y49" s="216"/>
      <c r="Z49" s="216"/>
      <c r="AA49" s="216"/>
      <c r="AB49" s="216"/>
      <c r="AC49" s="216"/>
      <c r="AD49" s="216"/>
      <c r="AE49" s="216"/>
      <c r="AF49" s="216"/>
      <c r="AG49" s="216"/>
      <c r="AH49" s="216"/>
      <c r="AI49" s="216"/>
      <c r="AJ49" s="216"/>
      <c r="AK49" s="216"/>
      <c r="AL49" s="216"/>
      <c r="AM49" s="216"/>
      <c r="AN49" s="216"/>
      <c r="AO49" s="216"/>
      <c r="AP49" s="216"/>
      <c r="AQ49" s="216"/>
      <c r="AR49" s="216"/>
      <c r="AS49" s="216"/>
      <c r="AT49" s="256"/>
      <c r="AU49" s="216"/>
      <c r="AV49" s="200"/>
      <c r="BG49" s="216"/>
      <c r="BH49" s="216"/>
      <c r="BI49" s="217"/>
      <c r="BJ49" s="885" t="s">
        <v>132</v>
      </c>
      <c r="BK49" s="885"/>
      <c r="BL49" s="885"/>
      <c r="BM49" s="885"/>
      <c r="BN49" s="885"/>
      <c r="BO49" s="885"/>
      <c r="BP49" s="216"/>
      <c r="BQ49" s="216"/>
      <c r="BR49" s="216"/>
      <c r="BS49" s="216"/>
      <c r="BT49" s="216"/>
      <c r="BU49" s="216"/>
      <c r="BV49" s="216"/>
      <c r="BW49" s="216"/>
      <c r="BX49" s="216"/>
      <c r="BY49" s="216"/>
      <c r="BZ49" s="216"/>
      <c r="CA49" s="216"/>
      <c r="CB49" s="216"/>
      <c r="CC49" s="216"/>
      <c r="CD49" s="216"/>
      <c r="CE49" s="216"/>
      <c r="CF49" s="216"/>
      <c r="CG49" s="216"/>
      <c r="CH49" s="216"/>
      <c r="CI49" s="216"/>
      <c r="CJ49" s="216"/>
      <c r="CK49" s="216"/>
      <c r="CL49" s="216"/>
      <c r="CM49" s="216"/>
      <c r="CN49" s="216"/>
      <c r="CO49" s="256"/>
    </row>
    <row r="50" ht="18">
      <c r="A50" s="200"/>
      <c r="L50" s="216"/>
      <c r="M50" s="216"/>
      <c r="N50" s="217"/>
      <c r="O50" s="885" t="s">
        <v>132</v>
      </c>
      <c r="P50" s="885"/>
      <c r="Q50" s="885"/>
      <c r="R50" s="885"/>
      <c r="S50" s="885"/>
      <c r="T50" s="885"/>
      <c r="U50" s="216"/>
      <c r="V50" s="216"/>
      <c r="W50" s="216"/>
      <c r="X50" s="216"/>
      <c r="Y50" s="216"/>
      <c r="Z50" s="216"/>
      <c r="AA50" s="216"/>
      <c r="AB50" s="216"/>
      <c r="AC50" s="216"/>
      <c r="AD50" s="216"/>
      <c r="AE50" s="216"/>
      <c r="AF50" s="216"/>
      <c r="AG50" s="216"/>
      <c r="AH50" s="216"/>
      <c r="AI50" s="216"/>
      <c r="AJ50" s="216"/>
      <c r="AK50" s="216"/>
      <c r="AL50" s="216"/>
      <c r="AM50" s="216"/>
      <c r="AN50" s="216"/>
      <c r="AO50" s="216"/>
      <c r="AP50" s="216"/>
      <c r="AQ50" s="216"/>
      <c r="AR50" s="216"/>
      <c r="AS50" s="216"/>
      <c r="AT50" s="256"/>
      <c r="AU50" s="216"/>
      <c r="AV50" s="200"/>
      <c r="BG50" s="211" t="s">
        <v>27</v>
      </c>
      <c r="BH50" s="211" t="s">
        <v>28</v>
      </c>
      <c r="BI50" s="218" t="s">
        <v>29</v>
      </c>
      <c r="BJ50" s="211" t="s">
        <v>133</v>
      </c>
      <c r="BK50" s="211" t="s">
        <v>12</v>
      </c>
      <c r="BL50" s="211" t="s">
        <v>134</v>
      </c>
      <c r="BM50" s="211" t="s">
        <v>135</v>
      </c>
      <c r="BN50" s="211" t="s">
        <v>61</v>
      </c>
      <c r="BO50" s="211" t="s">
        <v>136</v>
      </c>
      <c r="BP50" s="211" t="s">
        <v>137</v>
      </c>
      <c r="BQ50" s="245" t="s">
        <v>36</v>
      </c>
      <c r="BR50" s="211" t="s">
        <v>37</v>
      </c>
      <c r="BS50" s="216"/>
      <c r="BT50" s="216"/>
      <c r="BU50" s="216"/>
      <c r="BV50" s="216"/>
      <c r="BW50" s="216"/>
      <c r="BX50" s="216"/>
      <c r="BY50" s="216"/>
      <c r="BZ50" s="216"/>
      <c r="CA50" s="216"/>
      <c r="CB50" s="216"/>
      <c r="CC50" s="216"/>
      <c r="CD50" s="216"/>
      <c r="CE50" s="216"/>
      <c r="CF50" s="216"/>
      <c r="CG50" s="216"/>
      <c r="CH50" s="216"/>
      <c r="CI50" s="216"/>
      <c r="CJ50" s="216"/>
      <c r="CK50" s="216"/>
      <c r="CL50" s="216"/>
      <c r="CM50" s="216"/>
      <c r="CN50" s="216"/>
      <c r="CO50" s="256"/>
    </row>
    <row r="51" ht="18">
      <c r="A51" s="200"/>
      <c r="L51" s="211" t="s">
        <v>27</v>
      </c>
      <c r="M51" s="211" t="s">
        <v>28</v>
      </c>
      <c r="N51" s="218" t="s">
        <v>29</v>
      </c>
      <c r="O51" s="211" t="s">
        <v>133</v>
      </c>
      <c r="P51" s="211" t="s">
        <v>12</v>
      </c>
      <c r="Q51" s="211" t="s">
        <v>134</v>
      </c>
      <c r="R51" s="211" t="s">
        <v>135</v>
      </c>
      <c r="S51" s="211" t="s">
        <v>61</v>
      </c>
      <c r="T51" s="211" t="s">
        <v>136</v>
      </c>
      <c r="U51" s="211" t="s">
        <v>137</v>
      </c>
      <c r="V51" s="245" t="s">
        <v>36</v>
      </c>
      <c r="W51" s="211" t="s">
        <v>37</v>
      </c>
      <c r="X51" s="216"/>
      <c r="Y51" s="216"/>
      <c r="Z51" s="216"/>
      <c r="AA51" s="216"/>
      <c r="AB51" s="216"/>
      <c r="AC51" s="216"/>
      <c r="AD51" s="216"/>
      <c r="AE51" s="216"/>
      <c r="AF51" s="216"/>
      <c r="AG51" s="216"/>
      <c r="AH51" s="216"/>
      <c r="AI51" s="216"/>
      <c r="AJ51" s="216"/>
      <c r="AK51" s="216"/>
      <c r="AL51" s="216"/>
      <c r="AM51" s="216"/>
      <c r="AN51" s="216"/>
      <c r="AO51" s="216"/>
      <c r="AP51" s="216"/>
      <c r="AQ51" s="216"/>
      <c r="AR51" s="216"/>
      <c r="AS51" s="216"/>
      <c r="AT51" s="256"/>
      <c r="AU51" s="216"/>
      <c r="AV51" s="200"/>
      <c r="BG51" s="211">
        <v>1</v>
      </c>
      <c r="BH51" s="219">
        <v>2</v>
      </c>
      <c r="BI51" s="220" t="s">
        <v>138</v>
      </c>
      <c r="BJ51" s="211">
        <f>IF((Table1612677686[[#This Row],[موقع العمل]]="المصنع"),280,IF((Table1612677686[[#This Row],[موقع العمل]]="الاسكندرية"),320,400))</f>
        <v>280</v>
      </c>
      <c r="BK51" s="211">
        <f>SUMIF(Table17697888[Column1],Table1612677686[[#This Row],[موقع العمل]],$AB$2:$AB$20)</f>
        <v>0</v>
      </c>
      <c r="BL51" s="211" t="s">
        <v>139</v>
      </c>
      <c r="BM51" s="214" t="s">
        <v>39</v>
      </c>
      <c r="BN51" s="216"/>
      <c r="BO51" s="243">
        <v>1</v>
      </c>
      <c r="BP51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1" s="240">
        <f ref="BQ51:BQ63" t="shared" si="13" ca="1">BH51*BP51</f>
        <v>560</v>
      </c>
      <c r="BR51" s="265">
        <f ref="BR51:BR63" t="shared" si="14" ca="1">(BQ51)/$R$68</f>
        <v>0.0021473854144597646</v>
      </c>
      <c r="BS51" s="216"/>
      <c r="BT51" s="216"/>
      <c r="BU51" s="216"/>
      <c r="BV51" s="216"/>
      <c r="BW51" s="216"/>
      <c r="BX51" s="216"/>
      <c r="BY51" s="216"/>
      <c r="BZ51" s="216"/>
      <c r="CA51" s="216"/>
      <c r="CB51" s="216"/>
      <c r="CC51" s="216"/>
      <c r="CD51" s="216"/>
      <c r="CE51" s="216"/>
      <c r="CF51" s="216"/>
      <c r="CG51" s="216"/>
      <c r="CH51" s="216"/>
      <c r="CI51" s="216"/>
      <c r="CJ51" s="216"/>
      <c r="CK51" s="216"/>
      <c r="CL51" s="216"/>
      <c r="CM51" s="216"/>
      <c r="CN51" s="216"/>
      <c r="CO51" s="256"/>
    </row>
    <row r="52" ht="18">
      <c r="A52" s="200"/>
      <c r="L52" s="211">
        <v>1</v>
      </c>
      <c r="M52" s="219">
        <v>2</v>
      </c>
      <c r="N52" s="220" t="s">
        <v>138</v>
      </c>
      <c r="O52" s="211">
        <f>IF((Table16126776[[#This Row],[موقع العمل]]="المصنع"),280,IF((Table16126776[[#This Row],[موقع العمل]]="الاسكندرية"),320,400))</f>
        <v>280</v>
      </c>
      <c r="P52" s="211">
        <f>SUMIF(Table176978[Column1],Table16126776[[#This Row],[موقع العمل]],$AB$2:$AB$20)</f>
        <v>0</v>
      </c>
      <c r="Q52" s="211" t="s">
        <v>139</v>
      </c>
      <c r="R52" s="214" t="s">
        <v>39</v>
      </c>
      <c r="S52" s="216"/>
      <c r="T52" s="243">
        <v>1</v>
      </c>
      <c r="U52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2" s="240">
        <f ref="V52:V64" t="shared" si="15" ca="1">M52*U52</f>
        <v>560</v>
      </c>
      <c r="W52" s="241">
        <f ref="W52:W64" t="shared" si="16" ca="1">(V52)/$R$68</f>
        <v>0.0021473854144597646</v>
      </c>
      <c r="X52" s="216"/>
      <c r="Y52" s="216"/>
      <c r="Z52" s="216"/>
      <c r="AA52" s="216"/>
      <c r="AB52" s="216"/>
      <c r="AC52" s="216"/>
      <c r="AD52" s="216"/>
      <c r="AE52" s="216"/>
      <c r="AF52" s="216"/>
      <c r="AG52" s="216"/>
      <c r="AH52" s="216"/>
      <c r="AI52" s="216"/>
      <c r="AJ52" s="253"/>
      <c r="AK52" s="253"/>
      <c r="AL52" s="253"/>
      <c r="AM52" s="253"/>
      <c r="AN52" s="216"/>
      <c r="AO52" s="216"/>
      <c r="AP52" s="216"/>
      <c r="AQ52" s="216"/>
      <c r="AR52" s="216"/>
      <c r="AS52" s="216"/>
      <c r="AT52" s="256"/>
      <c r="AU52" s="216"/>
      <c r="AV52" s="200"/>
      <c r="BG52" s="211">
        <v>2</v>
      </c>
      <c r="BH52" s="219">
        <v>2</v>
      </c>
      <c r="BI52" s="220" t="s">
        <v>140</v>
      </c>
      <c r="BJ52" s="211">
        <f>IF((Table1612677686[[#This Row],[موقع العمل]]="المصنع"),280,IF((Table1612677686[[#This Row],[موقع العمل]]="الاسكندرية"),320,400))</f>
        <v>280</v>
      </c>
      <c r="BK52" s="211">
        <f>SUMIF(Table17697888[Column1],Table1612677686[[#This Row],[موقع العمل]],$AB$2:$AB$20)</f>
        <v>0</v>
      </c>
      <c r="BL52" s="211" t="s">
        <v>139</v>
      </c>
      <c r="BM52" s="214" t="s">
        <v>39</v>
      </c>
      <c r="BN52" s="216"/>
      <c r="BO52" s="243">
        <v>1</v>
      </c>
      <c r="BP52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280</v>
      </c>
      <c r="BQ52" s="240">
        <f t="shared" si="13" ca="1"/>
        <v>560</v>
      </c>
      <c r="BR52" s="265">
        <f t="shared" si="14" ca="1"/>
        <v>0.0021473854144597646</v>
      </c>
      <c r="BS52" s="216"/>
      <c r="BT52" s="216"/>
      <c r="BU52" s="216"/>
      <c r="BV52" s="216"/>
      <c r="BW52" s="216"/>
      <c r="BX52" s="216"/>
      <c r="BY52" s="216"/>
      <c r="BZ52" s="216"/>
      <c r="CA52" s="216"/>
      <c r="CB52" s="216"/>
      <c r="CC52" s="216"/>
      <c r="CD52" s="216"/>
      <c r="CE52" s="253"/>
      <c r="CF52" s="253"/>
      <c r="CG52" s="253"/>
      <c r="CH52" s="253"/>
      <c r="CI52" s="216"/>
      <c r="CJ52" s="216"/>
      <c r="CK52" s="216"/>
      <c r="CL52" s="216"/>
      <c r="CM52" s="216"/>
      <c r="CN52" s="216"/>
      <c r="CO52" s="256"/>
    </row>
    <row r="53" ht="18">
      <c r="A53" s="200"/>
      <c r="L53" s="211">
        <v>2</v>
      </c>
      <c r="M53" s="219">
        <v>2</v>
      </c>
      <c r="N53" s="220" t="s">
        <v>140</v>
      </c>
      <c r="O53" s="211">
        <f>IF((Table16126776[[#This Row],[موقع العمل]]="المصنع"),280,IF((Table16126776[[#This Row],[موقع العمل]]="الاسكندرية"),320,400))</f>
        <v>280</v>
      </c>
      <c r="P53" s="211">
        <f>SUMIF(Table176978[Column1],Table16126776[[#This Row],[موقع العمل]],$AB$2:$AB$20)</f>
        <v>0</v>
      </c>
      <c r="Q53" s="211" t="s">
        <v>139</v>
      </c>
      <c r="R53" s="214" t="s">
        <v>39</v>
      </c>
      <c r="S53" s="216"/>
      <c r="T53" s="243">
        <v>1</v>
      </c>
      <c r="U53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280</v>
      </c>
      <c r="V53" s="240">
        <f t="shared" si="15" ca="1"/>
        <v>560</v>
      </c>
      <c r="W53" s="241">
        <f t="shared" si="16" ca="1"/>
        <v>0.0021473854144597646</v>
      </c>
      <c r="X53" s="216"/>
      <c r="Y53" s="216"/>
      <c r="Z53" s="216"/>
      <c r="AA53" s="216"/>
      <c r="AB53" s="216"/>
      <c r="AC53" s="216"/>
      <c r="AD53" s="216"/>
      <c r="AE53" s="216"/>
      <c r="AF53" s="216"/>
      <c r="AG53" s="216"/>
      <c r="AH53" s="216"/>
      <c r="AI53" s="216"/>
      <c r="AJ53" s="253"/>
      <c r="AK53" s="253"/>
      <c r="AL53" s="253"/>
      <c r="AM53" s="253"/>
      <c r="AN53" s="216"/>
      <c r="AO53" s="216"/>
      <c r="AP53" s="216"/>
      <c r="AQ53" s="216"/>
      <c r="AR53" s="216"/>
      <c r="AS53" s="216"/>
      <c r="AT53" s="256"/>
      <c r="AU53" s="216"/>
      <c r="AV53" s="200"/>
      <c r="BG53" s="211">
        <v>3</v>
      </c>
      <c r="BH53" s="219">
        <v>3</v>
      </c>
      <c r="BI53" s="220" t="s">
        <v>141</v>
      </c>
      <c r="BJ53" s="211">
        <f>IF((Table1612677686[[#This Row],[موقع العمل]]="المصنع"),280,IF((Table1612677686[[#This Row],[موقع العمل]]="الاسكندرية"),320,400))</f>
        <v>280</v>
      </c>
      <c r="BK53" s="211">
        <f>SUMIF(Table17697888[Column1],Table1612677686[[#This Row],[موقع العمل]],$AB$2:$AB$20)</f>
        <v>0</v>
      </c>
      <c r="BL53" s="211" t="s">
        <v>139</v>
      </c>
      <c r="BM53" s="214" t="s">
        <v>39</v>
      </c>
      <c r="BN53" s="216"/>
      <c r="BO53" s="243">
        <v>0</v>
      </c>
      <c r="BP53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3" s="240">
        <f t="shared" si="13"/>
        <v>0</v>
      </c>
      <c r="BR53" s="265">
        <f t="shared" si="14" ca="1"/>
        <v>0</v>
      </c>
      <c r="BS53" s="216"/>
      <c r="BT53" s="216"/>
      <c r="BU53" s="216"/>
      <c r="BV53" s="216"/>
      <c r="BW53" s="216"/>
      <c r="BX53" s="216"/>
      <c r="BY53" s="216"/>
      <c r="BZ53" s="216"/>
      <c r="CA53" s="216"/>
      <c r="CB53" s="216"/>
      <c r="CC53" s="216"/>
      <c r="CD53" s="216"/>
      <c r="CE53" s="253"/>
      <c r="CF53" s="253"/>
      <c r="CG53" s="253"/>
      <c r="CH53" s="253"/>
      <c r="CI53" s="216"/>
      <c r="CJ53" s="216"/>
      <c r="CK53" s="216"/>
      <c r="CL53" s="216"/>
      <c r="CM53" s="216"/>
      <c r="CN53" s="216"/>
      <c r="CO53" s="256"/>
    </row>
    <row r="54" ht="18">
      <c r="A54" s="200"/>
      <c r="L54" s="211">
        <v>3</v>
      </c>
      <c r="M54" s="219">
        <v>3</v>
      </c>
      <c r="N54" s="220" t="s">
        <v>141</v>
      </c>
      <c r="O54" s="211">
        <f>IF((Table16126776[[#This Row],[موقع العمل]]="المصنع"),280,IF((Table16126776[[#This Row],[موقع العمل]]="الاسكندرية"),320,400))</f>
        <v>280</v>
      </c>
      <c r="P54" s="211">
        <f>SUMIF(Table176978[Column1],Table16126776[[#This Row],[موقع العمل]],$AB$2:$AB$20)</f>
        <v>0</v>
      </c>
      <c r="Q54" s="211" t="s">
        <v>139</v>
      </c>
      <c r="R54" s="214" t="s">
        <v>39</v>
      </c>
      <c r="S54" s="216"/>
      <c r="T54" s="243">
        <v>0</v>
      </c>
      <c r="U54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4" s="240">
        <f t="shared" si="15"/>
        <v>0</v>
      </c>
      <c r="W54" s="241">
        <f t="shared" si="16" ca="1"/>
        <v>0</v>
      </c>
      <c r="X54" s="216"/>
      <c r="Y54" s="216"/>
      <c r="Z54" s="216"/>
      <c r="AA54" s="216"/>
      <c r="AB54" s="216"/>
      <c r="AC54" s="216"/>
      <c r="AD54" s="216"/>
      <c r="AE54" s="216"/>
      <c r="AF54" s="216"/>
      <c r="AG54" s="216"/>
      <c r="AH54" s="216"/>
      <c r="AI54" s="216"/>
      <c r="AJ54" s="216"/>
      <c r="AK54" s="216"/>
      <c r="AL54" s="216"/>
      <c r="AM54" s="216"/>
      <c r="AN54" s="216"/>
      <c r="AO54" s="216"/>
      <c r="AP54" s="216"/>
      <c r="AQ54" s="216"/>
      <c r="AR54" s="216"/>
      <c r="AS54" s="216"/>
      <c r="AT54" s="256"/>
      <c r="AU54" s="216"/>
      <c r="AV54" s="200"/>
      <c r="BG54" s="211">
        <v>4</v>
      </c>
      <c r="BH54" s="212">
        <v>3</v>
      </c>
      <c r="BI54" s="220" t="s">
        <v>142</v>
      </c>
      <c r="BJ54" s="211">
        <f>IF((Table1612677686[[#This Row],[موقع العمل]]="المصنع"),280,IF((Table1612677686[[#This Row],[موقع العمل]]="الاسكندرية"),320,400))</f>
        <v>280</v>
      </c>
      <c r="BK54" s="211">
        <f>SUMIF(Table17697888[Column1],Table1612677686[[#This Row],[موقع العمل]],$AB$2:$AB$20)</f>
        <v>0</v>
      </c>
      <c r="BL54" s="211" t="s">
        <v>139</v>
      </c>
      <c r="BM54" s="214" t="s">
        <v>39</v>
      </c>
      <c r="BN54" s="216"/>
      <c r="BO54" s="243">
        <v>2</v>
      </c>
      <c r="BP54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560</v>
      </c>
      <c r="BQ54" s="240">
        <f t="shared" si="13" ca="1"/>
        <v>1680</v>
      </c>
      <c r="BR54" s="265">
        <f t="shared" si="14" ca="1"/>
        <v>0.0064421562433792942</v>
      </c>
      <c r="BS54" s="216"/>
      <c r="BT54" s="216"/>
      <c r="BU54" s="216"/>
      <c r="BV54" s="216"/>
      <c r="BW54" s="216"/>
      <c r="BX54" s="216"/>
      <c r="BY54" s="216"/>
      <c r="BZ54" s="216"/>
      <c r="CA54" s="216"/>
      <c r="CB54" s="216"/>
      <c r="CC54" s="216"/>
      <c r="CD54" s="216"/>
      <c r="CE54" s="216"/>
      <c r="CF54" s="216"/>
      <c r="CG54" s="216"/>
      <c r="CH54" s="216"/>
      <c r="CI54" s="216"/>
      <c r="CJ54" s="216"/>
      <c r="CK54" s="216"/>
      <c r="CL54" s="216"/>
      <c r="CM54" s="216"/>
      <c r="CN54" s="216"/>
      <c r="CO54" s="256"/>
    </row>
    <row r="55" ht="18">
      <c r="A55" s="200"/>
      <c r="L55" s="211">
        <v>4</v>
      </c>
      <c r="M55" s="212">
        <v>3</v>
      </c>
      <c r="N55" s="220" t="s">
        <v>142</v>
      </c>
      <c r="O55" s="211">
        <f>IF((Table16126776[[#This Row],[موقع العمل]]="المصنع"),280,IF((Table16126776[[#This Row],[موقع العمل]]="الاسكندرية"),320,400))</f>
        <v>280</v>
      </c>
      <c r="P55" s="211">
        <f>SUMIF(Table176978[Column1],Table16126776[[#This Row],[موقع العمل]],$AB$2:$AB$20)</f>
        <v>0</v>
      </c>
      <c r="Q55" s="211" t="s">
        <v>139</v>
      </c>
      <c r="R55" s="214" t="s">
        <v>39</v>
      </c>
      <c r="S55" s="216"/>
      <c r="T55" s="243">
        <v>2</v>
      </c>
      <c r="U55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560</v>
      </c>
      <c r="V55" s="240">
        <f t="shared" si="15" ca="1"/>
        <v>1680</v>
      </c>
      <c r="W55" s="241">
        <f t="shared" si="16" ca="1"/>
        <v>0.0064421562433792942</v>
      </c>
      <c r="X55" s="253"/>
      <c r="Y55" s="253"/>
      <c r="Z55" s="253"/>
      <c r="AA55" s="253"/>
      <c r="AB55" s="253"/>
      <c r="AC55" s="253"/>
      <c r="AD55" s="253"/>
      <c r="AE55" s="253"/>
      <c r="AF55" s="253"/>
      <c r="AG55" s="253"/>
      <c r="AH55" s="253"/>
      <c r="AI55" s="253"/>
      <c r="AJ55" s="216"/>
      <c r="AK55" s="216"/>
      <c r="AL55" s="216"/>
      <c r="AM55" s="216"/>
      <c r="AN55" s="253"/>
      <c r="AO55" s="216"/>
      <c r="AP55" s="216"/>
      <c r="AQ55" s="253"/>
      <c r="AR55" s="253"/>
      <c r="AS55" s="253"/>
      <c r="AT55" s="257"/>
      <c r="AU55" s="253"/>
      <c r="AV55" s="200"/>
      <c r="BG55" s="211">
        <v>5</v>
      </c>
      <c r="BH55" s="212">
        <v>4</v>
      </c>
      <c r="BI55" s="220" t="s">
        <v>143</v>
      </c>
      <c r="BJ55" s="211">
        <f>IF((Table1612677686[[#This Row],[موقع العمل]]="المصنع"),280,IF((Table1612677686[[#This Row],[موقع العمل]]="الاسكندرية"),320,400))</f>
        <v>400</v>
      </c>
      <c r="BK55" s="211">
        <f>SUMIF(Table17697888[Column1],Table1612677686[[#This Row],[موقع العمل]],$AB$2:$AB$20)</f>
        <v>100</v>
      </c>
      <c r="BL55" s="211" t="str">
        <f>تسعير!$AT$44</f>
        <v>المقطم</v>
      </c>
      <c r="BM55" s="214" t="s">
        <v>39</v>
      </c>
      <c r="BN55" s="216"/>
      <c r="BO55" s="243">
        <v>2</v>
      </c>
      <c r="BP55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5" s="240">
        <f t="shared" si="13" ca="1"/>
        <v>4000</v>
      </c>
      <c r="BR55" s="265">
        <f t="shared" si="14" ca="1"/>
        <v>0.015338467246141177</v>
      </c>
      <c r="BS55" s="253"/>
      <c r="BT55" s="253"/>
      <c r="BU55" s="253"/>
      <c r="BV55" s="253"/>
      <c r="BW55" s="253"/>
      <c r="BX55" s="253"/>
      <c r="BY55" s="253"/>
      <c r="BZ55" s="253"/>
      <c r="CA55" s="253"/>
      <c r="CB55" s="253"/>
      <c r="CC55" s="253"/>
      <c r="CD55" s="253"/>
      <c r="CE55" s="216"/>
      <c r="CF55" s="216"/>
      <c r="CG55" s="216"/>
      <c r="CH55" s="216"/>
      <c r="CI55" s="253"/>
      <c r="CJ55" s="216"/>
      <c r="CK55" s="216"/>
      <c r="CL55" s="253"/>
      <c r="CM55" s="253"/>
      <c r="CN55" s="253"/>
      <c r="CO55" s="257"/>
    </row>
    <row r="56" ht="18">
      <c r="A56" s="200"/>
      <c r="L56" s="211">
        <v>5</v>
      </c>
      <c r="M56" s="212">
        <v>4</v>
      </c>
      <c r="N56" s="220" t="s">
        <v>143</v>
      </c>
      <c r="O56" s="211">
        <f>IF((Table16126776[[#This Row],[موقع العمل]]="المصنع"),280,IF((Table16126776[[#This Row],[موقع العمل]]="الاسكندرية"),320,400))</f>
        <v>320</v>
      </c>
      <c r="P56" s="211">
        <f>SUMIF(Table176978[Column1],Table16126776[[#This Row],[موقع العمل]],$AB$2:$AB$20)</f>
        <v>0</v>
      </c>
      <c r="Q56" s="211" t="str">
        <f>تسعير!$AT$24</f>
        <v>الاسكندرية</v>
      </c>
      <c r="R56" s="214" t="s">
        <v>39</v>
      </c>
      <c r="S56" s="216"/>
      <c r="T56" s="243">
        <v>2</v>
      </c>
      <c r="U56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6" s="240">
        <f t="shared" si="15" ca="1"/>
        <v>2560</v>
      </c>
      <c r="W56" s="241">
        <f t="shared" si="16" ca="1"/>
        <v>0.0098166190375303542</v>
      </c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253"/>
      <c r="AI56" s="253"/>
      <c r="AJ56" s="216"/>
      <c r="AK56" s="216"/>
      <c r="AL56" s="216"/>
      <c r="AM56" s="216"/>
      <c r="AN56" s="253"/>
      <c r="AO56" s="253"/>
      <c r="AP56" s="253"/>
      <c r="AQ56" s="253"/>
      <c r="AR56" s="253"/>
      <c r="AS56" s="253"/>
      <c r="AT56" s="257"/>
      <c r="AU56" s="253"/>
      <c r="AV56" s="200"/>
      <c r="BG56" s="211">
        <v>6</v>
      </c>
      <c r="BH56" s="212">
        <v>3</v>
      </c>
      <c r="BI56" s="220" t="s">
        <v>144</v>
      </c>
      <c r="BJ56" s="211">
        <f>IF((Table1612677686[[#This Row],[موقع العمل]]="المصنع"),280,IF((Table1612677686[[#This Row],[موقع العمل]]="الاسكندرية"),320,400))</f>
        <v>400</v>
      </c>
      <c r="BK56" s="211">
        <f>SUMIF(Table17697888[Column1],Table1612677686[[#This Row],[موقع العمل]],$AB$2:$AB$20)</f>
        <v>100</v>
      </c>
      <c r="BL56" s="211" t="str">
        <f>تسعير!$AT$44</f>
        <v>المقطم</v>
      </c>
      <c r="BM56" s="214" t="s">
        <v>39</v>
      </c>
      <c r="BN56" s="216"/>
      <c r="BO56" s="243">
        <v>2</v>
      </c>
      <c r="BP56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6" s="240">
        <f t="shared" si="13" ca="1"/>
        <v>3000</v>
      </c>
      <c r="BR56" s="265">
        <f t="shared" si="14" ca="1"/>
        <v>0.011503850434605882</v>
      </c>
      <c r="BS56" s="253"/>
      <c r="BT56" s="253"/>
      <c r="BU56" s="253"/>
      <c r="BV56" s="253"/>
      <c r="BW56" s="253"/>
      <c r="BX56" s="253"/>
      <c r="BY56" s="253"/>
      <c r="BZ56" s="253"/>
      <c r="CA56" s="253"/>
      <c r="CB56" s="253"/>
      <c r="CC56" s="253"/>
      <c r="CD56" s="253"/>
      <c r="CE56" s="216"/>
      <c r="CF56" s="216"/>
      <c r="CG56" s="216"/>
      <c r="CH56" s="216"/>
      <c r="CI56" s="253"/>
      <c r="CJ56" s="253"/>
      <c r="CK56" s="253"/>
      <c r="CL56" s="253"/>
      <c r="CM56" s="253"/>
      <c r="CN56" s="253"/>
      <c r="CO56" s="257"/>
    </row>
    <row r="57" ht="18">
      <c r="A57" s="200"/>
      <c r="L57" s="211">
        <v>6</v>
      </c>
      <c r="M57" s="212">
        <v>3</v>
      </c>
      <c r="N57" s="220" t="s">
        <v>144</v>
      </c>
      <c r="O57" s="211">
        <f>IF((Table16126776[[#This Row],[موقع العمل]]="المصنع"),280,IF((Table16126776[[#This Row],[موقع العمل]]="الاسكندرية"),320,400))</f>
        <v>320</v>
      </c>
      <c r="P57" s="211">
        <f>SUMIF(Table176978[Column1],Table16126776[[#This Row],[موقع العمل]],$AB$2:$AB$20)</f>
        <v>0</v>
      </c>
      <c r="Q57" s="211" t="str">
        <f>تسعير!$AT$24</f>
        <v>الاسكندرية</v>
      </c>
      <c r="R57" s="214" t="s">
        <v>39</v>
      </c>
      <c r="S57" s="216"/>
      <c r="T57" s="243">
        <v>2</v>
      </c>
      <c r="U57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7" s="240">
        <f t="shared" si="15" ca="1"/>
        <v>1920</v>
      </c>
      <c r="W57" s="241">
        <f t="shared" si="16" ca="1"/>
        <v>0.0073624642781477652</v>
      </c>
      <c r="X57" s="216"/>
      <c r="Y57" s="216"/>
      <c r="Z57" s="216"/>
      <c r="AA57" s="216"/>
      <c r="AB57" s="216"/>
      <c r="AC57" s="216"/>
      <c r="AD57" s="216"/>
      <c r="AE57" s="216"/>
      <c r="AF57" s="216"/>
      <c r="AG57" s="216"/>
      <c r="AH57" s="216"/>
      <c r="AI57" s="216"/>
      <c r="AJ57" s="216"/>
      <c r="AK57" s="216"/>
      <c r="AL57" s="216"/>
      <c r="AM57" s="216"/>
      <c r="AN57" s="216"/>
      <c r="AO57" s="253"/>
      <c r="AP57" s="253"/>
      <c r="AQ57" s="216"/>
      <c r="AR57" s="216"/>
      <c r="AS57" s="216"/>
      <c r="AT57" s="256"/>
      <c r="AU57" s="216"/>
      <c r="AV57" s="200"/>
      <c r="BG57" s="211">
        <v>7</v>
      </c>
      <c r="BH57" s="212">
        <v>0</v>
      </c>
      <c r="BI57" s="220" t="s">
        <v>145</v>
      </c>
      <c r="BJ57" s="211">
        <f>IF((Table1612677686[[#This Row],[موقع العمل]]="المصنع"),280,IF((Table1612677686[[#This Row],[موقع العمل]]="الاسكندرية"),320,400))</f>
        <v>400</v>
      </c>
      <c r="BK57" s="211">
        <f>SUMIF(Table17697888[Column1],Table1612677686[[#This Row],[موقع العمل]],$AB$2:$AB$20)</f>
        <v>100</v>
      </c>
      <c r="BL57" s="211" t="str">
        <f>تسعير!$AT$44</f>
        <v>المقطم</v>
      </c>
      <c r="BM57" s="214" t="s">
        <v>39</v>
      </c>
      <c r="BN57" s="216"/>
      <c r="BO57" s="243">
        <v>0</v>
      </c>
      <c r="BP57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0</v>
      </c>
      <c r="BQ57" s="240">
        <f t="shared" si="13"/>
        <v>0</v>
      </c>
      <c r="BR57" s="265">
        <f t="shared" si="14" ca="1"/>
        <v>0</v>
      </c>
      <c r="BS57" s="216"/>
      <c r="BT57" s="216"/>
      <c r="BU57" s="216"/>
      <c r="BV57" s="216"/>
      <c r="BW57" s="216"/>
      <c r="BX57" s="216"/>
      <c r="BY57" s="216"/>
      <c r="BZ57" s="216"/>
      <c r="CA57" s="216"/>
      <c r="CB57" s="216"/>
      <c r="CC57" s="216"/>
      <c r="CD57" s="216"/>
      <c r="CE57" s="216"/>
      <c r="CF57" s="216"/>
      <c r="CG57" s="216"/>
      <c r="CH57" s="216"/>
      <c r="CI57" s="216"/>
      <c r="CJ57" s="253"/>
      <c r="CK57" s="253"/>
      <c r="CL57" s="216"/>
      <c r="CM57" s="216"/>
      <c r="CN57" s="216"/>
      <c r="CO57" s="256"/>
    </row>
    <row r="58" ht="18">
      <c r="A58" s="200"/>
      <c r="L58" s="211">
        <v>7</v>
      </c>
      <c r="M58" s="212">
        <v>0</v>
      </c>
      <c r="N58" s="220" t="s">
        <v>145</v>
      </c>
      <c r="O58" s="211">
        <f>IF((Table16126776[[#This Row],[موقع العمل]]="المصنع"),280,IF((Table16126776[[#This Row],[موقع العمل]]="الاسكندرية"),320,400))</f>
        <v>320</v>
      </c>
      <c r="P58" s="211">
        <f>SUMIF(Table176978[Column1],Table16126776[[#This Row],[موقع العمل]],$AB$2:$AB$20)</f>
        <v>0</v>
      </c>
      <c r="Q58" s="211" t="str">
        <f>تسعير!$AT$24</f>
        <v>الاسكندرية</v>
      </c>
      <c r="R58" s="214" t="s">
        <v>39</v>
      </c>
      <c r="S58" s="216"/>
      <c r="T58" s="243">
        <v>0</v>
      </c>
      <c r="U58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0</v>
      </c>
      <c r="V58" s="240">
        <f t="shared" si="15"/>
        <v>0</v>
      </c>
      <c r="W58" s="241">
        <f t="shared" si="16" ca="1"/>
        <v>0</v>
      </c>
      <c r="X58" s="216"/>
      <c r="Y58" s="216"/>
      <c r="Z58" s="216"/>
      <c r="AA58" s="216"/>
      <c r="AB58" s="216"/>
      <c r="AC58" s="216"/>
      <c r="AD58" s="216"/>
      <c r="AE58" s="216"/>
      <c r="AF58" s="216"/>
      <c r="AG58" s="216"/>
      <c r="AH58" s="216"/>
      <c r="AI58" s="216"/>
      <c r="AJ58" s="216"/>
      <c r="AK58" s="216"/>
      <c r="AL58" s="216"/>
      <c r="AM58" s="216"/>
      <c r="AN58" s="216"/>
      <c r="AO58" s="216"/>
      <c r="AP58" s="216"/>
      <c r="AQ58" s="216"/>
      <c r="AR58" s="216"/>
      <c r="AS58" s="216"/>
      <c r="AT58" s="256"/>
      <c r="AU58" s="216"/>
      <c r="AV58" s="200"/>
      <c r="BG58" s="211">
        <v>8</v>
      </c>
      <c r="BH58" s="212">
        <v>4</v>
      </c>
      <c r="BI58" s="220" t="s">
        <v>146</v>
      </c>
      <c r="BJ58" s="211">
        <f>IF((Table1612677686[[#This Row],[موقع العمل]]="المصنع"),280,IF((Table1612677686[[#This Row],[موقع العمل]]="الاسكندرية"),320,400))</f>
        <v>400</v>
      </c>
      <c r="BK58" s="211">
        <f>SUMIF(Table17697888[Column1],Table1612677686[[#This Row],[موقع العمل]],$AB$2:$AB$20)</f>
        <v>100</v>
      </c>
      <c r="BL58" s="211" t="str">
        <f>تسعير!$AT$44</f>
        <v>المقطم</v>
      </c>
      <c r="BM58" s="214" t="s">
        <v>39</v>
      </c>
      <c r="BN58" s="216"/>
      <c r="BO58" s="243">
        <v>2</v>
      </c>
      <c r="BP58" s="243">
        <f>IF(Table1612677686[[#This Row],[عدد الايام]]=0,0,IF((Table1612677686[[#This Row],[شيفت العمل]]="صباحي"),((Table1612677686[[#This Row],[بدل الوجبة]]+Table1612677686[[#This Row],[اليومية / الاجرة]])*Table1612677686[[#This Row],[عدد الايام]]),IF((Table1612677686[[#This Row],[شيفت العمل]]="ليلي"),(((Table1612677686[[#This Row],[بدل الوجبة]]+Table1612677686[[#This Row],[اليومية / الاجرة]])*Table1612677686[[#This Row],[عدد الايام]])+Table1612677686[[#This Row],[اليومية / الاجرة]]),"ERROR")))</f>
        <v>1000</v>
      </c>
      <c r="BQ58" s="240">
        <f t="shared" si="13" ca="1"/>
        <v>4000</v>
      </c>
      <c r="BR58" s="265">
        <f t="shared" si="14" ca="1"/>
        <v>0.015338467246141177</v>
      </c>
      <c r="BS58" s="216"/>
      <c r="BT58" s="216"/>
      <c r="BU58" s="216"/>
      <c r="BV58" s="216"/>
      <c r="BW58" s="216"/>
      <c r="BX58" s="216"/>
      <c r="BY58" s="216"/>
      <c r="BZ58" s="216"/>
      <c r="CA58" s="216"/>
      <c r="CB58" s="216"/>
      <c r="CC58" s="216"/>
      <c r="CD58" s="216"/>
      <c r="CE58" s="216"/>
      <c r="CF58" s="216"/>
      <c r="CG58" s="216"/>
      <c r="CH58" s="216"/>
      <c r="CI58" s="216"/>
      <c r="CJ58" s="216"/>
      <c r="CK58" s="216"/>
      <c r="CL58" s="216"/>
      <c r="CM58" s="216"/>
      <c r="CN58" s="216"/>
      <c r="CO58" s="256"/>
    </row>
    <row r="59" ht="18">
      <c r="A59" s="200"/>
      <c r="L59" s="211">
        <v>8</v>
      </c>
      <c r="M59" s="212">
        <v>4</v>
      </c>
      <c r="N59" s="220" t="s">
        <v>146</v>
      </c>
      <c r="O59" s="211">
        <f>IF((Table16126776[[#This Row],[موقع العمل]]="المصنع"),280,IF((Table16126776[[#This Row],[موقع العمل]]="الاسكندرية"),320,400))</f>
        <v>320</v>
      </c>
      <c r="P59" s="211">
        <f>SUMIF(Table176978[Column1],Table16126776[[#This Row],[موقع العمل]],$AB$2:$AB$20)</f>
        <v>0</v>
      </c>
      <c r="Q59" s="211" t="str">
        <f>تسعير!$AT$24</f>
        <v>الاسكندرية</v>
      </c>
      <c r="R59" s="214" t="s">
        <v>39</v>
      </c>
      <c r="S59" s="216"/>
      <c r="T59" s="243">
        <v>2</v>
      </c>
      <c r="U59" s="243">
        <f>IF(Table16126776[[#This Row],[عدد الايام]]=0,0,IF((Table16126776[[#This Row],[شيفت العمل]]="صباحي"),((Table16126776[[#This Row],[بدل الوجبة]]+Table16126776[[#This Row],[اليومية / الاجرة]])*Table16126776[[#This Row],[عدد الايام]]),IF((Table16126776[[#This Row],[شيفت العمل]]="ليلي"),(((Table16126776[[#This Row],[بدل الوجبة]]+Table16126776[[#This Row],[اليومية / الاجرة]])*Table16126776[[#This Row],[عدد الايام]])+Table16126776[[#This Row],[اليومية / الاجرة]]),"ERROR")))</f>
        <v>640</v>
      </c>
      <c r="V59" s="240">
        <f t="shared" si="15" ca="1"/>
        <v>2560</v>
      </c>
      <c r="W59" s="241">
        <f t="shared" si="16" ca="1"/>
        <v>0.0098166190375303542</v>
      </c>
      <c r="X59" s="216"/>
      <c r="Y59" s="216"/>
      <c r="Z59" s="216"/>
      <c r="AA59" s="216"/>
      <c r="AB59" s="216"/>
      <c r="AC59" s="216"/>
      <c r="AD59" s="216"/>
      <c r="AE59" s="216"/>
      <c r="AF59" s="216"/>
      <c r="AG59" s="216"/>
      <c r="AH59" s="216"/>
      <c r="AI59" s="216"/>
      <c r="AJ59" s="216"/>
      <c r="AK59" s="216"/>
      <c r="AL59" s="216"/>
      <c r="AM59" s="216"/>
      <c r="AN59" s="216"/>
      <c r="AO59" s="216"/>
      <c r="AP59" s="216"/>
      <c r="AQ59" s="216"/>
      <c r="AR59" s="216"/>
      <c r="AS59" s="216"/>
      <c r="AT59" s="256"/>
      <c r="AU59" s="216"/>
      <c r="AV59" s="200"/>
      <c r="BG59" s="211">
        <v>9</v>
      </c>
      <c r="BH59" s="212">
        <f>(BH55+BH56+BH57+BH58)*2</f>
        <v>22</v>
      </c>
      <c r="BI59" s="220" t="s">
        <v>147</v>
      </c>
      <c r="BJ59" s="211"/>
      <c r="BK59" s="211"/>
      <c r="BL59" s="211" t="str">
        <f>تسعير!$AT$44</f>
        <v>المقطم</v>
      </c>
      <c r="BM59" s="214"/>
      <c r="BN59" s="247">
        <f>SUMIF(Table17697888[Column1],Table1612677686[[#This Row],[موقع العمل]],$Z$2:$Z$20)</f>
        <v>320</v>
      </c>
      <c r="BO59" s="247"/>
      <c r="BP59" s="243">
        <f>Table1612677686[[#This Row],[Column12]]</f>
        <v>320</v>
      </c>
      <c r="BQ59" s="240">
        <f t="shared" si="13" ca="1"/>
        <v>7040</v>
      </c>
      <c r="BR59" s="265">
        <f t="shared" si="14" ca="1"/>
        <v>0.026995702353208473</v>
      </c>
      <c r="BS59" s="216"/>
      <c r="BT59" s="216"/>
      <c r="BU59" s="216"/>
      <c r="BV59" s="216"/>
      <c r="BW59" s="216"/>
      <c r="BX59" s="216"/>
      <c r="BY59" s="216"/>
      <c r="BZ59" s="216"/>
      <c r="CA59" s="216"/>
      <c r="CB59" s="216"/>
      <c r="CC59" s="216"/>
      <c r="CD59" s="216"/>
      <c r="CE59" s="216"/>
      <c r="CF59" s="216"/>
      <c r="CG59" s="216"/>
      <c r="CH59" s="216"/>
      <c r="CI59" s="216"/>
      <c r="CJ59" s="216"/>
      <c r="CK59" s="216"/>
      <c r="CL59" s="216"/>
      <c r="CM59" s="216"/>
      <c r="CN59" s="216"/>
      <c r="CO59" s="256"/>
    </row>
    <row r="60" ht="18">
      <c r="A60" s="200"/>
      <c r="L60" s="211">
        <v>9</v>
      </c>
      <c r="M60" s="212">
        <f>(M56+M57+M58+M59)*2</f>
        <v>22</v>
      </c>
      <c r="N60" s="220" t="s">
        <v>147</v>
      </c>
      <c r="O60" s="211"/>
      <c r="P60" s="211"/>
      <c r="Q60" s="211" t="str">
        <f>تسعير!$AT$24</f>
        <v>الاسكندرية</v>
      </c>
      <c r="R60" s="214"/>
      <c r="S60" s="247">
        <f>SUMIF(Table176978[Column1],Table16126776[[#This Row],[موقع العمل]],$Z$2:$Z$20)</f>
        <v>0</v>
      </c>
      <c r="T60" s="247"/>
      <c r="U60" s="243">
        <f>Table16126776[[#This Row],[Column12]]</f>
        <v>0</v>
      </c>
      <c r="V60" s="240">
        <f t="shared" si="15" ca="1"/>
        <v>0</v>
      </c>
      <c r="W60" s="241">
        <f t="shared" si="16" ca="1"/>
        <v>0</v>
      </c>
      <c r="X60" s="216"/>
      <c r="Y60" s="216"/>
      <c r="Z60" s="216"/>
      <c r="AA60" s="216"/>
      <c r="AB60" s="216"/>
      <c r="AC60" s="216"/>
      <c r="AD60" s="216"/>
      <c r="AE60" s="216"/>
      <c r="AF60" s="216"/>
      <c r="AG60" s="216"/>
      <c r="AH60" s="216"/>
      <c r="AI60" s="216"/>
      <c r="AJ60" s="216"/>
      <c r="AK60" s="216"/>
      <c r="AL60" s="216"/>
      <c r="AM60" s="216"/>
      <c r="AN60" s="216"/>
      <c r="AO60" s="216"/>
      <c r="AP60" s="216"/>
      <c r="AQ60" s="216"/>
      <c r="AR60" s="216"/>
      <c r="AS60" s="216"/>
      <c r="AT60" s="256"/>
      <c r="AU60" s="216"/>
      <c r="AV60" s="200"/>
      <c r="BG60" s="211">
        <v>10</v>
      </c>
      <c r="BH60" s="212">
        <f>((BO55+BO56+BO57+BO58)*2)-3</f>
        <v>9</v>
      </c>
      <c r="BI60" s="220" t="s">
        <v>148</v>
      </c>
      <c r="BJ60" s="211"/>
      <c r="BK60" s="211"/>
      <c r="BL60" s="211" t="str">
        <f>تسعير!$AT$44</f>
        <v>المقطم</v>
      </c>
      <c r="BM60" s="214"/>
      <c r="BN60" s="247">
        <f>SUMIF(Table17697888[Column1],Table1612677686[[#This Row],[موقع العمل]],$AA$2:$AA$20)</f>
        <v>400</v>
      </c>
      <c r="BO60" s="247"/>
      <c r="BP60" s="243">
        <f>Table1612677686[[#This Row],[Column12]]</f>
        <v>400</v>
      </c>
      <c r="BQ60" s="240">
        <f t="shared" si="13" ca="1"/>
        <v>3600</v>
      </c>
      <c r="BR60" s="265">
        <f t="shared" si="14" ca="1"/>
        <v>0.01380462052152706</v>
      </c>
      <c r="BS60" s="216"/>
      <c r="BT60" s="216"/>
      <c r="BU60" s="216"/>
      <c r="BV60" s="216"/>
      <c r="BW60" s="216"/>
      <c r="BX60" s="216"/>
      <c r="BY60" s="216"/>
      <c r="BZ60" s="216"/>
      <c r="CA60" s="216"/>
      <c r="CB60" s="216"/>
      <c r="CC60" s="216"/>
      <c r="CD60" s="216"/>
      <c r="CE60" s="216"/>
      <c r="CF60" s="216"/>
      <c r="CG60" s="216"/>
      <c r="CH60" s="216"/>
      <c r="CI60" s="216"/>
      <c r="CJ60" s="216"/>
      <c r="CK60" s="216"/>
      <c r="CL60" s="216"/>
      <c r="CM60" s="216"/>
      <c r="CN60" s="216"/>
      <c r="CO60" s="256"/>
    </row>
    <row r="61" ht="18">
      <c r="A61" s="200"/>
      <c r="L61" s="211">
        <v>10</v>
      </c>
      <c r="M61" s="212">
        <f>((T56+T57+T58+T59)*2)-3</f>
        <v>9</v>
      </c>
      <c r="N61" s="220" t="s">
        <v>148</v>
      </c>
      <c r="O61" s="211"/>
      <c r="P61" s="211"/>
      <c r="Q61" s="211" t="str">
        <f>تسعير!$AT$24</f>
        <v>الاسكندرية</v>
      </c>
      <c r="R61" s="214"/>
      <c r="S61" s="247">
        <f>SUMIF(Table176978[Column1],Table16126776[[#This Row],[موقع العمل]],$AA$2:$AA$20)</f>
        <v>0</v>
      </c>
      <c r="T61" s="247"/>
      <c r="U61" s="243">
        <f>Table16126776[[#This Row],[Column12]]</f>
        <v>0</v>
      </c>
      <c r="V61" s="240">
        <f t="shared" si="15" ca="1"/>
        <v>0</v>
      </c>
      <c r="W61" s="241">
        <f t="shared" si="16" ca="1"/>
        <v>0</v>
      </c>
      <c r="X61" s="216"/>
      <c r="Y61" s="216"/>
      <c r="Z61" s="216"/>
      <c r="AA61" s="216"/>
      <c r="AB61" s="216"/>
      <c r="AC61" s="216"/>
      <c r="AD61" s="216"/>
      <c r="AE61" s="216"/>
      <c r="AF61" s="216"/>
      <c r="AG61" s="216"/>
      <c r="AH61" s="216"/>
      <c r="AI61" s="216"/>
      <c r="AJ61" s="216"/>
      <c r="AK61" s="216"/>
      <c r="AL61" s="216"/>
      <c r="AM61" s="216"/>
      <c r="AN61" s="216"/>
      <c r="AO61" s="216"/>
      <c r="AP61" s="216"/>
      <c r="AQ61" s="216"/>
      <c r="AR61" s="216"/>
      <c r="AS61" s="216"/>
      <c r="AT61" s="256"/>
      <c r="AU61" s="216"/>
      <c r="AV61" s="200"/>
      <c r="BG61" s="211">
        <v>11</v>
      </c>
      <c r="BH61" s="212">
        <v>0</v>
      </c>
      <c r="BI61" s="220" t="s">
        <v>149</v>
      </c>
      <c r="BJ61" s="211"/>
      <c r="BK61" s="211"/>
      <c r="BL61" s="211" t="str">
        <f>تسعير!$AT$44</f>
        <v>المقطم</v>
      </c>
      <c r="BM61" s="214"/>
      <c r="BN61" s="247">
        <f>SUMIF(Table17697888[Column1],Table1612677686[[#This Row],[موقع العمل]],$AC$2:$AC$20)</f>
        <v>3500</v>
      </c>
      <c r="BO61" s="247"/>
      <c r="BP61" s="243">
        <f>Table1612677686[[#This Row],[Column12]]</f>
        <v>3500</v>
      </c>
      <c r="BQ61" s="240">
        <f t="shared" si="13" ca="1"/>
        <v>0</v>
      </c>
      <c r="BR61" s="265">
        <f t="shared" si="14" ca="1"/>
        <v>0</v>
      </c>
      <c r="BS61" s="216"/>
      <c r="BT61" s="216"/>
      <c r="BU61" s="216"/>
      <c r="BV61" s="216"/>
      <c r="BW61" s="216"/>
      <c r="BX61" s="216"/>
      <c r="BY61" s="216"/>
      <c r="BZ61" s="216"/>
      <c r="CA61" s="216"/>
      <c r="CB61" s="216"/>
      <c r="CC61" s="216"/>
      <c r="CD61" s="216"/>
      <c r="CE61" s="216"/>
      <c r="CF61" s="216"/>
      <c r="CG61" s="216"/>
      <c r="CH61" s="216"/>
      <c r="CI61" s="216"/>
      <c r="CJ61" s="216"/>
      <c r="CK61" s="216"/>
      <c r="CL61" s="216"/>
      <c r="CM61" s="216"/>
      <c r="CN61" s="216"/>
      <c r="CO61" s="256"/>
    </row>
    <row r="62" ht="18">
      <c r="A62" s="200"/>
      <c r="L62" s="211">
        <v>11</v>
      </c>
      <c r="M62" s="212">
        <v>0</v>
      </c>
      <c r="N62" s="220" t="s">
        <v>149</v>
      </c>
      <c r="O62" s="211"/>
      <c r="P62" s="211"/>
      <c r="Q62" s="211" t="str">
        <f>تسعير!$AT$24</f>
        <v>الاسكندرية</v>
      </c>
      <c r="R62" s="214"/>
      <c r="S62" s="247">
        <f>SUMIF(Table176978[Column1],Table16126776[[#This Row],[موقع العمل]],$AC$2:$AC$20)</f>
        <v>1000</v>
      </c>
      <c r="T62" s="247"/>
      <c r="U62" s="243">
        <f>Table16126776[[#This Row],[Column12]]</f>
        <v>1000</v>
      </c>
      <c r="V62" s="240">
        <f t="shared" si="15" ca="1"/>
        <v>0</v>
      </c>
      <c r="W62" s="241">
        <f t="shared" si="16" ca="1"/>
        <v>0</v>
      </c>
      <c r="X62" s="216"/>
      <c r="Y62" s="216"/>
      <c r="Z62" s="216"/>
      <c r="AA62" s="216"/>
      <c r="AB62" s="216"/>
      <c r="AC62" s="216"/>
      <c r="AD62" s="216"/>
      <c r="AE62" s="216"/>
      <c r="AF62" s="216"/>
      <c r="AG62" s="216"/>
      <c r="AH62" s="216"/>
      <c r="AI62" s="216"/>
      <c r="AJ62" s="216"/>
      <c r="AK62" s="216"/>
      <c r="AL62" s="216"/>
      <c r="AM62" s="216"/>
      <c r="AN62" s="216"/>
      <c r="AO62" s="216"/>
      <c r="AP62" s="216"/>
      <c r="AQ62" s="216"/>
      <c r="AR62" s="216"/>
      <c r="AS62" s="216"/>
      <c r="AT62" s="256"/>
      <c r="AU62" s="216"/>
      <c r="AV62" s="200"/>
      <c r="BG62" s="211">
        <v>12</v>
      </c>
      <c r="BH62" s="212">
        <f>IF((تسعير!$AU$14="بالتات"),1,2)</f>
        <v>2</v>
      </c>
      <c r="BI62" s="220" t="s">
        <v>150</v>
      </c>
      <c r="BJ62" s="211"/>
      <c r="BK62" s="211"/>
      <c r="BL62" s="211" t="str">
        <f>تسعير!$AT$44</f>
        <v>المقطم</v>
      </c>
      <c r="BM62" s="214"/>
      <c r="BN62" s="247">
        <f>SUMIF(Table17697888[Column1],Table1612677686[[#This Row],[موقع العمل]],$AD$2:$AD$20)</f>
        <v>6000</v>
      </c>
      <c r="BO62" s="247"/>
      <c r="BP62" s="243">
        <f>Table1612677686[[#This Row],[Column12]]</f>
        <v>6000</v>
      </c>
      <c r="BQ62" s="240">
        <f t="shared" si="13" ca="1"/>
        <v>12000</v>
      </c>
      <c r="BR62" s="265">
        <f t="shared" si="14" ca="1"/>
        <v>0.046015401738423528</v>
      </c>
      <c r="BS62" s="216"/>
      <c r="BT62" s="216"/>
      <c r="BU62" s="216"/>
      <c r="BV62" s="216"/>
      <c r="BW62" s="216"/>
      <c r="BX62" s="216"/>
      <c r="BY62" s="216"/>
      <c r="BZ62" s="216"/>
      <c r="CA62" s="216"/>
      <c r="CB62" s="216"/>
      <c r="CC62" s="216"/>
      <c r="CD62" s="216"/>
      <c r="CE62" s="216"/>
      <c r="CF62" s="216"/>
      <c r="CG62" s="216"/>
      <c r="CH62" s="216"/>
      <c r="CI62" s="216"/>
      <c r="CJ62" s="216"/>
      <c r="CK62" s="216"/>
      <c r="CL62" s="216"/>
      <c r="CM62" s="216"/>
      <c r="CN62" s="216"/>
      <c r="CO62" s="256"/>
    </row>
    <row r="63" ht="18">
      <c r="A63" s="200"/>
      <c r="L63" s="211">
        <v>12</v>
      </c>
      <c r="M63" s="212">
        <f>IF((تسعير!$AU$14="بالتات"),1,2)</f>
        <v>2</v>
      </c>
      <c r="N63" s="220" t="s">
        <v>150</v>
      </c>
      <c r="O63" s="211"/>
      <c r="P63" s="211"/>
      <c r="Q63" s="211" t="str">
        <f>تسعير!$AT$24</f>
        <v>الاسكندرية</v>
      </c>
      <c r="R63" s="214"/>
      <c r="S63" s="247">
        <f>SUMIF(Table176978[Column1],Table16126776[[#This Row],[موقع العمل]],$AD$2:$AD$20)</f>
        <v>2000</v>
      </c>
      <c r="T63" s="247"/>
      <c r="U63" s="243">
        <f>Table16126776[[#This Row],[Column12]]</f>
        <v>2000</v>
      </c>
      <c r="V63" s="240">
        <f t="shared" si="15" ca="1"/>
        <v>4000</v>
      </c>
      <c r="W63" s="241">
        <f t="shared" si="16" ca="1"/>
        <v>0.015338467246141177</v>
      </c>
      <c r="X63" s="216"/>
      <c r="Y63" s="216"/>
      <c r="Z63" s="216"/>
      <c r="AA63" s="216"/>
      <c r="AB63" s="216"/>
      <c r="AC63" s="216"/>
      <c r="AD63" s="216"/>
      <c r="AE63" s="216"/>
      <c r="AF63" s="216"/>
      <c r="AG63" s="216"/>
      <c r="AH63" s="216"/>
      <c r="AI63" s="216"/>
      <c r="AJ63" s="216"/>
      <c r="AK63" s="216"/>
      <c r="AL63" s="216"/>
      <c r="AM63" s="216"/>
      <c r="AN63" s="216"/>
      <c r="AO63" s="216"/>
      <c r="AP63" s="216"/>
      <c r="AQ63" s="216"/>
      <c r="AR63" s="216"/>
      <c r="AS63" s="216"/>
      <c r="AT63" s="256"/>
      <c r="AU63" s="216"/>
      <c r="AV63" s="200"/>
      <c r="BG63" s="211">
        <v>13</v>
      </c>
      <c r="BH63" s="212">
        <f>IF((تسعير!$AU$14="بالتات"),0,BH60-2)</f>
        <v>7</v>
      </c>
      <c r="BI63" s="220" t="s">
        <v>15</v>
      </c>
      <c r="BJ63" s="211"/>
      <c r="BK63" s="211"/>
      <c r="BL63" s="211" t="str">
        <f>تسعير!$AT$44</f>
        <v>المقطم</v>
      </c>
      <c r="BM63" s="214"/>
      <c r="BN63" s="247">
        <f>SUMIF(Table17697888[Column1],Table1612677686[[#This Row],[موقع العمل]],$AE$2:$AE$8)</f>
        <v>150</v>
      </c>
      <c r="BO63" s="247"/>
      <c r="BP63" s="243">
        <f>Table1612677686[[#This Row],[Column12]]</f>
        <v>150</v>
      </c>
      <c r="BQ63" s="240">
        <f t="shared" si="13" ca="1"/>
        <v>1050</v>
      </c>
      <c r="BR63" s="265">
        <f t="shared" si="14" ca="1"/>
        <v>0.0040263476521120592</v>
      </c>
      <c r="BS63" s="216"/>
      <c r="BT63" s="216"/>
      <c r="BU63" s="216"/>
      <c r="BV63" s="216"/>
      <c r="BW63" s="216"/>
      <c r="BX63" s="216"/>
      <c r="BY63" s="216"/>
      <c r="BZ63" s="216"/>
      <c r="CA63" s="216"/>
      <c r="CB63" s="216"/>
      <c r="CC63" s="216"/>
      <c r="CD63" s="216"/>
      <c r="CE63" s="216"/>
      <c r="CF63" s="216"/>
      <c r="CG63" s="216"/>
      <c r="CH63" s="216"/>
      <c r="CI63" s="216"/>
      <c r="CJ63" s="216"/>
      <c r="CK63" s="216"/>
      <c r="CL63" s="216"/>
      <c r="CM63" s="216"/>
      <c r="CN63" s="216"/>
      <c r="CO63" s="256"/>
    </row>
    <row r="64" ht="18">
      <c r="A64" s="200"/>
      <c r="L64" s="211">
        <v>13</v>
      </c>
      <c r="M64" s="212">
        <f>IF((تسعير!$AU$14="بالتات"),0,M61-2)</f>
        <v>7</v>
      </c>
      <c r="N64" s="220" t="s">
        <v>15</v>
      </c>
      <c r="O64" s="211"/>
      <c r="P64" s="211"/>
      <c r="Q64" s="211" t="str">
        <f>تسعير!$AT$24</f>
        <v>الاسكندرية</v>
      </c>
      <c r="R64" s="214"/>
      <c r="S64" s="247">
        <f>SUMIF(Table176978[Column1],Table16126776[[#This Row],[موقع العمل]],$AE$2:$AE$8)</f>
        <v>0</v>
      </c>
      <c r="T64" s="247"/>
      <c r="U64" s="243">
        <f>Table16126776[[#This Row],[Column12]]</f>
        <v>0</v>
      </c>
      <c r="V64" s="240">
        <f t="shared" si="15" ca="1"/>
        <v>0</v>
      </c>
      <c r="W64" s="241">
        <f t="shared" si="16" ca="1"/>
        <v>0</v>
      </c>
      <c r="X64" s="216"/>
      <c r="Y64" s="216"/>
      <c r="Z64" s="216"/>
      <c r="AA64" s="216"/>
      <c r="AB64" s="216"/>
      <c r="AC64" s="216"/>
      <c r="AD64" s="216"/>
      <c r="AE64" s="216"/>
      <c r="AF64" s="216"/>
      <c r="AG64" s="216"/>
      <c r="AH64" s="216"/>
      <c r="AI64" s="216"/>
      <c r="AJ64" s="216"/>
      <c r="AK64" s="216"/>
      <c r="AL64" s="216"/>
      <c r="AM64" s="216"/>
      <c r="AN64" s="216"/>
      <c r="AO64" s="216"/>
      <c r="AP64" s="216"/>
      <c r="AQ64" s="216"/>
      <c r="AR64" s="216"/>
      <c r="AS64" s="216"/>
      <c r="AT64" s="256"/>
      <c r="AU64" s="216"/>
      <c r="AV64" s="200"/>
      <c r="BG64" s="572" t="s">
        <v>54</v>
      </c>
      <c r="BH64" s="571"/>
      <c r="BI64" s="550" t="s">
        <v>54</v>
      </c>
      <c r="BJ64" s="572"/>
      <c r="BK64" s="572"/>
      <c r="BL64" s="573"/>
      <c r="BM64" s="573"/>
      <c r="BN64" s="574">
        <f>SUBTOTAL(109,Table1612677686[Column12])</f>
        <v>10370</v>
      </c>
      <c r="BO64" s="572"/>
      <c r="BP64" s="242"/>
      <c r="BQ64" s="575">
        <f>SUBTOTAL(109,Table1612677686[اجمالي])</f>
        <v>37490</v>
      </c>
      <c r="BR64" s="576">
        <f>Table1612677686[[#Totals],[اجمالي]]/$R$68</f>
        <v>0.14375978426445818</v>
      </c>
      <c r="BS64" s="216"/>
      <c r="BT64" s="216"/>
      <c r="BU64" s="216"/>
      <c r="BV64" s="216"/>
      <c r="BW64" s="216"/>
      <c r="BX64" s="216"/>
      <c r="BY64" s="216"/>
      <c r="BZ64" s="216"/>
      <c r="CA64" s="216"/>
      <c r="CB64" s="216"/>
      <c r="CC64" s="216"/>
      <c r="CD64" s="216"/>
      <c r="CE64" s="216"/>
      <c r="CF64" s="216"/>
      <c r="CG64" s="216"/>
      <c r="CH64" s="216"/>
      <c r="CI64" s="216"/>
      <c r="CJ64" s="216"/>
      <c r="CK64" s="216"/>
      <c r="CL64" s="216"/>
      <c r="CM64" s="216"/>
      <c r="CN64" s="216"/>
      <c r="CO64" s="256"/>
    </row>
    <row r="65" ht="18">
      <c r="A65" s="200"/>
      <c r="L65" s="572" t="s">
        <v>54</v>
      </c>
      <c r="M65" s="571"/>
      <c r="N65" s="550" t="s">
        <v>54</v>
      </c>
      <c r="O65" s="572"/>
      <c r="P65" s="572"/>
      <c r="Q65" s="573"/>
      <c r="R65" s="573"/>
      <c r="S65" s="574">
        <f>SUBTOTAL(109,Table16126776[Column12])</f>
        <v>3000</v>
      </c>
      <c r="T65" s="572"/>
      <c r="U65" s="242"/>
      <c r="V65" s="575">
        <f>SUBTOTAL(109,Table16126776[اجمالي])</f>
        <v>13840</v>
      </c>
      <c r="W65" s="576">
        <f>Table16126776[[#Totals],[اجمالي]]/$R$68</f>
        <v>0.053071096671648471</v>
      </c>
      <c r="X65" s="216"/>
      <c r="Y65" s="216"/>
      <c r="Z65" s="216"/>
      <c r="AA65" s="216"/>
      <c r="AB65" s="216"/>
      <c r="AC65" s="216"/>
      <c r="AD65" s="216"/>
      <c r="AE65" s="216"/>
      <c r="AF65" s="216"/>
      <c r="AG65" s="216"/>
      <c r="AH65" s="216"/>
      <c r="AI65" s="216"/>
      <c r="AJ65" s="216"/>
      <c r="AK65" s="216"/>
      <c r="AL65" s="216"/>
      <c r="AM65" s="216"/>
      <c r="AN65" s="216"/>
      <c r="AO65" s="216"/>
      <c r="AP65" s="216"/>
      <c r="AQ65" s="216"/>
      <c r="AR65" s="216"/>
      <c r="AS65" s="216"/>
      <c r="AT65" s="256"/>
      <c r="AU65" s="216"/>
      <c r="AV65" s="200"/>
      <c r="BG65" s="216"/>
      <c r="BH65" s="216"/>
      <c r="BI65" s="217"/>
      <c r="BJ65" s="890"/>
      <c r="BK65" s="890"/>
      <c r="BL65" s="890"/>
      <c r="BM65" s="890"/>
      <c r="BN65" s="890"/>
      <c r="BO65" s="890"/>
      <c r="BP65" s="216"/>
      <c r="BQ65" s="216"/>
      <c r="BR65" s="216"/>
      <c r="BS65" s="216"/>
      <c r="BT65" s="216"/>
      <c r="BU65" s="216"/>
      <c r="BV65" s="216"/>
      <c r="BW65" s="216"/>
      <c r="BX65" s="216"/>
      <c r="BY65" s="216"/>
      <c r="BZ65" s="216"/>
      <c r="CA65" s="216"/>
      <c r="CB65" s="216"/>
      <c r="CC65" s="216"/>
      <c r="CD65" s="216"/>
      <c r="CE65" s="216"/>
      <c r="CF65" s="216"/>
      <c r="CG65" s="216"/>
      <c r="CH65" s="216"/>
      <c r="CI65" s="216"/>
      <c r="CJ65" s="216"/>
      <c r="CK65" s="216"/>
      <c r="CL65" s="216"/>
      <c r="CM65" s="216"/>
      <c r="CN65" s="216"/>
      <c r="CO65" s="256"/>
    </row>
    <row r="66" ht="18">
      <c r="A66" s="200"/>
      <c r="L66" s="216"/>
      <c r="M66" s="216"/>
      <c r="N66" s="217"/>
      <c r="O66" s="890"/>
      <c r="P66" s="890"/>
      <c r="Q66" s="890"/>
      <c r="R66" s="890"/>
      <c r="S66" s="890"/>
      <c r="T66" s="890"/>
      <c r="U66" s="216"/>
      <c r="V66" s="216"/>
      <c r="W66" s="216"/>
      <c r="X66" s="216"/>
      <c r="Y66" s="216"/>
      <c r="Z66" s="216"/>
      <c r="AA66" s="216"/>
      <c r="AB66" s="216"/>
      <c r="AC66" s="216"/>
      <c r="AD66" s="216"/>
      <c r="AE66" s="216"/>
      <c r="AF66" s="216"/>
      <c r="AG66" s="216"/>
      <c r="AH66" s="216"/>
      <c r="AI66" s="216"/>
      <c r="AJ66" s="216"/>
      <c r="AK66" s="216"/>
      <c r="AL66" s="216"/>
      <c r="AM66" s="216"/>
      <c r="AN66" s="216"/>
      <c r="AO66" s="216"/>
      <c r="AP66" s="216"/>
      <c r="AQ66" s="216"/>
      <c r="AR66" s="216"/>
      <c r="AS66" s="216"/>
      <c r="AT66" s="256"/>
      <c r="AU66" s="216"/>
      <c r="AV66" s="200"/>
      <c r="BG66" s="211"/>
      <c r="BH66" s="211"/>
      <c r="BI66" s="218" t="s">
        <v>9</v>
      </c>
      <c r="BJ66" s="211" t="s">
        <v>151</v>
      </c>
      <c r="BK66" s="211" t="s">
        <v>152</v>
      </c>
      <c r="BL66" s="211" t="s">
        <v>96</v>
      </c>
      <c r="BM66" s="211" t="s">
        <v>30</v>
      </c>
      <c r="BN66" s="211"/>
      <c r="BO66" s="211"/>
      <c r="BP66" s="211"/>
      <c r="BQ66" s="245"/>
      <c r="BR66" s="211"/>
      <c r="BS66" s="216"/>
      <c r="BT66" s="216"/>
      <c r="BU66" s="216"/>
      <c r="BV66" s="216"/>
      <c r="BW66" s="216"/>
      <c r="BX66" s="216"/>
      <c r="BY66" s="216"/>
      <c r="BZ66" s="216"/>
      <c r="CA66" s="216"/>
      <c r="CB66" s="216"/>
      <c r="CC66" s="216"/>
      <c r="CD66" s="216"/>
      <c r="CE66" s="216"/>
      <c r="CF66" s="216"/>
      <c r="CG66" s="216"/>
      <c r="CH66" s="216"/>
      <c r="CI66" s="216"/>
      <c r="CJ66" s="216"/>
      <c r="CK66" s="216"/>
      <c r="CL66" s="216"/>
      <c r="CM66" s="216"/>
      <c r="CN66" s="216"/>
      <c r="CO66" s="256"/>
    </row>
    <row r="67" ht="18">
      <c r="A67" s="200"/>
      <c r="L67" s="211"/>
      <c r="M67" s="211"/>
      <c r="N67" s="218" t="s">
        <v>9</v>
      </c>
      <c r="O67" s="211" t="s">
        <v>151</v>
      </c>
      <c r="P67" s="211" t="s">
        <v>152</v>
      </c>
      <c r="Q67" s="211" t="s">
        <v>96</v>
      </c>
      <c r="R67" s="211" t="s">
        <v>30</v>
      </c>
      <c r="S67" s="211"/>
      <c r="T67" s="211"/>
      <c r="U67" s="211"/>
      <c r="V67" s="245"/>
      <c r="W67" s="211"/>
      <c r="X67" s="216"/>
      <c r="Y67" s="216"/>
      <c r="Z67" s="216"/>
      <c r="AA67" s="216"/>
      <c r="AB67" s="216"/>
      <c r="AC67" s="216"/>
      <c r="AD67" s="216"/>
      <c r="AE67" s="216"/>
      <c r="AF67" s="216"/>
      <c r="AG67" s="216"/>
      <c r="AH67" s="216"/>
      <c r="AI67" s="216"/>
      <c r="AJ67" s="216"/>
      <c r="AK67" s="216"/>
      <c r="AL67" s="216"/>
      <c r="AM67" s="216"/>
      <c r="AN67" s="216"/>
      <c r="AO67" s="216"/>
      <c r="AP67" s="216"/>
      <c r="AQ67" s="216"/>
      <c r="AR67" s="216"/>
      <c r="AS67" s="216"/>
      <c r="AT67" s="256"/>
      <c r="AU67" s="216"/>
      <c r="AV67" s="200"/>
      <c r="BG67" s="211"/>
      <c r="BH67" s="219"/>
      <c r="BI67" s="213" t="s">
        <v>153</v>
      </c>
      <c r="BJ67" s="214"/>
      <c r="BK67" s="211"/>
      <c r="BL67" s="280"/>
      <c r="BM67" s="281">
        <f>Table1612677686[[#Totals],[اجمالي]]+Table1613687787[[#Totals],[اجمالي]]+Table13597166[[#Totals],[اجمالي]]+Table16627383[[#Totals],[اجمالي]]+Table15617282[[#Totals],[اجمالي]]+Table1588090[[#Totals],[اجمالي]]</f>
        <v>191766.16999999998</v>
      </c>
      <c r="BN67" s="211"/>
      <c r="BO67" s="211"/>
      <c r="BP67" s="243"/>
      <c r="BQ67" s="282"/>
      <c r="BR67" s="283"/>
      <c r="BS67" s="216"/>
      <c r="BT67" s="216"/>
      <c r="BU67" s="216"/>
      <c r="BV67" s="216"/>
      <c r="BW67" s="216"/>
      <c r="BX67" s="216"/>
      <c r="BY67" s="216"/>
      <c r="BZ67" s="216"/>
      <c r="CA67" s="216"/>
      <c r="CB67" s="216"/>
      <c r="CC67" s="216"/>
      <c r="CD67" s="216"/>
      <c r="CE67" s="216"/>
      <c r="CF67" s="216"/>
      <c r="CG67" s="216"/>
      <c r="CH67" s="216"/>
      <c r="CI67" s="216"/>
      <c r="CJ67" s="216"/>
      <c r="CK67" s="216"/>
      <c r="CL67" s="216"/>
      <c r="CM67" s="216"/>
      <c r="CN67" s="216"/>
      <c r="CO67" s="256"/>
    </row>
    <row r="68" ht="18">
      <c r="A68" s="200"/>
      <c r="L68" s="211"/>
      <c r="M68" s="219"/>
      <c r="N68" s="213" t="s">
        <v>153</v>
      </c>
      <c r="O68" s="214"/>
      <c r="P68" s="211"/>
      <c r="Q68" s="280"/>
      <c r="R68" s="281">
        <f>Table16126776[[#Totals],[اجمالي]]+Table16136877[[#Totals],[اجمالي]]+Table135971[[#Totals],[اجمالي]]+Table166273[[#Totals],[اجمالي]]+Table156172[[#Totals],[اجمالي]]+Table15880[[#Totals],[اجمالي]]</f>
        <v>260782.25</v>
      </c>
      <c r="S68" s="211"/>
      <c r="T68" s="211"/>
      <c r="U68" s="243"/>
      <c r="V68" s="282"/>
      <c r="W68" s="283"/>
      <c r="X68" s="216"/>
      <c r="Y68" s="216"/>
      <c r="Z68" s="216"/>
      <c r="AA68" s="216"/>
      <c r="AB68" s="216"/>
      <c r="AC68" s="216"/>
      <c r="AD68" s="216"/>
      <c r="AE68" s="216"/>
      <c r="AF68" s="216"/>
      <c r="AG68" s="216"/>
      <c r="AH68" s="216"/>
      <c r="AI68" s="216"/>
      <c r="AJ68" s="216"/>
      <c r="AK68" s="216"/>
      <c r="AL68" s="216"/>
      <c r="AM68" s="216"/>
      <c r="AN68" s="216"/>
      <c r="AO68" s="216"/>
      <c r="AP68" s="216"/>
      <c r="AQ68" s="216"/>
      <c r="AR68" s="216"/>
      <c r="AS68" s="216"/>
      <c r="AT68" s="256"/>
      <c r="AU68" s="216"/>
      <c r="AV68" s="200"/>
      <c r="BG68" s="272"/>
      <c r="BH68" s="273"/>
      <c r="BI68" s="274" t="s">
        <v>154</v>
      </c>
      <c r="BJ68" s="275"/>
      <c r="BK68" s="272"/>
      <c r="BL68" s="284">
        <f>IF((BL63="المقطم"),0.3,IF((BL63="التجمع"),0.3,IF((BL63="الشيخ زايد"),0.3,IF((BL63="الاسكندرية"),0.5,0.35))))</f>
        <v>0.3</v>
      </c>
      <c r="BM68" s="285">
        <f>BM67*(1+Table18707989[[#This Row],[Column3]])</f>
        <v>249296.02099999998</v>
      </c>
      <c r="BN68" s="272"/>
      <c r="BO68" s="272"/>
      <c r="BP68" s="286"/>
      <c r="BQ68" s="287"/>
      <c r="BR68" s="288"/>
      <c r="BS68" s="216"/>
      <c r="BT68" s="216"/>
      <c r="BU68" s="216"/>
      <c r="BV68" s="216"/>
      <c r="BW68" s="216"/>
      <c r="BX68" s="216"/>
      <c r="BY68" s="216"/>
      <c r="BZ68" s="216"/>
      <c r="CA68" s="216"/>
      <c r="CB68" s="216"/>
      <c r="CC68" s="216"/>
      <c r="CD68" s="216"/>
      <c r="CE68" s="216"/>
      <c r="CF68" s="216"/>
      <c r="CG68" s="216"/>
      <c r="CH68" s="216"/>
      <c r="CI68" s="216"/>
      <c r="CJ68" s="216"/>
      <c r="CK68" s="216"/>
      <c r="CL68" s="216"/>
      <c r="CM68" s="216"/>
      <c r="CN68" s="216"/>
      <c r="CO68" s="256"/>
    </row>
    <row r="69" ht="18">
      <c r="A69" s="200"/>
      <c r="L69" s="272"/>
      <c r="M69" s="273"/>
      <c r="N69" s="274" t="s">
        <v>154</v>
      </c>
      <c r="O69" s="275"/>
      <c r="P69" s="272"/>
      <c r="Q69" s="284">
        <f>IF((Q64="المقطم"),0.3,IF((Q64="التجمع"),0.3,IF((Q64="الشيخ زايد"),0.3,IF((Q64="الاسكندرية"),0.5,0.35))))</f>
        <v>0.5</v>
      </c>
      <c r="R69" s="285">
        <f>R68*(1+Table187079[[#This Row],[Column3]])</f>
        <v>391173.375</v>
      </c>
      <c r="S69" s="272"/>
      <c r="T69" s="272"/>
      <c r="U69" s="286"/>
      <c r="V69" s="287"/>
      <c r="W69" s="288"/>
      <c r="X69" s="216"/>
      <c r="Y69" s="216"/>
      <c r="Z69" s="216"/>
      <c r="AA69" s="216"/>
      <c r="AB69" s="216"/>
      <c r="AC69" s="216"/>
      <c r="AD69" s="216"/>
      <c r="AE69" s="216"/>
      <c r="AF69" s="216"/>
      <c r="AG69" s="216"/>
      <c r="AH69" s="216"/>
      <c r="AI69" s="216"/>
      <c r="AJ69" s="216"/>
      <c r="AK69" s="216"/>
      <c r="AL69" s="216"/>
      <c r="AM69" s="216"/>
      <c r="AN69" s="290"/>
      <c r="AO69" s="290"/>
      <c r="AP69" s="290"/>
      <c r="AQ69" s="290"/>
      <c r="AR69" s="290"/>
      <c r="AS69" s="290"/>
      <c r="AT69" s="295"/>
      <c r="AU69" s="216"/>
      <c r="AV69" s="296"/>
      <c r="AW69" s="267"/>
      <c r="AX69" s="267"/>
      <c r="AY69" s="267"/>
      <c r="AZ69" s="267"/>
      <c r="BA69" s="267"/>
      <c r="BB69" s="267"/>
      <c r="BC69" s="267"/>
      <c r="BD69" s="267"/>
      <c r="BE69" s="267"/>
      <c r="BF69" s="267"/>
      <c r="BS69" s="216"/>
      <c r="BT69" s="216"/>
      <c r="BU69" s="216"/>
      <c r="BV69" s="216"/>
      <c r="BW69" s="216"/>
      <c r="BX69" s="216"/>
      <c r="BY69" s="216"/>
      <c r="BZ69" s="216"/>
      <c r="CA69" s="216"/>
      <c r="CB69" s="216"/>
      <c r="CC69" s="216"/>
      <c r="CD69" s="216"/>
      <c r="CE69" s="216"/>
      <c r="CF69" s="216"/>
      <c r="CG69" s="216"/>
      <c r="CH69" s="216"/>
      <c r="CI69" s="216"/>
      <c r="CJ69" s="216"/>
      <c r="CK69" s="216"/>
      <c r="CL69" s="216"/>
      <c r="CM69" s="216"/>
      <c r="CN69" s="216"/>
      <c r="CO69" s="256"/>
    </row>
    <row r="70" ht="18">
      <c r="A70" s="266"/>
      <c r="B70" s="267"/>
      <c r="C70" s="267"/>
      <c r="D70" s="267"/>
      <c r="E70" s="267"/>
      <c r="F70" s="267"/>
      <c r="G70" s="267"/>
      <c r="H70" s="267"/>
      <c r="I70" s="267"/>
      <c r="J70" s="267"/>
      <c r="K70" s="267"/>
      <c r="X70" s="290"/>
      <c r="Y70" s="290"/>
      <c r="Z70" s="290"/>
      <c r="AA70" s="290"/>
      <c r="AB70" s="290"/>
      <c r="AC70" s="290"/>
      <c r="AD70" s="290"/>
      <c r="AE70" s="290"/>
      <c r="AF70" s="290"/>
      <c r="AG70" s="290"/>
      <c r="AH70" s="290"/>
      <c r="AI70" s="290"/>
      <c r="AJ70" s="290"/>
      <c r="AK70" s="290"/>
      <c r="AL70" s="290"/>
      <c r="AM70" s="290"/>
      <c r="AN70" s="216"/>
      <c r="AO70" s="216"/>
      <c r="AP70" s="216"/>
      <c r="AQ70" s="216"/>
      <c r="AR70" s="216"/>
      <c r="AS70" s="216"/>
      <c r="AT70" s="256"/>
      <c r="AU70" s="216"/>
      <c r="AV70" s="4"/>
      <c r="BS70" s="216"/>
      <c r="BT70" s="216"/>
      <c r="BU70" s="216"/>
      <c r="BV70" s="216"/>
      <c r="BW70" s="216"/>
      <c r="BX70" s="216"/>
      <c r="BY70" s="216"/>
      <c r="BZ70" s="216"/>
      <c r="CA70" s="216"/>
      <c r="CB70" s="216"/>
      <c r="CC70" s="216"/>
      <c r="CD70" s="216"/>
      <c r="CE70" s="216"/>
      <c r="CF70" s="216"/>
      <c r="CG70" s="216"/>
      <c r="CH70" s="216"/>
      <c r="CI70" s="216"/>
      <c r="CJ70" s="216"/>
      <c r="CK70" s="216"/>
      <c r="CL70" s="216"/>
      <c r="CM70" s="216"/>
      <c r="CN70" s="216"/>
      <c r="CO70" s="256"/>
    </row>
    <row r="71" ht="18">
      <c r="A71" s="200"/>
      <c r="X71" s="216"/>
      <c r="Y71" s="216"/>
      <c r="Z71" s="216"/>
      <c r="AA71" s="216"/>
      <c r="AB71" s="216"/>
      <c r="AC71" s="216"/>
      <c r="AD71" s="216"/>
      <c r="AE71" s="216"/>
      <c r="AF71" s="216"/>
      <c r="AG71" s="216"/>
      <c r="AH71" s="216"/>
      <c r="AI71" s="216"/>
      <c r="AJ71" s="216"/>
      <c r="AK71" s="216"/>
      <c r="AL71" s="216"/>
      <c r="AM71" s="216"/>
      <c r="AN71" s="216"/>
      <c r="AO71" s="216"/>
      <c r="AP71" s="216"/>
      <c r="AQ71" s="216"/>
      <c r="AR71" s="216"/>
      <c r="AS71" s="216"/>
      <c r="AT71" s="256"/>
      <c r="AU71" s="216"/>
      <c r="AV71" s="4"/>
      <c r="BG71" s="880" t="s">
        <v>0</v>
      </c>
      <c r="BH71" s="880"/>
      <c r="BI71" s="880"/>
      <c r="BJ71" s="301" t="s">
        <v>1</v>
      </c>
      <c r="BK71" s="301" t="s">
        <v>2</v>
      </c>
      <c r="BL71" s="302" t="s">
        <v>3</v>
      </c>
      <c r="BM71" s="306" t="s">
        <v>4</v>
      </c>
      <c r="BN71" s="306" t="s">
        <v>5</v>
      </c>
      <c r="BO71" s="306" t="s">
        <v>6</v>
      </c>
      <c r="BP71" s="306" t="s">
        <v>7</v>
      </c>
      <c r="BQ71" s="306" t="s">
        <v>8</v>
      </c>
      <c r="BR71" s="226"/>
      <c r="BS71" s="290"/>
      <c r="BT71" s="290"/>
      <c r="BU71" s="290"/>
      <c r="BV71" s="290"/>
      <c r="BW71" s="290"/>
      <c r="BX71" s="290"/>
      <c r="BY71" s="290"/>
      <c r="BZ71" s="290"/>
      <c r="CA71" s="290"/>
      <c r="CB71" s="290"/>
      <c r="CC71" s="290"/>
      <c r="CD71" s="290"/>
      <c r="CE71" s="290"/>
      <c r="CF71" s="290"/>
      <c r="CG71" s="290"/>
      <c r="CH71" s="290"/>
      <c r="CI71" s="290"/>
      <c r="CJ71" s="290"/>
      <c r="CK71" s="290"/>
      <c r="CL71" s="290"/>
      <c r="CM71" s="290"/>
      <c r="CN71" s="290"/>
      <c r="CO71" s="295"/>
    </row>
    <row r="72" ht="21">
      <c r="A72" s="200"/>
      <c r="L72" s="880" t="s">
        <v>0</v>
      </c>
      <c r="M72" s="880"/>
      <c r="N72" s="880"/>
      <c r="O72" s="276" t="s">
        <v>1</v>
      </c>
      <c r="P72" s="276" t="s">
        <v>2</v>
      </c>
      <c r="Q72" s="289" t="s">
        <v>3</v>
      </c>
      <c r="R72" s="225" t="s">
        <v>4</v>
      </c>
      <c r="S72" s="225" t="s">
        <v>5</v>
      </c>
      <c r="T72" s="225" t="s">
        <v>6</v>
      </c>
      <c r="U72" s="225" t="s">
        <v>7</v>
      </c>
      <c r="V72" s="225" t="s">
        <v>8</v>
      </c>
      <c r="W72" s="226"/>
      <c r="X72" s="216"/>
      <c r="Y72" s="216"/>
      <c r="Z72" s="216"/>
      <c r="AA72" s="216"/>
      <c r="AB72" s="216"/>
      <c r="AC72" s="216"/>
      <c r="AD72" s="216"/>
      <c r="AE72" s="216"/>
      <c r="AF72" s="216"/>
      <c r="AG72" s="216"/>
      <c r="AH72" s="216"/>
      <c r="AI72" s="216"/>
      <c r="AJ72" s="216"/>
      <c r="AK72" s="216"/>
      <c r="AL72" s="216"/>
      <c r="AM72" s="216"/>
      <c r="AN72" s="216"/>
      <c r="AO72" s="216"/>
      <c r="AP72" s="216"/>
      <c r="AQ72" s="216"/>
      <c r="AR72" s="216"/>
      <c r="AS72" s="216"/>
      <c r="AT72" s="256"/>
      <c r="AU72" s="216"/>
      <c r="AV72" s="268" t="s">
        <v>332</v>
      </c>
      <c r="AW72" s="269">
        <f>(BA72*AY72)/10000</f>
        <v>20</v>
      </c>
      <c r="AX72" s="270" t="s">
        <v>164</v>
      </c>
      <c r="AY72" s="271">
        <f>تسعير!BE54</f>
        <v>400</v>
      </c>
      <c r="AZ72" s="270" t="s">
        <v>125</v>
      </c>
      <c r="BA72" s="271">
        <f>تسعير!BE53</f>
        <v>500</v>
      </c>
      <c r="BC72" s="167"/>
      <c r="BD72" s="167" t="str">
        <f>تسعير!BE52</f>
        <v>بالتات</v>
      </c>
      <c r="BE72" s="167"/>
      <c r="BG72" s="892"/>
      <c r="BH72" s="892"/>
      <c r="BI72" s="892"/>
      <c r="BJ72" s="303"/>
      <c r="BK72" s="303"/>
      <c r="BL72" s="304">
        <f>BJ72*BK72</f>
        <v>0</v>
      </c>
      <c r="BM72" s="307" t="e">
        <f>BM139/BL72</f>
        <v>#DIV/0!</v>
      </c>
      <c r="BN72" s="247">
        <f>Sheet2!AW90</f>
        <v>0</v>
      </c>
      <c r="BO72" s="247">
        <f>Sheet2!AW91</f>
        <v>0</v>
      </c>
      <c r="BP72" s="247">
        <f>Sheet2!AW92</f>
        <v>0</v>
      </c>
      <c r="BQ72" s="247">
        <f>Sheet2!AW93</f>
        <v>0</v>
      </c>
      <c r="BR72" s="233"/>
      <c r="BS72" s="216"/>
      <c r="BT72" s="216"/>
      <c r="BU72" s="216"/>
      <c r="BV72" s="216"/>
      <c r="BW72" s="216"/>
      <c r="BX72" s="216"/>
      <c r="BY72" s="216"/>
      <c r="BZ72" s="216"/>
      <c r="CA72" s="216"/>
      <c r="CB72" s="216"/>
      <c r="CC72" s="216"/>
      <c r="CD72" s="216"/>
      <c r="CE72" s="216"/>
      <c r="CF72" s="216"/>
      <c r="CG72" s="216"/>
      <c r="CH72" s="216"/>
      <c r="CI72" s="216"/>
      <c r="CJ72" s="216"/>
      <c r="CK72" s="216"/>
      <c r="CL72" s="216"/>
      <c r="CM72" s="216"/>
      <c r="CN72" s="216"/>
      <c r="CO72" s="256"/>
    </row>
    <row r="73" ht="21">
      <c r="A73" s="200"/>
      <c r="L73" s="892"/>
      <c r="M73" s="892"/>
      <c r="N73" s="892"/>
      <c r="O73" s="277"/>
      <c r="P73" s="277"/>
      <c r="Q73" s="291">
        <f>O73*P73</f>
        <v>0</v>
      </c>
      <c r="R73" s="292" t="e">
        <f>R140/Q73</f>
        <v>#DIV/0!</v>
      </c>
      <c r="S73" s="293">
        <f>Sheet2!B12</f>
        <v>45000</v>
      </c>
      <c r="T73" s="293">
        <f>Sheet2!B13</f>
        <v>50000</v>
      </c>
      <c r="U73" s="293">
        <f>Sheet2!B14</f>
        <v>252000</v>
      </c>
      <c r="V73" s="293">
        <f>Sheet2!B15</f>
        <v>70000</v>
      </c>
      <c r="W73" s="233"/>
      <c r="X73" s="216"/>
      <c r="Y73" s="216"/>
      <c r="Z73" s="216"/>
      <c r="AA73" s="216"/>
      <c r="AB73" s="216"/>
      <c r="AC73" s="216"/>
      <c r="AD73" s="216"/>
      <c r="AE73" s="216"/>
      <c r="AF73" s="216"/>
      <c r="AG73" s="216"/>
      <c r="AH73" s="216"/>
      <c r="AI73" s="216"/>
      <c r="AJ73" s="216"/>
      <c r="AK73" s="216"/>
      <c r="AL73" s="216"/>
      <c r="AM73" s="216"/>
      <c r="AN73" s="207"/>
      <c r="AO73" s="207"/>
      <c r="AP73" s="207"/>
      <c r="AQ73" s="207"/>
      <c r="AR73" s="207"/>
      <c r="AS73" s="207"/>
      <c r="AT73" s="255"/>
      <c r="AU73" s="216"/>
      <c r="AV73" s="193" t="s">
        <v>9</v>
      </c>
      <c r="AW73" s="194" t="s">
        <v>28</v>
      </c>
      <c r="AX73" s="194" t="s">
        <v>295</v>
      </c>
      <c r="AY73" s="194" t="s">
        <v>30</v>
      </c>
      <c r="AZ73" s="194" t="s">
        <v>296</v>
      </c>
      <c r="BA73" s="194" t="s">
        <v>297</v>
      </c>
      <c r="BB73" s="167"/>
      <c r="BC73" s="198" t="s">
        <v>298</v>
      </c>
      <c r="BD73" s="198"/>
      <c r="BE73" s="198" t="s">
        <v>299</v>
      </c>
      <c r="BF73" s="167"/>
      <c r="BG73" s="894" t="s">
        <v>17</v>
      </c>
      <c r="BH73" s="894"/>
      <c r="BI73" s="305" t="str">
        <f>IF(AND((BD72="بالتات"),(AY72&lt;=300),(BA72&lt;=300)),"A11",IF(AND((BD72="بالتات"),(AY72&lt;=300),(BA72&gt;300)),"A12",IF(AND((BD72="بالتات"),(AY72&gt;300),(AY72&lt;=400),(BA72&lt;=300)),"A21",IF(AND((BD72="بالتات"),(AY72&gt;300),(AY72&lt;=400),(BA72&gt;300)),"A22",IF(AND((BD72="بالتات"),(AY72&gt;400),(BA72&lt;=300)),"A31",IF(AND((BD72="بالتات"),(AY72&gt;400),(BA72&gt;300)),"A32",IF(AND((BD72="قواعد عادية"),(AY72&lt;=300),(BA72&lt;=300)),"B11",IF(AND((BD72="قواعد عادية"),(AY72&lt;=300),(BA72&gt;300)),"B12",IF(AND((BD72="قواعد عادية"),(AY72&gt;300),(AY72&lt;=400),(BA72&lt;=300)),"B21",IF(AND((BD72="قواعد عادية"),(AY72&gt;300),(AY72&lt;=400),(BA72&gt;300)),"B22",IF(AND((BD72="قواعد عادية"),(AY72&gt;400),(BA72&lt;=300)),"B31",IF(AND((BD72="قواعد عادية"),(AY72&gt;400),(BA72&gt;300)),"B32",0))))))))))))</f>
        <v>A22</v>
      </c>
      <c r="BJ73" s="207"/>
      <c r="BK73" s="207"/>
      <c r="BL73" s="294" t="s">
        <v>18</v>
      </c>
      <c r="BM73" s="889">
        <f>NOW()</f>
        <v>46132.450658958332</v>
      </c>
      <c r="BN73" s="889"/>
      <c r="BO73" s="889"/>
      <c r="BP73" s="235"/>
      <c r="BQ73" s="235"/>
      <c r="BR73" s="235"/>
      <c r="BS73" s="216"/>
      <c r="BT73" s="216"/>
      <c r="BU73" s="216"/>
      <c r="BV73" s="216"/>
      <c r="BW73" s="216"/>
      <c r="BX73" s="216"/>
      <c r="BY73" s="216"/>
      <c r="BZ73" s="216"/>
      <c r="CA73" s="216"/>
      <c r="CB73" s="216"/>
      <c r="CC73" s="216"/>
      <c r="CD73" s="216"/>
      <c r="CE73" s="216"/>
      <c r="CF73" s="216"/>
      <c r="CG73" s="216"/>
      <c r="CH73" s="216"/>
      <c r="CI73" s="216"/>
      <c r="CJ73" s="216"/>
      <c r="CK73" s="216"/>
      <c r="CL73" s="216"/>
      <c r="CM73" s="216"/>
      <c r="CN73" s="216"/>
      <c r="CO73" s="256"/>
    </row>
    <row r="74" ht="21">
      <c r="A74" s="532" t="s">
        <v>292</v>
      </c>
      <c r="B74" s="533">
        <f>(F74*D74)/10000</f>
        <v>8.64</v>
      </c>
      <c r="C74" s="534" t="s">
        <v>164</v>
      </c>
      <c r="D74" s="535">
        <f>تسعير!BE34</f>
        <v>270</v>
      </c>
      <c r="E74" s="534" t="s">
        <v>125</v>
      </c>
      <c r="F74" s="535">
        <f>تسعير!BE33</f>
        <v>320</v>
      </c>
      <c r="G74" s="534" t="s">
        <v>293</v>
      </c>
      <c r="H74" s="535" t="str">
        <f>تسعير!BE26</f>
        <v>سادة</v>
      </c>
      <c r="I74" s="549" t="str">
        <f>تسعير!BE32</f>
        <v>قواعد عادية</v>
      </c>
      <c r="J74" s="536"/>
      <c r="K74" s="167"/>
      <c r="L74" s="893" t="s">
        <v>17</v>
      </c>
      <c r="M74" s="893"/>
      <c r="N74" s="278" t="str">
        <f>IF(AND((I74="بالتات"),(D74&lt;=300),(F74&lt;=300)),"A11",IF(AND((I74="بالتات"),(D74&lt;=300),(F74&gt;300)),"A12",IF(AND((I74="بالتات"),(D74&gt;300),(D74&lt;=400),(F74&lt;=300)),"A21",IF(AND((I74="بالتات"),(D74&gt;300),(D74&lt;=400),(F74&gt;300)),"A22",IF(AND((I74="بالتات"),(D74&gt;400),(F74&lt;=300)),"A31",IF(AND((I74="بالتات"),(D74&gt;400),(F74&gt;300)),"A32",IF(AND((I74="قواعد عادية"),(D74&lt;=300),(F74&lt;=300)),"B11",IF(AND((I74="قواعد عادية"),(D74&lt;=300),(F74&gt;300)),"B12",IF(AND((I74="قواعد عادية"),(D74&gt;300),(D74&lt;=400),(F74&lt;=300)),"B21",IF(AND((I74="قواعد عادية"),(D74&gt;300),(D74&lt;=400),(F74&gt;300)),"B22",IF(AND((I74="قواعد عادية"),(D74&gt;400),(F74&lt;=300)),"B31",IF(AND((I74="قواعد عادية"),(D74&gt;400),(F74&gt;300)),"B32",0))))))))))))</f>
        <v>B12</v>
      </c>
      <c r="O74" s="207"/>
      <c r="P74" s="207"/>
      <c r="Q74" s="294" t="s">
        <v>18</v>
      </c>
      <c r="R74" s="889">
        <f>NOW()</f>
        <v>46132.450658958332</v>
      </c>
      <c r="S74" s="889"/>
      <c r="T74" s="889"/>
      <c r="U74" s="235"/>
      <c r="V74" s="235"/>
      <c r="W74" s="235"/>
      <c r="X74" s="207"/>
      <c r="Y74" s="207" t="s">
        <v>9</v>
      </c>
      <c r="Z74" s="207" t="s">
        <v>10</v>
      </c>
      <c r="AA74" s="207" t="s">
        <v>11</v>
      </c>
      <c r="AB74" s="207" t="s">
        <v>12</v>
      </c>
      <c r="AC74" s="207" t="s">
        <v>13</v>
      </c>
      <c r="AD74" s="207" t="s">
        <v>14</v>
      </c>
      <c r="AE74" s="207" t="s">
        <v>15</v>
      </c>
      <c r="AF74" s="207"/>
      <c r="AG74" s="207"/>
      <c r="AH74" s="207"/>
      <c r="AI74" s="207"/>
      <c r="AJ74" s="207"/>
      <c r="AK74" s="207"/>
      <c r="AL74" s="207"/>
      <c r="AM74" s="207"/>
      <c r="AN74" s="207"/>
      <c r="AO74" s="207"/>
      <c r="AP74" s="207"/>
      <c r="AQ74" s="207"/>
      <c r="AR74" s="207"/>
      <c r="AS74" s="207"/>
      <c r="AT74" s="255"/>
      <c r="AU74" s="216"/>
      <c r="AV74" s="193" t="s">
        <v>300</v>
      </c>
      <c r="AW74" s="196">
        <f>ROUNDUP((12+((ROUNDUP((AY72-210),18))/18)),0)</f>
        <v>23</v>
      </c>
      <c r="AX74" s="197">
        <f>BA72-16.5</f>
        <v>483.5</v>
      </c>
      <c r="AY74" s="194" t="s">
        <v>301</v>
      </c>
      <c r="AZ74" s="194">
        <v>2</v>
      </c>
      <c r="BA74" s="194">
        <f>IF((تسعير!$BE$46="سادة"),(BE74*BC74*AZ74*(Sheet2!$B$14+(Sheet2!B41*1000))/1000),(BE74*BC74*AZ74*(Sheet2!$B$14+Sheet2!$B$15)/1000))</f>
        <v>74060</v>
      </c>
      <c r="BC74" s="198">
        <f>CEILING(Table80102113[[#This Row],[طول]]/100,0.5)</f>
        <v>5</v>
      </c>
      <c r="BD74" s="298">
        <f>(BC74*100)/AX74</f>
        <v>1.0341261633919339</v>
      </c>
      <c r="BE74" s="185">
        <f>AW74/(ROUNDDOWN(BD74,0))</f>
        <v>23</v>
      </c>
      <c r="BG74" s="208"/>
      <c r="BH74" s="208"/>
      <c r="BI74" s="209"/>
      <c r="BJ74" s="885" t="s">
        <v>20</v>
      </c>
      <c r="BK74" s="885"/>
      <c r="BL74" s="885"/>
      <c r="BM74" s="885"/>
      <c r="BN74" s="885"/>
      <c r="BO74" s="885"/>
      <c r="BP74" s="236"/>
      <c r="BQ74" s="236"/>
      <c r="BR74" s="236"/>
      <c r="BS74" s="216"/>
      <c r="BT74" s="216"/>
      <c r="BU74" s="216"/>
      <c r="BV74" s="216"/>
      <c r="BW74" s="216"/>
      <c r="BX74" s="216"/>
      <c r="BY74" s="216"/>
      <c r="BZ74" s="216"/>
      <c r="CA74" s="216"/>
      <c r="CB74" s="216"/>
      <c r="CC74" s="216"/>
      <c r="CD74" s="216"/>
      <c r="CE74" s="216"/>
      <c r="CF74" s="216"/>
      <c r="CG74" s="216"/>
      <c r="CH74" s="216"/>
      <c r="CI74" s="216"/>
      <c r="CJ74" s="216"/>
      <c r="CK74" s="216"/>
      <c r="CL74" s="216"/>
      <c r="CM74" s="216"/>
      <c r="CN74" s="216"/>
      <c r="CO74" s="256"/>
    </row>
    <row r="75" ht="18">
      <c r="A75" s="537" t="s">
        <v>9</v>
      </c>
      <c r="B75" s="538" t="s">
        <v>28</v>
      </c>
      <c r="C75" s="538" t="s">
        <v>295</v>
      </c>
      <c r="D75" s="538" t="s">
        <v>30</v>
      </c>
      <c r="E75" s="538" t="s">
        <v>296</v>
      </c>
      <c r="F75" s="538" t="s">
        <v>297</v>
      </c>
      <c r="G75" s="528"/>
      <c r="H75" s="539" t="s">
        <v>298</v>
      </c>
      <c r="I75" s="539"/>
      <c r="J75" s="539" t="s">
        <v>299</v>
      </c>
      <c r="L75" s="208"/>
      <c r="M75" s="208"/>
      <c r="N75" s="209"/>
      <c r="O75" s="885" t="s">
        <v>20</v>
      </c>
      <c r="P75" s="885"/>
      <c r="Q75" s="885"/>
      <c r="R75" s="885"/>
      <c r="S75" s="885"/>
      <c r="T75" s="885"/>
      <c r="U75" s="236"/>
      <c r="V75" s="236"/>
      <c r="W75" s="236"/>
      <c r="X75" s="207"/>
      <c r="Y75" s="216" t="s">
        <v>16</v>
      </c>
      <c r="Z75" s="216">
        <v>0</v>
      </c>
      <c r="AA75" s="216">
        <v>0</v>
      </c>
      <c r="AB75" s="216">
        <v>0</v>
      </c>
      <c r="AC75" s="216">
        <v>1000</v>
      </c>
      <c r="AD75" s="216">
        <v>2000</v>
      </c>
      <c r="AE75" s="216">
        <v>0</v>
      </c>
      <c r="AF75" s="207"/>
      <c r="AG75" s="207"/>
      <c r="AH75" s="207"/>
      <c r="AI75" s="207"/>
      <c r="AJ75" s="207"/>
      <c r="AK75" s="207"/>
      <c r="AL75" s="207"/>
      <c r="AM75" s="207"/>
      <c r="AN75" s="207"/>
      <c r="AO75" s="207"/>
      <c r="AP75" s="207"/>
      <c r="AQ75" s="207"/>
      <c r="AR75" s="207"/>
      <c r="AS75" s="207"/>
      <c r="AT75" s="255"/>
      <c r="AU75" s="216"/>
      <c r="AV75" s="193" t="s">
        <v>302</v>
      </c>
      <c r="AW75" s="194">
        <v>2</v>
      </c>
      <c r="AX75" s="196">
        <f>BA72</f>
        <v>500</v>
      </c>
      <c r="AY75" s="194" t="s">
        <v>301</v>
      </c>
      <c r="AZ75" s="194">
        <v>1.7</v>
      </c>
      <c r="BA75" s="194">
        <f>IF((تسعير!$BE$46="سادة"),(BE75*BC75*AZ75*(Sheet2!$B$14+(Sheet2!B41*1000))/1000),(BE75*BC75*AZ75*(Sheet2!$B$14+Sheet2!$B$15)/1000))</f>
        <v>5474</v>
      </c>
      <c r="BC75" s="198">
        <f>CEILING(Table80102113[[#This Row],[طول]]/100,0.5)</f>
        <v>5</v>
      </c>
      <c r="BD75" s="298">
        <f>(BC75*100)/AX75</f>
        <v>1</v>
      </c>
      <c r="BE75" s="185">
        <f>AW75/(ROUNDDOWN(BD75,0))</f>
        <v>2</v>
      </c>
      <c r="BG75" s="208" t="s">
        <v>27</v>
      </c>
      <c r="BH75" s="208" t="s">
        <v>28</v>
      </c>
      <c r="BI75" s="210" t="s">
        <v>29</v>
      </c>
      <c r="BJ75" s="208" t="s">
        <v>30</v>
      </c>
      <c r="BK75" s="208" t="s">
        <v>9</v>
      </c>
      <c r="BL75" s="208" t="s">
        <v>31</v>
      </c>
      <c r="BM75" s="237" t="s">
        <v>32</v>
      </c>
      <c r="BN75" s="237" t="s">
        <v>33</v>
      </c>
      <c r="BO75" s="237" t="s">
        <v>305</v>
      </c>
      <c r="BP75" s="237" t="s">
        <v>35</v>
      </c>
      <c r="BQ75" s="238" t="s">
        <v>36</v>
      </c>
      <c r="BR75" s="237" t="s">
        <v>37</v>
      </c>
      <c r="BS75" s="207"/>
      <c r="BT75" s="207" t="s">
        <v>9</v>
      </c>
      <c r="BU75" s="207" t="s">
        <v>10</v>
      </c>
      <c r="BV75" s="207" t="s">
        <v>11</v>
      </c>
      <c r="BW75" s="207" t="s">
        <v>12</v>
      </c>
      <c r="BX75" s="207" t="s">
        <v>13</v>
      </c>
      <c r="BY75" s="207" t="s">
        <v>14</v>
      </c>
      <c r="BZ75" s="207" t="s">
        <v>15</v>
      </c>
      <c r="CA75" s="207"/>
      <c r="CB75" s="207"/>
      <c r="CC75" s="207"/>
      <c r="CD75" s="207"/>
      <c r="CE75" s="207"/>
      <c r="CF75" s="207"/>
      <c r="CG75" s="207"/>
      <c r="CH75" s="207"/>
      <c r="CI75" s="207"/>
      <c r="CJ75" s="207"/>
      <c r="CK75" s="207"/>
      <c r="CL75" s="207"/>
      <c r="CM75" s="207"/>
      <c r="CN75" s="207"/>
      <c r="CO75" s="255"/>
    </row>
    <row r="76" ht="18">
      <c r="A76" s="537" t="s">
        <v>300</v>
      </c>
      <c r="B76" s="540">
        <f>ROUNDUP((12+((ROUNDUP((D74-210),15))/15)),0)</f>
        <v>16</v>
      </c>
      <c r="C76" s="541">
        <f>F74-16.5</f>
        <v>303.5</v>
      </c>
      <c r="D76" s="538" t="s">
        <v>301</v>
      </c>
      <c r="E76" s="538">
        <v>2.3</v>
      </c>
      <c r="F76" s="538">
        <f>IF(($H$74="سادة"),(J76*H76*E76*($U$73+(Sheet2!B41*1000))/1000),(J76*H76*E76*($U$73+(Sheet2!B15))/1000))</f>
        <v>36321.599999999991</v>
      </c>
      <c r="G76" s="528"/>
      <c r="H76" s="539">
        <f>CEILING(Table80102114115[[#This Row],[طول]]/100,0.5)</f>
        <v>3.5</v>
      </c>
      <c r="I76" s="279">
        <f ref="I76:I81" t="shared" si="19">(H76*100)/C76</f>
        <v>1.1532125205930808</v>
      </c>
      <c r="J76" s="542">
        <f ref="J76:J81" t="shared" si="20">B76/(ROUNDDOWN(I76,0))</f>
        <v>16</v>
      </c>
      <c r="L76" s="208" t="s">
        <v>27</v>
      </c>
      <c r="M76" s="208" t="s">
        <v>28</v>
      </c>
      <c r="N76" s="210" t="s">
        <v>29</v>
      </c>
      <c r="O76" s="208" t="s">
        <v>30</v>
      </c>
      <c r="P76" s="208" t="s">
        <v>9</v>
      </c>
      <c r="Q76" s="208" t="s">
        <v>31</v>
      </c>
      <c r="R76" s="237" t="s">
        <v>32</v>
      </c>
      <c r="S76" s="237" t="s">
        <v>33</v>
      </c>
      <c r="T76" s="237" t="s">
        <v>305</v>
      </c>
      <c r="U76" s="237" t="s">
        <v>35</v>
      </c>
      <c r="V76" s="238" t="s">
        <v>36</v>
      </c>
      <c r="W76" s="237" t="s">
        <v>37</v>
      </c>
      <c r="X76" s="207"/>
      <c r="Y76" s="216" t="s">
        <v>19</v>
      </c>
      <c r="Z76" s="216">
        <v>180</v>
      </c>
      <c r="AA76" s="216">
        <v>300</v>
      </c>
      <c r="AB76" s="216">
        <v>125</v>
      </c>
      <c r="AC76" s="216">
        <v>3000</v>
      </c>
      <c r="AD76" s="216">
        <v>5000</v>
      </c>
      <c r="AE76" s="216">
        <v>1000</v>
      </c>
      <c r="AF76" s="207"/>
      <c r="AG76" s="207"/>
      <c r="AH76" s="207"/>
      <c r="AI76" s="207"/>
      <c r="AJ76" s="207"/>
      <c r="AK76" s="207"/>
      <c r="AL76" s="207"/>
      <c r="AM76" s="207"/>
      <c r="AN76" s="207"/>
      <c r="AO76" s="207" t="s">
        <v>9</v>
      </c>
      <c r="AP76" s="207" t="s">
        <v>30</v>
      </c>
      <c r="AQ76" s="207" t="s">
        <v>96</v>
      </c>
      <c r="AR76" s="207" t="s">
        <v>26</v>
      </c>
      <c r="AS76" s="207" t="s">
        <v>171</v>
      </c>
      <c r="AT76" s="255"/>
      <c r="AU76" s="216"/>
      <c r="AV76" s="193" t="s">
        <v>304</v>
      </c>
      <c r="AW76" s="194">
        <v>2</v>
      </c>
      <c r="AX76" s="196">
        <f>AY72</f>
        <v>400</v>
      </c>
      <c r="AY76" s="194" t="s">
        <v>301</v>
      </c>
      <c r="AZ76" s="194">
        <v>1.7</v>
      </c>
      <c r="BA76" s="194">
        <f>IF((تسعير!$BE$46="سادة"),(BE76*BC76*AZ76*(Sheet2!$B$14+(Sheet2!B41*1000))/1000),(BE76*BC76*AZ76*(Sheet2!$B$14+Sheet2!$B$15)/1000))</f>
        <v>4379.2</v>
      </c>
      <c r="BB76" s="187"/>
      <c r="BC76" s="198">
        <f>CEILING(Table80102113[[#This Row],[طول]]/100,0.5)</f>
        <v>4</v>
      </c>
      <c r="BD76" s="298">
        <f>(BC76*100)/AX76</f>
        <v>1</v>
      </c>
      <c r="BE76" s="185">
        <f>AW76/(ROUNDDOWN(BD76,0))</f>
        <v>2</v>
      </c>
      <c r="BF76" s="187"/>
      <c r="BG76" s="211">
        <v>1</v>
      </c>
      <c r="BH76" s="212">
        <f>IF(OR((BI73="a11"),(BI73="a112"),(BI73="a21"),(BI73="a22"),(BI73="a31"),(BI73="a32")),2,4)</f>
        <v>2</v>
      </c>
      <c r="BI76" s="213" t="s">
        <v>309</v>
      </c>
      <c r="BJ76" s="214">
        <v>0.15</v>
      </c>
      <c r="BK76" s="214">
        <v>0.15</v>
      </c>
      <c r="BL76" s="211">
        <f>(Table15880101112[[#This Row],[Column1]]+Table15880101112[[#This Row],[Column2]])*12*Table15880101112[[#This Row],[عدد]]</f>
        <v>7.1999999999999993</v>
      </c>
      <c r="BM76" s="211"/>
      <c r="BN76" s="211">
        <v>84</v>
      </c>
      <c r="BO76" s="211">
        <f>Table15880101112[[#This Row],[المسطح]]*Table15880101112[[#This Row],[عدد]]</f>
        <v>14.399999999999999</v>
      </c>
      <c r="BP76" s="239">
        <f>BN76*$S$2/1000</f>
        <v>3780</v>
      </c>
      <c r="BQ76" s="240">
        <f>BH76*BP76</f>
        <v>7560</v>
      </c>
      <c r="BR76" s="241">
        <f>(BQ76)/$R$68</f>
        <v>0.028989703095206824</v>
      </c>
      <c r="BS76" s="207"/>
      <c r="BT76" s="216" t="s">
        <v>16</v>
      </c>
      <c r="BU76" s="216">
        <v>0</v>
      </c>
      <c r="BV76" s="216">
        <v>0</v>
      </c>
      <c r="BW76" s="216">
        <v>0</v>
      </c>
      <c r="BX76" s="216">
        <v>1000</v>
      </c>
      <c r="BY76" s="216">
        <v>2000</v>
      </c>
      <c r="BZ76" s="216">
        <v>0</v>
      </c>
      <c r="CA76" s="207"/>
      <c r="CB76" s="207"/>
      <c r="CC76" s="207"/>
      <c r="CD76" s="207"/>
      <c r="CE76" s="207"/>
      <c r="CF76" s="207"/>
      <c r="CG76" s="207"/>
      <c r="CH76" s="207"/>
      <c r="CI76" s="207"/>
      <c r="CJ76" s="207"/>
      <c r="CK76" s="207"/>
      <c r="CL76" s="207"/>
      <c r="CM76" s="207"/>
      <c r="CN76" s="207"/>
      <c r="CO76" s="255"/>
    </row>
    <row r="77" ht="18">
      <c r="A77" s="537" t="s">
        <v>302</v>
      </c>
      <c r="B77" s="538">
        <v>2</v>
      </c>
      <c r="C77" s="540">
        <f>F74</f>
        <v>320</v>
      </c>
      <c r="D77" s="538" t="s">
        <v>301</v>
      </c>
      <c r="E77" s="538">
        <v>3.8</v>
      </c>
      <c r="F77" s="538">
        <f>IF(($H$74="سادة"),(J77*H77*E77*($U$73+(Sheet2!B41*1000))/1000),(J77*H77*E77*($U$73+(Sheet2!B15))/1000))</f>
        <v>7501.1999999999989</v>
      </c>
      <c r="G77" s="543"/>
      <c r="H77" s="539">
        <f>CEILING(Table80102114115[[#This Row],[طول]]/100,0.5)</f>
        <v>3.5</v>
      </c>
      <c r="I77" s="279">
        <f t="shared" si="19"/>
        <v>1.09375</v>
      </c>
      <c r="J77" s="542">
        <f t="shared" si="20"/>
        <v>2</v>
      </c>
      <c r="K77" s="187"/>
      <c r="L77" s="211">
        <v>1</v>
      </c>
      <c r="M77" s="212">
        <f>IF(OR((N74="a11"),(N74="a112"),(N74="a21"),(N74="a22"),(N74="a31"),(N74="a32")),2,4)</f>
        <v>4</v>
      </c>
      <c r="N77" s="213" t="s">
        <v>309</v>
      </c>
      <c r="O77" s="214">
        <v>0.15</v>
      </c>
      <c r="P77" s="214">
        <v>0.15</v>
      </c>
      <c r="Q77" s="211">
        <f>(Table15880101[[#This Row],[Column1]]+Table15880101[[#This Row],[Column2]])*12*Table15880101[[#This Row],[عدد]]</f>
        <v>14.399999999999999</v>
      </c>
      <c r="R77" s="211"/>
      <c r="S77" s="211">
        <v>84</v>
      </c>
      <c r="T77" s="211">
        <f>Table15880101[[#This Row],[المسطح]]*Table15880101[[#This Row],[عدد]]</f>
        <v>57.599999999999994</v>
      </c>
      <c r="U77" s="239">
        <f>S77*$S$2/1000</f>
        <v>3780</v>
      </c>
      <c r="V77" s="240">
        <f>M77*U77</f>
        <v>15120</v>
      </c>
      <c r="W77" s="241">
        <f>(V77)/$R$68</f>
        <v>0.057979406190413647</v>
      </c>
      <c r="X77" s="207"/>
      <c r="Y77" s="216" t="s">
        <v>21</v>
      </c>
      <c r="Z77" s="216">
        <v>400</v>
      </c>
      <c r="AA77" s="216">
        <v>400</v>
      </c>
      <c r="AB77" s="216">
        <v>100</v>
      </c>
      <c r="AC77" s="216">
        <v>3500</v>
      </c>
      <c r="AD77" s="216">
        <v>6000</v>
      </c>
      <c r="AE77" s="216">
        <v>150</v>
      </c>
      <c r="AF77" s="207" t="s">
        <v>22</v>
      </c>
      <c r="AG77" s="207"/>
      <c r="AH77" s="207"/>
      <c r="AI77" s="207"/>
      <c r="AJ77" s="207" t="s">
        <v>23</v>
      </c>
      <c r="AK77" s="207" t="s">
        <v>24</v>
      </c>
      <c r="AL77" s="207" t="s">
        <v>25</v>
      </c>
      <c r="AM77" s="207" t="s">
        <v>26</v>
      </c>
      <c r="AN77" s="207"/>
      <c r="AO77" s="207" t="s">
        <v>173</v>
      </c>
      <c r="AP77" s="207">
        <v>0.03</v>
      </c>
      <c r="AQ77" s="207">
        <v>0.03</v>
      </c>
      <c r="AR77" s="207"/>
      <c r="AS77" s="207"/>
      <c r="AT77" s="255"/>
      <c r="AU77" s="216"/>
      <c r="AV77" s="193" t="s">
        <v>308</v>
      </c>
      <c r="AW77" s="194">
        <v>1</v>
      </c>
      <c r="AX77" s="194">
        <f>(15.6*(AW74-1)+4)</f>
        <v>347.2</v>
      </c>
      <c r="AY77" s="194" t="s">
        <v>301</v>
      </c>
      <c r="AZ77" s="194">
        <v>600</v>
      </c>
      <c r="BA77" s="194">
        <f>AZ77*AW77</f>
        <v>600</v>
      </c>
      <c r="BB77" s="187"/>
      <c r="BC77" s="195"/>
      <c r="BF77" s="187"/>
      <c r="BG77" s="211">
        <v>2</v>
      </c>
      <c r="BH77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7" s="213" t="s">
        <v>311</v>
      </c>
      <c r="BJ77" s="214">
        <v>0.05</v>
      </c>
      <c r="BK77" s="214">
        <v>0.15</v>
      </c>
      <c r="BL77" s="211">
        <f>(Table15880101112[[#This Row],[Column1]]+Table15880101112[[#This Row],[Column2]])*12*Table15880101112[[#This Row],[عدد]]</f>
        <v>9.6000000000000014</v>
      </c>
      <c r="BM77" s="211"/>
      <c r="BN77" s="211">
        <v>37</v>
      </c>
      <c r="BO77" s="211">
        <f>Table15880101112[[#This Row],[المسطح]]*Table15880101112[[#This Row],[عدد]]</f>
        <v>38.400000000000006</v>
      </c>
      <c r="BP77" s="239">
        <f>BN77*$S$2/1000</f>
        <v>1665</v>
      </c>
      <c r="BQ77" s="240">
        <f>BH77*BP77</f>
        <v>6660</v>
      </c>
      <c r="BR77" s="241">
        <f>(BQ77)/$R$68</f>
        <v>0.025538547964825058</v>
      </c>
      <c r="BS77" s="207"/>
      <c r="BT77" s="216" t="s">
        <v>19</v>
      </c>
      <c r="BU77" s="216">
        <v>180</v>
      </c>
      <c r="BV77" s="216">
        <v>300</v>
      </c>
      <c r="BW77" s="216">
        <v>125</v>
      </c>
      <c r="BX77" s="216">
        <v>3000</v>
      </c>
      <c r="BY77" s="216">
        <v>5000</v>
      </c>
      <c r="BZ77" s="216">
        <v>1000</v>
      </c>
      <c r="CA77" s="207"/>
      <c r="CB77" s="207"/>
      <c r="CC77" s="207"/>
      <c r="CD77" s="207"/>
      <c r="CE77" s="207"/>
      <c r="CF77" s="207"/>
      <c r="CG77" s="207"/>
      <c r="CH77" s="207"/>
      <c r="CI77" s="207"/>
      <c r="CJ77" s="207"/>
      <c r="CK77" s="207"/>
      <c r="CL77" s="207"/>
      <c r="CM77" s="207"/>
      <c r="CN77" s="207"/>
      <c r="CO77" s="255"/>
    </row>
    <row r="78" ht="18">
      <c r="A78" s="537" t="s">
        <v>304</v>
      </c>
      <c r="B78" s="538">
        <v>2</v>
      </c>
      <c r="C78" s="540">
        <f>D74</f>
        <v>270</v>
      </c>
      <c r="D78" s="538" t="s">
        <v>301</v>
      </c>
      <c r="E78" s="538">
        <v>3.8</v>
      </c>
      <c r="F78" s="538">
        <f>IF(($H$74="سادة"),(J78*H78*E78*($U$73+(Sheet2!B41*1000))/1000),(J78*H78*E78*($U$73+(Sheet2!B15))/1000))</f>
        <v>6429.5999999999995</v>
      </c>
      <c r="G78" s="543"/>
      <c r="H78" s="539">
        <f>CEILING(Table80102114115[[#This Row],[طول]]/100,0.5)</f>
        <v>3</v>
      </c>
      <c r="I78" s="279">
        <f t="shared" si="19"/>
        <v>1.1111111111111112</v>
      </c>
      <c r="J78" s="542">
        <f t="shared" si="20"/>
        <v>2</v>
      </c>
      <c r="K78" s="187"/>
      <c r="L78" s="211">
        <v>2</v>
      </c>
      <c r="M78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8" s="213" t="s">
        <v>311</v>
      </c>
      <c r="O78" s="214">
        <v>0.05</v>
      </c>
      <c r="P78" s="214">
        <v>0.15</v>
      </c>
      <c r="Q78" s="211">
        <f>(Table15880101[[#This Row],[Column1]]+Table15880101[[#This Row],[Column2]])*12*Table15880101[[#This Row],[عدد]]</f>
        <v>7.2000000000000011</v>
      </c>
      <c r="R78" s="211"/>
      <c r="S78" s="211">
        <v>37</v>
      </c>
      <c r="T78" s="211">
        <f>Table15880101[[#This Row],[المسطح]]*Table15880101[[#This Row],[عدد]]</f>
        <v>21.6</v>
      </c>
      <c r="U78" s="239">
        <f>S78*$S$2/1000</f>
        <v>1665</v>
      </c>
      <c r="V78" s="240">
        <f>M78*U78</f>
        <v>4995</v>
      </c>
      <c r="W78" s="241">
        <f>(V78)/$R$68</f>
        <v>0.019153910973618796</v>
      </c>
      <c r="X78" s="207"/>
      <c r="Y78" s="216" t="s">
        <v>38</v>
      </c>
      <c r="Z78" s="216">
        <v>400</v>
      </c>
      <c r="AA78" s="216">
        <v>400</v>
      </c>
      <c r="AB78" s="216">
        <v>100</v>
      </c>
      <c r="AC78" s="216">
        <v>3500</v>
      </c>
      <c r="AD78" s="216">
        <v>6000</v>
      </c>
      <c r="AE78" s="216">
        <v>150</v>
      </c>
      <c r="AF78" s="207" t="s">
        <v>39</v>
      </c>
      <c r="AG78" s="207"/>
      <c r="AH78" s="207"/>
      <c r="AI78" s="207"/>
      <c r="AJ78" s="233" t="s">
        <v>40</v>
      </c>
      <c r="AK78" s="233">
        <v>0.4</v>
      </c>
      <c r="AL78" s="237" t="s">
        <v>41</v>
      </c>
      <c r="AM78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78" s="216"/>
      <c r="AO78" s="216" t="s">
        <v>175</v>
      </c>
      <c r="AP78" s="216">
        <v>0.05</v>
      </c>
      <c r="AQ78" s="216">
        <v>0.05</v>
      </c>
      <c r="AR78" s="216"/>
      <c r="AS78" s="216"/>
      <c r="AT78" s="256"/>
      <c r="AU78" s="216"/>
      <c r="AV78" s="193" t="s">
        <v>312</v>
      </c>
      <c r="AW78" s="194"/>
      <c r="AX78" s="194">
        <f>AW74*2</f>
        <v>46</v>
      </c>
      <c r="AY78" s="194" t="s">
        <v>28</v>
      </c>
      <c r="AZ78" s="194">
        <v>17</v>
      </c>
      <c r="BA78" s="194">
        <f>AZ78*AX78</f>
        <v>782</v>
      </c>
      <c r="BB78" s="187"/>
      <c r="BC78" s="195"/>
      <c r="BF78" s="187"/>
      <c r="BG78" s="211">
        <v>3</v>
      </c>
      <c r="BH78" s="212">
        <f>IF((BI73="A11"),2,IF((BI73="A12"),3,IF((BI73="A21"),3,IF((BI73="A22"),4,IF((BI73="B11"),2,IF((BI73="B12"),3,IF((BI73="B21"),3,IF((BI73="B22"),4,IF((BI73="A31"),3,IF((BI73="A32"),4,IF((BI73="B31"),3,IF((BI73="B32"),4,0))))))))))))</f>
        <v>4</v>
      </c>
      <c r="BI78" s="213" t="s">
        <v>333</v>
      </c>
      <c r="BJ78" s="214">
        <v>0.07</v>
      </c>
      <c r="BK78" s="214">
        <v>0.07</v>
      </c>
      <c r="BL78" s="211">
        <f>(Table15880101112[[#This Row],[Column1]]+Table15880101112[[#This Row],[Column2]])*12*Table15880101112[[#This Row],[عدد]]</f>
        <v>6.7200000000000006</v>
      </c>
      <c r="BM78" s="211"/>
      <c r="BN78" s="211">
        <v>44</v>
      </c>
      <c r="BO78" s="211">
        <f>Table15880101112[[#This Row],[المسطح]]*Table15880101112[[#This Row],[عدد]]</f>
        <v>26.880000000000003</v>
      </c>
      <c r="BP78" s="239">
        <f>BN78*$S$2/1000</f>
        <v>1980</v>
      </c>
      <c r="BQ78" s="240">
        <f>BH78*BP78</f>
        <v>7920</v>
      </c>
      <c r="BR78" s="241">
        <f>(BQ78)/$R$68</f>
        <v>0.030370165147359532</v>
      </c>
      <c r="BS78" s="207"/>
      <c r="BT78" s="216" t="s">
        <v>21</v>
      </c>
      <c r="BU78" s="216">
        <v>400</v>
      </c>
      <c r="BV78" s="216">
        <v>400</v>
      </c>
      <c r="BW78" s="216">
        <v>100</v>
      </c>
      <c r="BX78" s="216">
        <v>3500</v>
      </c>
      <c r="BY78" s="216">
        <v>6000</v>
      </c>
      <c r="BZ78" s="216">
        <v>150</v>
      </c>
      <c r="CA78" s="207" t="s">
        <v>22</v>
      </c>
      <c r="CB78" s="207"/>
      <c r="CC78" s="207"/>
      <c r="CD78" s="207"/>
      <c r="CE78" s="207" t="s">
        <v>23</v>
      </c>
      <c r="CF78" s="207" t="s">
        <v>24</v>
      </c>
      <c r="CG78" s="207" t="s">
        <v>25</v>
      </c>
      <c r="CH78" s="207" t="s">
        <v>26</v>
      </c>
      <c r="CI78" s="207"/>
      <c r="CJ78" s="207" t="s">
        <v>9</v>
      </c>
      <c r="CK78" s="207" t="s">
        <v>30</v>
      </c>
      <c r="CL78" s="207" t="s">
        <v>96</v>
      </c>
      <c r="CM78" s="207" t="s">
        <v>26</v>
      </c>
      <c r="CN78" s="207" t="s">
        <v>171</v>
      </c>
      <c r="CO78" s="255"/>
    </row>
    <row r="79" ht="18">
      <c r="A79" s="537" t="s">
        <v>306</v>
      </c>
      <c r="B79" s="538">
        <v>2</v>
      </c>
      <c r="C79" s="540">
        <f>F74</f>
        <v>320</v>
      </c>
      <c r="D79" s="538" t="s">
        <v>301</v>
      </c>
      <c r="E79" s="538">
        <v>1.7</v>
      </c>
      <c r="F79" s="538">
        <f>IF(($H$74="سادة"),(J79*H79*E79*($U$73+(Sheet2!B41*1000))/1000),(J79*H79*E79*($U$73+(Sheet2!B15))/1000))</f>
        <v>3355.8</v>
      </c>
      <c r="G79" s="543"/>
      <c r="H79" s="539">
        <f>CEILING(Table80102114115[[#This Row],[طول]]/100,0.5)</f>
        <v>3.5</v>
      </c>
      <c r="I79" s="279">
        <f t="shared" si="19"/>
        <v>1.09375</v>
      </c>
      <c r="J79" s="542">
        <f t="shared" si="20"/>
        <v>2</v>
      </c>
      <c r="K79" s="187"/>
      <c r="L79" s="211">
        <v>3</v>
      </c>
      <c r="M79" s="212">
        <f>IF((N74="A11"),2,IF((N74="A12"),3,IF((N74="A21"),3,IF((N74="A22"),4,IF((N74="B11"),2,IF((N74="B12"),3,IF((N74="B21"),3,IF((N74="B22"),4,IF((N74="A31"),3,IF((N74="A32"),4,IF((N74="B31"),3,IF((N74="B32"),4,0))))))))))))</f>
        <v>3</v>
      </c>
      <c r="N79" s="213" t="s">
        <v>333</v>
      </c>
      <c r="O79" s="214">
        <v>0.07</v>
      </c>
      <c r="P79" s="214">
        <v>0.07</v>
      </c>
      <c r="Q79" s="211">
        <f>(Table15880101[[#This Row],[Column1]]+Table15880101[[#This Row],[Column2]])*12*Table15880101[[#This Row],[عدد]]</f>
        <v>5.0400000000000009</v>
      </c>
      <c r="R79" s="211"/>
      <c r="S79" s="211">
        <v>44</v>
      </c>
      <c r="T79" s="211">
        <f>Table15880101[[#This Row],[المسطح]]*Table15880101[[#This Row],[عدد]]</f>
        <v>15.120000000000003</v>
      </c>
      <c r="U79" s="239">
        <f>S79*$S$2/1000</f>
        <v>1980</v>
      </c>
      <c r="V79" s="240">
        <f>M79*U79</f>
        <v>5940</v>
      </c>
      <c r="W79" s="241">
        <f>(V79)/$R$68</f>
        <v>0.022777623860519649</v>
      </c>
      <c r="X79" s="216"/>
      <c r="Y79" s="216" t="s">
        <v>44</v>
      </c>
      <c r="Z79" s="216">
        <v>320</v>
      </c>
      <c r="AA79" s="216">
        <v>400</v>
      </c>
      <c r="AB79" s="216">
        <v>100</v>
      </c>
      <c r="AC79" s="216">
        <v>3500</v>
      </c>
      <c r="AD79" s="216">
        <v>6000</v>
      </c>
      <c r="AE79" s="216">
        <v>150</v>
      </c>
      <c r="AF79" s="216"/>
      <c r="AG79" s="216"/>
      <c r="AH79" s="216"/>
      <c r="AI79" s="216"/>
      <c r="AJ79" s="216" t="s">
        <v>45</v>
      </c>
      <c r="AK79" s="216">
        <v>0.25</v>
      </c>
      <c r="AL79" s="216" t="s">
        <v>46</v>
      </c>
      <c r="AM79" s="216">
        <f>AM78*Table6637495[[#This Row],[المعدل]]+4</f>
        <v>4</v>
      </c>
      <c r="AN79" s="216"/>
      <c r="AO79" s="216" t="s">
        <v>177</v>
      </c>
      <c r="AP79" s="216">
        <v>0.07</v>
      </c>
      <c r="AQ79" s="216">
        <v>0.07</v>
      </c>
      <c r="AR79" s="216"/>
      <c r="AS79" s="216"/>
      <c r="AT79" s="256"/>
      <c r="AU79" s="216"/>
      <c r="AV79" s="193" t="s">
        <v>315</v>
      </c>
      <c r="AW79" s="194"/>
      <c r="AX79" s="194">
        <f>AW74*2</f>
        <v>46</v>
      </c>
      <c r="AY79" s="194" t="s">
        <v>28</v>
      </c>
      <c r="AZ79" s="194">
        <v>12</v>
      </c>
      <c r="BA79" s="194">
        <f>AZ79*AX79</f>
        <v>552</v>
      </c>
      <c r="BB79" s="187"/>
      <c r="BC79" s="195"/>
      <c r="BF79" s="187"/>
      <c r="BG79" s="211">
        <v>4</v>
      </c>
      <c r="BH79" s="212">
        <v>0</v>
      </c>
      <c r="BI79" s="213" t="s">
        <v>309</v>
      </c>
      <c r="BJ79" s="214">
        <v>0.15</v>
      </c>
      <c r="BK79" s="214">
        <v>0.15</v>
      </c>
      <c r="BL79" s="211">
        <f>(Table15880101112[[#This Row],[Column1]]+Table15880101112[[#This Row],[Column2]])*12*Table15880101112[[#This Row],[عدد]]</f>
        <v>0</v>
      </c>
      <c r="BM79" s="211"/>
      <c r="BN79" s="211">
        <v>84</v>
      </c>
      <c r="BO79" s="211">
        <f>Table15880101112[[#This Row],[المسطح]]*Table15880101112[[#This Row],[عدد]]</f>
        <v>0</v>
      </c>
      <c r="BP79" s="239">
        <f>BN79*$S$2/1000</f>
        <v>3780</v>
      </c>
      <c r="BQ79" s="240">
        <f>BH79*BP79</f>
        <v>0</v>
      </c>
      <c r="BR79" s="241">
        <f>(BQ79)/$R$68</f>
        <v>0</v>
      </c>
      <c r="BS79" s="207"/>
      <c r="BT79" s="216" t="s">
        <v>38</v>
      </c>
      <c r="BU79" s="216">
        <v>400</v>
      </c>
      <c r="BV79" s="216">
        <v>400</v>
      </c>
      <c r="BW79" s="216">
        <v>100</v>
      </c>
      <c r="BX79" s="216">
        <v>3500</v>
      </c>
      <c r="BY79" s="216">
        <v>6000</v>
      </c>
      <c r="BZ79" s="216">
        <v>150</v>
      </c>
      <c r="CA79" s="207" t="s">
        <v>39</v>
      </c>
      <c r="CB79" s="207"/>
      <c r="CC79" s="207"/>
      <c r="CD79" s="207"/>
      <c r="CE79" s="233" t="s">
        <v>40</v>
      </c>
      <c r="CF79" s="233">
        <v>0.4</v>
      </c>
      <c r="CG79" s="237" t="s">
        <v>41</v>
      </c>
      <c r="CH79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79" s="207"/>
      <c r="CJ79" s="207" t="s">
        <v>173</v>
      </c>
      <c r="CK79" s="207">
        <v>0.03</v>
      </c>
      <c r="CL79" s="207">
        <v>0.03</v>
      </c>
      <c r="CM79" s="207"/>
      <c r="CN79" s="207"/>
      <c r="CO79" s="255"/>
    </row>
    <row r="80" ht="18">
      <c r="A80" s="537" t="s">
        <v>310</v>
      </c>
      <c r="B80" s="538">
        <v>2</v>
      </c>
      <c r="C80" s="540">
        <f>D74</f>
        <v>270</v>
      </c>
      <c r="D80" s="538" t="s">
        <v>301</v>
      </c>
      <c r="E80" s="538">
        <v>1.7</v>
      </c>
      <c r="F80" s="538">
        <f>IF(($H$74="سادة"),(J80*H80*E80*($U$73+(Sheet2!B41*1000))/1000),(J80*H80*E80*($U$73+(Sheet2!B15))/1000))</f>
        <v>2876.4</v>
      </c>
      <c r="G80" s="543"/>
      <c r="H80" s="539">
        <f>CEILING(Table80102114115[[#This Row],[طول]]/100,0.5)</f>
        <v>3</v>
      </c>
      <c r="I80" s="279">
        <f t="shared" si="19"/>
        <v>1.1111111111111112</v>
      </c>
      <c r="J80" s="542">
        <f t="shared" si="20"/>
        <v>2</v>
      </c>
      <c r="K80" s="187"/>
      <c r="L80" s="211">
        <v>4</v>
      </c>
      <c r="M80" s="212">
        <v>0</v>
      </c>
      <c r="N80" s="213" t="s">
        <v>309</v>
      </c>
      <c r="O80" s="214">
        <v>0.15</v>
      </c>
      <c r="P80" s="214">
        <v>0.15</v>
      </c>
      <c r="Q80" s="211">
        <f>(Table15880101[[#This Row],[Column1]]+Table15880101[[#This Row],[Column2]])*12*Table15880101[[#This Row],[عدد]]</f>
        <v>0</v>
      </c>
      <c r="R80" s="211"/>
      <c r="S80" s="211">
        <v>84</v>
      </c>
      <c r="T80" s="211">
        <f>Table15880101[[#This Row],[المسطح]]*Table15880101[[#This Row],[عدد]]</f>
        <v>0</v>
      </c>
      <c r="U80" s="239">
        <f>S80*$S$2/1000</f>
        <v>3780</v>
      </c>
      <c r="V80" s="240">
        <f>M80*U80</f>
        <v>0</v>
      </c>
      <c r="W80" s="241">
        <f>(V80)/$R$68</f>
        <v>0</v>
      </c>
      <c r="X80" s="216"/>
      <c r="Y80" s="216" t="s">
        <v>48</v>
      </c>
      <c r="Z80" s="216">
        <v>250</v>
      </c>
      <c r="AA80" s="216">
        <v>400</v>
      </c>
      <c r="AB80" s="216">
        <v>100</v>
      </c>
      <c r="AC80" s="216">
        <v>5000</v>
      </c>
      <c r="AD80" s="216">
        <v>8000</v>
      </c>
      <c r="AE80" s="216">
        <v>400</v>
      </c>
      <c r="AF80" s="216"/>
      <c r="AG80" s="216"/>
      <c r="AH80" s="216"/>
      <c r="AI80" s="216"/>
      <c r="AJ80" s="216" t="s">
        <v>49</v>
      </c>
      <c r="AK80" s="216">
        <v>0.25</v>
      </c>
      <c r="AL80" s="211" t="s">
        <v>50</v>
      </c>
      <c r="AM80" s="216">
        <f>IF((تسعير!BE25="A"),IF(((Table15880101[[#Totals],[المسطح]]+Table16627394[[#Totals],[Column12]])&gt;0),(Table15880101[[#Totals],[المسطح]]+Table16627394[[#Totals],[Column12]]+1)*Table6637495[[#This Row],[المعدل]]),0)</f>
        <v>0</v>
      </c>
      <c r="AN80" s="216"/>
      <c r="AO80" s="216" t="s">
        <v>179</v>
      </c>
      <c r="AP80" s="216">
        <v>0.1</v>
      </c>
      <c r="AQ80" s="216">
        <v>0.1</v>
      </c>
      <c r="AR80" s="216"/>
      <c r="AS80" s="216"/>
      <c r="AT80" s="256"/>
      <c r="AU80" s="216"/>
      <c r="AV80" s="193" t="s">
        <v>316</v>
      </c>
      <c r="AW80" s="194">
        <v>1</v>
      </c>
      <c r="AX80" s="196">
        <v>100</v>
      </c>
      <c r="AY80" s="194" t="s">
        <v>301</v>
      </c>
      <c r="AZ80" s="194">
        <v>150</v>
      </c>
      <c r="BA80" s="194">
        <f>Table80102113[[#This Row],[wt/m]]*Table80102113[[#This Row],[عدد]]</f>
        <v>150</v>
      </c>
      <c r="BB80" s="187"/>
      <c r="BC80" s="195"/>
      <c r="BF80" s="187"/>
      <c r="BG80" s="211">
        <v>5</v>
      </c>
      <c r="BH80" s="212">
        <f>IF(OR((BI73="B11"),(BI73="B12"),(BI73="B21"),(BI73="B22"),(BI73="B31"),(BI73="B32")),3,0)</f>
        <v>0</v>
      </c>
      <c r="BI80" s="215" t="s">
        <v>317</v>
      </c>
      <c r="BJ80" s="214">
        <v>0.03</v>
      </c>
      <c r="BK80" s="214">
        <v>0.03</v>
      </c>
      <c r="BL80" s="214">
        <f>(Table15880101112[[#This Row],[Column1]]+Table15880101112[[#This Row],[Column2]])*12*Table15880101112[[#This Row],[عدد]]</f>
        <v>0</v>
      </c>
      <c r="BM80" s="242" t="s">
        <v>43</v>
      </c>
      <c r="BN80" s="211"/>
      <c r="BO80" s="211">
        <f>Table15880101112[[#This Row],[المسطح]]*Table15880101112[[#This Row],[عدد]]</f>
        <v>0</v>
      </c>
      <c r="BP80" s="243">
        <f>BN80*$S$2/1000</f>
        <v>0</v>
      </c>
      <c r="BQ80" s="240">
        <f>BH80*BP80</f>
        <v>0</v>
      </c>
      <c r="BR80" s="241">
        <f>(BQ80)/$R$68</f>
        <v>0</v>
      </c>
      <c r="BS80" s="216"/>
      <c r="BT80" s="216" t="s">
        <v>44</v>
      </c>
      <c r="BU80" s="216">
        <v>320</v>
      </c>
      <c r="BV80" s="216">
        <v>400</v>
      </c>
      <c r="BW80" s="216">
        <v>100</v>
      </c>
      <c r="BX80" s="216">
        <v>3500</v>
      </c>
      <c r="BY80" s="216">
        <v>6000</v>
      </c>
      <c r="BZ80" s="216">
        <v>150</v>
      </c>
      <c r="CA80" s="216"/>
      <c r="CB80" s="216"/>
      <c r="CC80" s="216"/>
      <c r="CD80" s="216"/>
      <c r="CE80" s="216" t="s">
        <v>45</v>
      </c>
      <c r="CF80" s="216">
        <v>0.25</v>
      </c>
      <c r="CG80" s="216" t="s">
        <v>46</v>
      </c>
      <c r="CH80" s="216">
        <f>CH79*Table6637495106[[#This Row],[المعدل]]+4</f>
        <v>4</v>
      </c>
      <c r="CI80" s="216"/>
      <c r="CJ80" s="216" t="s">
        <v>175</v>
      </c>
      <c r="CK80" s="216">
        <v>0.05</v>
      </c>
      <c r="CL80" s="216">
        <v>0.05</v>
      </c>
      <c r="CM80" s="216"/>
      <c r="CN80" s="216"/>
      <c r="CO80" s="256"/>
    </row>
    <row r="81" ht="18">
      <c r="A81" s="537" t="s">
        <v>313</v>
      </c>
      <c r="B81" s="538">
        <v>2</v>
      </c>
      <c r="C81" s="538">
        <f>C76</f>
        <v>303.5</v>
      </c>
      <c r="D81" s="538" t="s">
        <v>301</v>
      </c>
      <c r="E81" s="538">
        <v>0.65</v>
      </c>
      <c r="F81" s="538">
        <f>IF(($H$74="سادة"),(J81*H81*E81*($U$73+(Sheet2!B41*1000))/1000),(J81*H81*E81*($U$73+(Sheet2!B15))/1000))</f>
        <v>1283.1</v>
      </c>
      <c r="G81" s="543"/>
      <c r="H81" s="539">
        <f>CEILING(Table80102114115[[#This Row],[طول]]/100,0.5)</f>
        <v>3.5</v>
      </c>
      <c r="I81" s="279">
        <f t="shared" si="19"/>
        <v>1.1532125205930808</v>
      </c>
      <c r="J81" s="542">
        <f t="shared" si="20"/>
        <v>2</v>
      </c>
      <c r="K81" s="187"/>
      <c r="L81" s="211">
        <v>5</v>
      </c>
      <c r="M81" s="212">
        <f>IF(OR((N74="B11"),(N74="B12"),(N74="B21"),(N74="B22"),(N74="B31"),(N74="B32")),3,0)</f>
        <v>3</v>
      </c>
      <c r="N81" s="215" t="s">
        <v>317</v>
      </c>
      <c r="O81" s="214">
        <v>0.03</v>
      </c>
      <c r="P81" s="214">
        <v>0.03</v>
      </c>
      <c r="Q81" s="214">
        <f>(Table15880101[[#This Row],[Column1]]+Table15880101[[#This Row],[Column2]])*12*Table15880101[[#This Row],[عدد]]</f>
        <v>2.16</v>
      </c>
      <c r="R81" s="242" t="s">
        <v>43</v>
      </c>
      <c r="S81" s="211"/>
      <c r="T81" s="211">
        <f>Table15880101[[#This Row],[المسطح]]*Table15880101[[#This Row],[عدد]]</f>
        <v>6.48</v>
      </c>
      <c r="U81" s="243">
        <f>S81*$S$2/1000</f>
        <v>0</v>
      </c>
      <c r="V81" s="240">
        <f>M81*U81</f>
        <v>0</v>
      </c>
      <c r="W81" s="241">
        <f>(V81)/$R$68</f>
        <v>0</v>
      </c>
      <c r="X81" s="216"/>
      <c r="Y81" s="216" t="s">
        <v>52</v>
      </c>
      <c r="Z81" s="216">
        <v>75</v>
      </c>
      <c r="AA81" s="216">
        <v>200</v>
      </c>
      <c r="AB81" s="216">
        <v>100</v>
      </c>
      <c r="AC81" s="216">
        <v>3000</v>
      </c>
      <c r="AD81" s="216">
        <v>5000</v>
      </c>
      <c r="AE81" s="216">
        <v>250</v>
      </c>
      <c r="AF81" s="216"/>
      <c r="AG81" s="216"/>
      <c r="AH81" s="216"/>
      <c r="AI81" s="216"/>
      <c r="AJ81" s="216" t="s">
        <v>53</v>
      </c>
      <c r="AK81" s="216">
        <v>0.4</v>
      </c>
      <c r="AL81" s="211" t="s">
        <v>50</v>
      </c>
      <c r="AM81" s="216">
        <f>IF((تسعير!BE25="A"),IF(((Table15880101[[#Totals],[المسطح]]+Table16627394[[#Totals],[Column12]])&gt;0),(Table15880101[[#Totals],[المسطح]]+Table16627394[[#Totals],[Column12]]-Q82+1)*Table6637495[[#This Row],[المعدل]]),0)</f>
        <v>0</v>
      </c>
      <c r="AN81" s="216"/>
      <c r="AO81" s="216" t="s">
        <v>181</v>
      </c>
      <c r="AP81" s="216">
        <v>0.15</v>
      </c>
      <c r="AQ81" s="216">
        <v>0.15</v>
      </c>
      <c r="AR81" s="216"/>
      <c r="AS81" s="216"/>
      <c r="AT81" s="256"/>
      <c r="AU81" s="216"/>
      <c r="AV81" s="193" t="s">
        <v>321</v>
      </c>
      <c r="AW81" s="194"/>
      <c r="AX81" s="194">
        <v>100</v>
      </c>
      <c r="AY81" s="194" t="s">
        <v>322</v>
      </c>
      <c r="AZ81" s="194">
        <v>0.375</v>
      </c>
      <c r="BA81" s="194">
        <f>AX81*AZ81</f>
        <v>37.5</v>
      </c>
      <c r="BB81" s="187"/>
      <c r="BC81" s="195"/>
      <c r="BF81" s="187"/>
      <c r="BG81" s="211"/>
      <c r="BH81" s="212"/>
      <c r="BI81" s="213" t="s">
        <v>54</v>
      </c>
      <c r="BJ81" s="214"/>
      <c r="BK81" s="214"/>
      <c r="BL81" s="216">
        <f>SUBTOTAL(109,Table15880101112[المسطح])</f>
        <v>23.520000000000003</v>
      </c>
      <c r="BM81" s="211"/>
      <c r="BN81" s="211">
        <f>(BN76*BH76)+(BN77*BH77)+(BN78*BH78)+(BN79*BH79)</f>
        <v>492</v>
      </c>
      <c r="BO81" s="211">
        <f>SUBTOTAL(109,Table15880101112[اجمالي المسطح])</f>
        <v>79.68</v>
      </c>
      <c r="BP81" s="242"/>
      <c r="BQ81" s="240">
        <f>SUBTOTAL(109,Table15880101112[اجمالي])</f>
        <v>22140</v>
      </c>
      <c r="BR81" s="244">
        <f>Table15880101112[[#Totals],[اجمالي]]/$R$68</f>
        <v>0.084898416207391414</v>
      </c>
      <c r="BS81" s="216"/>
      <c r="BT81" s="216" t="s">
        <v>48</v>
      </c>
      <c r="BU81" s="216">
        <v>250</v>
      </c>
      <c r="BV81" s="216">
        <v>400</v>
      </c>
      <c r="BW81" s="216">
        <v>100</v>
      </c>
      <c r="BX81" s="216">
        <v>5000</v>
      </c>
      <c r="BY81" s="216">
        <v>8000</v>
      </c>
      <c r="BZ81" s="216">
        <v>400</v>
      </c>
      <c r="CA81" s="216"/>
      <c r="CB81" s="216"/>
      <c r="CC81" s="216"/>
      <c r="CD81" s="216"/>
      <c r="CE81" s="216" t="s">
        <v>49</v>
      </c>
      <c r="CF81" s="216">
        <v>0.25</v>
      </c>
      <c r="CG81" s="211" t="s">
        <v>50</v>
      </c>
      <c r="CH81" s="216">
        <f>IF((تسعير!BE45="A"),IF(((Table15880101112[[#Totals],[المسطح]]+Table16627394105[[#Totals],[Column12]])&gt;0),(Table15880101112[[#Totals],[المسطح]]+Table16627394105[[#Totals],[Column12]]+1)*Table6637495106[[#This Row],[المعدل]]),0)</f>
        <v>0</v>
      </c>
      <c r="CI81" s="216"/>
      <c r="CJ81" s="216" t="s">
        <v>177</v>
      </c>
      <c r="CK81" s="216">
        <v>0.07</v>
      </c>
      <c r="CL81" s="216">
        <v>0.07</v>
      </c>
      <c r="CM81" s="216"/>
      <c r="CN81" s="216"/>
      <c r="CO81" s="256"/>
    </row>
    <row r="82" ht="18">
      <c r="A82" s="537" t="s">
        <v>308</v>
      </c>
      <c r="B82" s="538">
        <v>2</v>
      </c>
      <c r="C82" s="538">
        <f>(15.6*(B76-1)+4)</f>
        <v>238</v>
      </c>
      <c r="D82" s="538" t="s">
        <v>301</v>
      </c>
      <c r="E82" s="538">
        <v>1000</v>
      </c>
      <c r="F82" s="538">
        <f>E82*B82</f>
        <v>2000</v>
      </c>
      <c r="G82" s="543"/>
      <c r="H82" s="544"/>
      <c r="I82" s="528"/>
      <c r="J82" s="528"/>
      <c r="K82" s="187"/>
      <c r="L82" s="211"/>
      <c r="M82" s="212"/>
      <c r="N82" s="213" t="s">
        <v>54</v>
      </c>
      <c r="O82" s="214"/>
      <c r="P82" s="214"/>
      <c r="Q82" s="216">
        <f>SUBTOTAL(109,Table15880101[المسطح])</f>
        <v>28.8</v>
      </c>
      <c r="R82" s="211"/>
      <c r="S82" s="211">
        <f>(S77*M77)+(S78*M78)+(M79*S79)+(S80*M80)</f>
        <v>579</v>
      </c>
      <c r="T82" s="211">
        <f>SUBTOTAL(109,Table15880101[اجمالي المسطح])</f>
        <v>100.8</v>
      </c>
      <c r="U82" s="242"/>
      <c r="V82" s="240">
        <f>SUBTOTAL(109,Table15880101[اجمالي])</f>
        <v>26055</v>
      </c>
      <c r="W82" s="244">
        <f>Table15880101[[#Totals],[اجمالي]]/$R$68</f>
        <v>0.0999109410245521</v>
      </c>
      <c r="X82" s="216"/>
      <c r="Y82" s="216" t="s">
        <v>55</v>
      </c>
      <c r="Z82" s="216">
        <v>75</v>
      </c>
      <c r="AA82" s="216">
        <v>200</v>
      </c>
      <c r="AB82" s="216">
        <v>100</v>
      </c>
      <c r="AC82" s="216">
        <v>3000</v>
      </c>
      <c r="AD82" s="216">
        <v>6000</v>
      </c>
      <c r="AE82" s="216">
        <v>250</v>
      </c>
      <c r="AF82" s="216"/>
      <c r="AG82" s="216"/>
      <c r="AH82" s="216"/>
      <c r="AI82" s="216"/>
      <c r="AJ82" s="216" t="s">
        <v>56</v>
      </c>
      <c r="AK82" s="216"/>
      <c r="AL82" s="216" t="s">
        <v>57</v>
      </c>
      <c r="AM82" s="216"/>
      <c r="AN82" s="216"/>
      <c r="AO82" s="216" t="s">
        <v>183</v>
      </c>
      <c r="AP82" s="216">
        <v>0.05</v>
      </c>
      <c r="AQ82" s="216">
        <v>0.1</v>
      </c>
      <c r="AR82" s="216"/>
      <c r="AS82" s="216"/>
      <c r="AT82" s="256"/>
      <c r="AU82" s="216"/>
      <c r="AV82" s="193" t="s">
        <v>319</v>
      </c>
      <c r="AW82" s="194"/>
      <c r="AX82" s="194">
        <f>AW74*2</f>
        <v>46</v>
      </c>
      <c r="AY82" s="194" t="s">
        <v>28</v>
      </c>
      <c r="AZ82" s="194">
        <v>100</v>
      </c>
      <c r="BA82" s="194">
        <f>AX82*AZ82</f>
        <v>4600</v>
      </c>
      <c r="BB82" s="187"/>
      <c r="BC82" s="195"/>
      <c r="BF82" s="187"/>
      <c r="BG82" s="216"/>
      <c r="BH82" s="216"/>
      <c r="BI82" s="217"/>
      <c r="BJ82" s="885" t="s">
        <v>72</v>
      </c>
      <c r="BK82" s="885"/>
      <c r="BL82" s="885"/>
      <c r="BM82" s="885"/>
      <c r="BN82" s="885"/>
      <c r="BO82" s="885"/>
      <c r="BP82" s="216"/>
      <c r="BQ82" s="216"/>
      <c r="BR82" s="216"/>
      <c r="BS82" s="216"/>
      <c r="BT82" s="216" t="s">
        <v>52</v>
      </c>
      <c r="BU82" s="216">
        <v>75</v>
      </c>
      <c r="BV82" s="216">
        <v>200</v>
      </c>
      <c r="BW82" s="216">
        <v>100</v>
      </c>
      <c r="BX82" s="216">
        <v>3000</v>
      </c>
      <c r="BY82" s="216">
        <v>5000</v>
      </c>
      <c r="BZ82" s="216">
        <v>250</v>
      </c>
      <c r="CA82" s="216"/>
      <c r="CB82" s="216"/>
      <c r="CC82" s="216"/>
      <c r="CD82" s="216"/>
      <c r="CE82" s="216" t="s">
        <v>53</v>
      </c>
      <c r="CF82" s="216">
        <v>0.4</v>
      </c>
      <c r="CG82" s="211" t="s">
        <v>50</v>
      </c>
      <c r="CH82" s="216">
        <f>IF((تسعير!BE45="A"),IF(((Table15880101112[[#Totals],[المسطح]]+Table16627394105[[#Totals],[Column12]])&gt;0),(Table15880101112[[#Totals],[المسطح]]+Table16627394105[[#Totals],[Column12]]-BL81+1)*Table6637495106[[#This Row],[المعدل]]),0)</f>
        <v>0</v>
      </c>
      <c r="CI82" s="216"/>
      <c r="CJ82" s="216" t="s">
        <v>179</v>
      </c>
      <c r="CK82" s="216">
        <v>0.1</v>
      </c>
      <c r="CL82" s="216">
        <v>0.1</v>
      </c>
      <c r="CM82" s="216"/>
      <c r="CN82" s="216"/>
      <c r="CO82" s="256"/>
    </row>
    <row r="83" ht="18">
      <c r="A83" s="537" t="s">
        <v>312</v>
      </c>
      <c r="B83" s="538"/>
      <c r="C83" s="538">
        <f>B76*2</f>
        <v>32</v>
      </c>
      <c r="D83" s="538" t="s">
        <v>28</v>
      </c>
      <c r="E83" s="194">
        <v>20</v>
      </c>
      <c r="F83" s="538">
        <f>E83*C83</f>
        <v>640</v>
      </c>
      <c r="G83" s="543"/>
      <c r="H83" s="544"/>
      <c r="I83" s="528"/>
      <c r="J83" s="528"/>
      <c r="K83" s="187"/>
      <c r="L83" s="216"/>
      <c r="M83" s="216"/>
      <c r="N83" s="217"/>
      <c r="O83" s="885" t="s">
        <v>72</v>
      </c>
      <c r="P83" s="885"/>
      <c r="Q83" s="885"/>
      <c r="R83" s="885"/>
      <c r="S83" s="885"/>
      <c r="T83" s="885"/>
      <c r="U83" s="216"/>
      <c r="V83" s="216"/>
      <c r="W83" s="216"/>
      <c r="X83" s="216"/>
      <c r="Y83" s="216" t="s">
        <v>59</v>
      </c>
      <c r="Z83" s="216">
        <v>75</v>
      </c>
      <c r="AA83" s="216">
        <v>200</v>
      </c>
      <c r="AB83" s="216">
        <v>100</v>
      </c>
      <c r="AC83" s="216">
        <v>3000</v>
      </c>
      <c r="AD83" s="216">
        <v>6000</v>
      </c>
      <c r="AE83" s="216">
        <v>250</v>
      </c>
      <c r="AF83" s="216"/>
      <c r="AG83" s="216"/>
      <c r="AH83" s="216"/>
      <c r="AI83" s="216"/>
      <c r="AJ83" s="213" t="s">
        <v>113</v>
      </c>
      <c r="AK83" s="216">
        <v>0.6</v>
      </c>
      <c r="AL83" s="216"/>
      <c r="AM83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3" s="216"/>
      <c r="AO83" s="216" t="s">
        <v>185</v>
      </c>
      <c r="AP83" s="216">
        <v>0.05</v>
      </c>
      <c r="AQ83" s="216">
        <v>0.15</v>
      </c>
      <c r="AR83" s="216"/>
      <c r="AS83" s="216"/>
      <c r="AT83" s="256"/>
      <c r="AU83" s="216"/>
      <c r="AV83" s="193" t="s">
        <v>320</v>
      </c>
      <c r="AW83" s="194"/>
      <c r="AX83" s="194">
        <f>AW74*2</f>
        <v>46</v>
      </c>
      <c r="AY83" s="194" t="s">
        <v>28</v>
      </c>
      <c r="AZ83" s="194">
        <v>100</v>
      </c>
      <c r="BA83" s="194">
        <f>AX83*AZ83</f>
        <v>4600</v>
      </c>
      <c r="BB83" s="187"/>
      <c r="BC83" s="195"/>
      <c r="BE83" s="264"/>
      <c r="BF83" s="187"/>
      <c r="BG83" s="211" t="s">
        <v>27</v>
      </c>
      <c r="BH83" s="211" t="s">
        <v>28</v>
      </c>
      <c r="BI83" s="218" t="s">
        <v>29</v>
      </c>
      <c r="BJ83" s="211" t="s">
        <v>30</v>
      </c>
      <c r="BK83" s="211" t="s">
        <v>9</v>
      </c>
      <c r="BL83" s="211" t="s">
        <v>61</v>
      </c>
      <c r="BM83" s="211" t="s">
        <v>32</v>
      </c>
      <c r="BN83" s="211" t="s">
        <v>33</v>
      </c>
      <c r="BO83" s="211" t="s">
        <v>74</v>
      </c>
      <c r="BP83" s="211" t="s">
        <v>35</v>
      </c>
      <c r="BQ83" s="245" t="s">
        <v>36</v>
      </c>
      <c r="BR83" s="211" t="s">
        <v>37</v>
      </c>
      <c r="BS83" s="216"/>
      <c r="BT83" s="216" t="s">
        <v>55</v>
      </c>
      <c r="BU83" s="216">
        <v>75</v>
      </c>
      <c r="BV83" s="216">
        <v>200</v>
      </c>
      <c r="BW83" s="216">
        <v>100</v>
      </c>
      <c r="BX83" s="216">
        <v>3000</v>
      </c>
      <c r="BY83" s="216">
        <v>6000</v>
      </c>
      <c r="BZ83" s="216">
        <v>250</v>
      </c>
      <c r="CA83" s="216"/>
      <c r="CB83" s="216"/>
      <c r="CC83" s="216"/>
      <c r="CD83" s="216"/>
      <c r="CE83" s="216" t="s">
        <v>56</v>
      </c>
      <c r="CF83" s="216"/>
      <c r="CG83" s="216" t="s">
        <v>57</v>
      </c>
      <c r="CH83" s="216"/>
      <c r="CI83" s="216"/>
      <c r="CJ83" s="216" t="s">
        <v>181</v>
      </c>
      <c r="CK83" s="216">
        <v>0.15</v>
      </c>
      <c r="CL83" s="216">
        <v>0.15</v>
      </c>
      <c r="CM83" s="216"/>
      <c r="CN83" s="216"/>
      <c r="CO83" s="256"/>
    </row>
    <row r="84" ht="18">
      <c r="A84" s="537" t="s">
        <v>315</v>
      </c>
      <c r="B84" s="538"/>
      <c r="C84" s="538">
        <f>B76*2</f>
        <v>32</v>
      </c>
      <c r="D84" s="538" t="s">
        <v>28</v>
      </c>
      <c r="E84" s="194">
        <v>18</v>
      </c>
      <c r="F84" s="538">
        <f>E84*C84</f>
        <v>576</v>
      </c>
      <c r="G84" s="543"/>
      <c r="H84" s="544"/>
      <c r="I84" s="528"/>
      <c r="J84" s="528"/>
      <c r="K84" s="187"/>
      <c r="L84" s="211" t="s">
        <v>27</v>
      </c>
      <c r="M84" s="211" t="s">
        <v>28</v>
      </c>
      <c r="N84" s="218" t="s">
        <v>29</v>
      </c>
      <c r="O84" s="211" t="s">
        <v>30</v>
      </c>
      <c r="P84" s="211" t="s">
        <v>9</v>
      </c>
      <c r="Q84" s="211" t="s">
        <v>61</v>
      </c>
      <c r="R84" s="211" t="s">
        <v>32</v>
      </c>
      <c r="S84" s="211" t="s">
        <v>33</v>
      </c>
      <c r="T84" s="211" t="s">
        <v>74</v>
      </c>
      <c r="U84" s="211" t="s">
        <v>35</v>
      </c>
      <c r="V84" s="245" t="s">
        <v>36</v>
      </c>
      <c r="W84" s="211" t="s">
        <v>37</v>
      </c>
      <c r="X84" s="216"/>
      <c r="Y84" s="216" t="s">
        <v>62</v>
      </c>
      <c r="Z84" s="216">
        <v>150</v>
      </c>
      <c r="AA84" s="216">
        <v>200</v>
      </c>
      <c r="AB84" s="216">
        <v>100</v>
      </c>
      <c r="AC84" s="216">
        <v>3000</v>
      </c>
      <c r="AD84" s="216">
        <v>8000</v>
      </c>
      <c r="AE84" s="216">
        <v>250</v>
      </c>
      <c r="AF84" s="216"/>
      <c r="AG84" s="216"/>
      <c r="AH84" s="216"/>
      <c r="AI84" s="216"/>
      <c r="AJ84" s="218" t="s">
        <v>115</v>
      </c>
      <c r="AK84" s="216">
        <v>0.6</v>
      </c>
      <c r="AL84" s="216"/>
      <c r="AM84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23.640000000000004</v>
      </c>
      <c r="AN84" s="216"/>
      <c r="AO84" s="216" t="s">
        <v>187</v>
      </c>
      <c r="AP84" s="216">
        <v>0.1</v>
      </c>
      <c r="AQ84" s="216">
        <v>0.15</v>
      </c>
      <c r="AR84" s="216"/>
      <c r="AS84" s="216"/>
      <c r="AT84" s="256"/>
      <c r="AU84" s="216"/>
      <c r="AV84" s="193" t="s">
        <v>189</v>
      </c>
      <c r="AW84" s="194" t="s">
        <v>28</v>
      </c>
      <c r="AX84" s="194">
        <v>1</v>
      </c>
      <c r="AY84" s="194" t="s">
        <v>28</v>
      </c>
      <c r="AZ84" s="194">
        <f>E23</f>
        <v>9000</v>
      </c>
      <c r="BA84" s="194">
        <f>AZ84*AX84</f>
        <v>9000</v>
      </c>
      <c r="BB84" s="187"/>
      <c r="BD84" s="187"/>
      <c r="BE84" s="187"/>
      <c r="BF84" s="187"/>
      <c r="BG84" s="211">
        <v>1</v>
      </c>
      <c r="BH84" s="212">
        <v>3</v>
      </c>
      <c r="BI84" s="213" t="s">
        <v>76</v>
      </c>
      <c r="BJ84" s="214"/>
      <c r="BK84" s="214"/>
      <c r="BL84" s="214"/>
      <c r="BM84" s="211" t="s">
        <v>77</v>
      </c>
      <c r="BN84" s="211"/>
      <c r="BO84" s="242"/>
      <c r="BP84" s="247">
        <f>Sheet2!B28</f>
        <v>400</v>
      </c>
      <c r="BQ84" s="240">
        <f ref="BQ84:BQ88" t="shared" si="21">BH84*BP84</f>
        <v>1200</v>
      </c>
      <c r="BR84" s="241">
        <f>(BQ84)/$R$68</f>
        <v>0.0046015401738423532</v>
      </c>
      <c r="BS84" s="216"/>
      <c r="BT84" s="216" t="s">
        <v>59</v>
      </c>
      <c r="BU84" s="216">
        <v>75</v>
      </c>
      <c r="BV84" s="216">
        <v>200</v>
      </c>
      <c r="BW84" s="216">
        <v>100</v>
      </c>
      <c r="BX84" s="216">
        <v>3000</v>
      </c>
      <c r="BY84" s="216">
        <v>6000</v>
      </c>
      <c r="BZ84" s="216">
        <v>250</v>
      </c>
      <c r="CA84" s="216"/>
      <c r="CB84" s="216"/>
      <c r="CC84" s="216"/>
      <c r="CD84" s="216"/>
      <c r="CE84" s="213" t="s">
        <v>113</v>
      </c>
      <c r="CF84" s="216">
        <v>0.6</v>
      </c>
      <c r="CG84" s="216"/>
      <c r="CH84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4" s="216"/>
      <c r="CJ84" s="216" t="s">
        <v>183</v>
      </c>
      <c r="CK84" s="216">
        <v>0.05</v>
      </c>
      <c r="CL84" s="216">
        <v>0.1</v>
      </c>
      <c r="CM84" s="216"/>
      <c r="CN84" s="216"/>
      <c r="CO84" s="256"/>
    </row>
    <row r="85" ht="18">
      <c r="A85" s="537" t="s">
        <v>316</v>
      </c>
      <c r="B85" s="538">
        <v>1</v>
      </c>
      <c r="C85" s="540">
        <v>100</v>
      </c>
      <c r="D85" s="538" t="s">
        <v>301</v>
      </c>
      <c r="E85" s="194">
        <v>250</v>
      </c>
      <c r="F85" s="538">
        <f>Table80102114115[[#This Row],[wt/m]]*Table80102114115[[#This Row],[عدد]]</f>
        <v>250</v>
      </c>
      <c r="G85" s="543"/>
      <c r="H85" s="544"/>
      <c r="I85" s="528"/>
      <c r="J85" s="545"/>
      <c r="K85" s="187"/>
      <c r="L85" s="211">
        <v>1</v>
      </c>
      <c r="M85" s="212">
        <v>2</v>
      </c>
      <c r="N85" s="213" t="s">
        <v>76</v>
      </c>
      <c r="O85" s="214"/>
      <c r="P85" s="214"/>
      <c r="Q85" s="214"/>
      <c r="R85" s="211" t="s">
        <v>77</v>
      </c>
      <c r="S85" s="211"/>
      <c r="T85" s="242"/>
      <c r="U85" s="246">
        <f>Sheet2!B28</f>
        <v>400</v>
      </c>
      <c r="V85" s="240">
        <f ref="V85:V89" t="shared" si="22">M85*U85</f>
        <v>800</v>
      </c>
      <c r="W85" s="241">
        <f>(V85)/$R$68</f>
        <v>0.0030676934492282356</v>
      </c>
      <c r="X85" s="216"/>
      <c r="Y85" s="216" t="s">
        <v>66</v>
      </c>
      <c r="Z85" s="216">
        <v>150</v>
      </c>
      <c r="AA85" s="216">
        <v>200</v>
      </c>
      <c r="AB85" s="216">
        <v>100</v>
      </c>
      <c r="AC85" s="216">
        <v>4000</v>
      </c>
      <c r="AD85" s="216">
        <v>8000</v>
      </c>
      <c r="AE85" s="216">
        <v>250</v>
      </c>
      <c r="AF85" s="216"/>
      <c r="AG85" s="216"/>
      <c r="AH85" s="216"/>
      <c r="AI85" s="216"/>
      <c r="AJ85" s="218" t="s">
        <v>67</v>
      </c>
      <c r="AK85" s="216">
        <v>0.1</v>
      </c>
      <c r="AL85" s="216"/>
      <c r="AM85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5" s="216"/>
      <c r="AO85" s="216"/>
      <c r="AP85" s="216"/>
      <c r="AQ85" s="216"/>
      <c r="AR85" s="216"/>
      <c r="AS85" s="216"/>
      <c r="AT85" s="256"/>
      <c r="AU85" s="216"/>
      <c r="AV85" s="297" t="s">
        <v>54</v>
      </c>
      <c r="AW85" s="299">
        <f>(Table80102113[[#Totals],[price]]*1.1)/(BA72*AY72/10000)</f>
        <v>5732.9085000000005</v>
      </c>
      <c r="AX85" s="300"/>
      <c r="AY85" s="300"/>
      <c r="AZ85" s="300"/>
      <c r="BA85" s="300">
        <f>SUBTOTAL(109,Table80102113[price])</f>
        <v>104234.7</v>
      </c>
      <c r="BB85" s="187"/>
      <c r="BD85" s="187"/>
      <c r="BE85" s="187"/>
      <c r="BF85" s="187"/>
      <c r="BG85" s="211">
        <v>2</v>
      </c>
      <c r="BH85" s="212">
        <v>2</v>
      </c>
      <c r="BI85" s="213" t="s">
        <v>82</v>
      </c>
      <c r="BJ85" s="214"/>
      <c r="BK85" s="214"/>
      <c r="BL85" s="214"/>
      <c r="BM85" s="211" t="s">
        <v>28</v>
      </c>
      <c r="BN85" s="211"/>
      <c r="BO85" s="242"/>
      <c r="BP85" s="247">
        <v>110</v>
      </c>
      <c r="BQ85" s="240">
        <f t="shared" si="21"/>
        <v>220</v>
      </c>
      <c r="BR85" s="241">
        <f>(BQ85)/$R$68</f>
        <v>0.00084361569853776477</v>
      </c>
      <c r="BS85" s="216"/>
      <c r="BT85" s="216" t="s">
        <v>62</v>
      </c>
      <c r="BU85" s="216">
        <v>150</v>
      </c>
      <c r="BV85" s="216">
        <v>200</v>
      </c>
      <c r="BW85" s="216">
        <v>100</v>
      </c>
      <c r="BX85" s="216">
        <v>3000</v>
      </c>
      <c r="BY85" s="216">
        <v>8000</v>
      </c>
      <c r="BZ85" s="216">
        <v>250</v>
      </c>
      <c r="CA85" s="216"/>
      <c r="CB85" s="216"/>
      <c r="CC85" s="216"/>
      <c r="CD85" s="216"/>
      <c r="CE85" s="218" t="s">
        <v>115</v>
      </c>
      <c r="CF85" s="216">
        <v>0.6</v>
      </c>
      <c r="CG85" s="216"/>
      <c r="CH85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20.568</v>
      </c>
      <c r="CI85" s="216"/>
      <c r="CJ85" s="216" t="s">
        <v>185</v>
      </c>
      <c r="CK85" s="216">
        <v>0.05</v>
      </c>
      <c r="CL85" s="216">
        <v>0.15</v>
      </c>
      <c r="CM85" s="216"/>
      <c r="CN85" s="216"/>
      <c r="CO85" s="256"/>
    </row>
    <row r="86" ht="18">
      <c r="A86" s="537" t="s">
        <v>321</v>
      </c>
      <c r="B86" s="538"/>
      <c r="C86" s="538">
        <v>4</v>
      </c>
      <c r="D86" s="538" t="s">
        <v>322</v>
      </c>
      <c r="E86" s="194">
        <v>250</v>
      </c>
      <c r="F86" s="538">
        <f>C86*E86</f>
        <v>1000</v>
      </c>
      <c r="G86" s="543"/>
      <c r="H86" s="528"/>
      <c r="I86" s="543"/>
      <c r="J86" s="543"/>
      <c r="K86" s="187"/>
      <c r="L86" s="211">
        <v>2</v>
      </c>
      <c r="M86" s="212">
        <v>2</v>
      </c>
      <c r="N86" s="213" t="s">
        <v>82</v>
      </c>
      <c r="O86" s="214"/>
      <c r="P86" s="214"/>
      <c r="Q86" s="214"/>
      <c r="R86" s="211" t="s">
        <v>28</v>
      </c>
      <c r="S86" s="211"/>
      <c r="T86" s="242"/>
      <c r="U86" s="246">
        <v>110</v>
      </c>
      <c r="V86" s="240">
        <f t="shared" si="22"/>
        <v>220</v>
      </c>
      <c r="W86" s="241">
        <f>(V86)/$R$68</f>
        <v>0.00084361569853776477</v>
      </c>
      <c r="X86" s="216"/>
      <c r="Y86" s="216" t="s">
        <v>69</v>
      </c>
      <c r="Z86" s="216">
        <v>150</v>
      </c>
      <c r="AA86" s="216">
        <v>200</v>
      </c>
      <c r="AB86" s="216">
        <v>100</v>
      </c>
      <c r="AC86" s="216">
        <v>4000</v>
      </c>
      <c r="AD86" s="216">
        <v>8000</v>
      </c>
      <c r="AE86" s="216">
        <v>250</v>
      </c>
      <c r="AF86" s="216"/>
      <c r="AG86" s="216"/>
      <c r="AH86" s="216"/>
      <c r="AI86" s="216"/>
      <c r="AJ86" s="218" t="s">
        <v>70</v>
      </c>
      <c r="AK86" s="216">
        <v>0.1</v>
      </c>
      <c r="AL86" s="216"/>
      <c r="AM86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3.9400000000000008</v>
      </c>
      <c r="AN86" s="216"/>
      <c r="AO86" s="216"/>
      <c r="AP86" s="216"/>
      <c r="AQ86" s="216"/>
      <c r="AR86" s="216"/>
      <c r="AS86" s="216"/>
      <c r="AT86" s="256"/>
      <c r="AU86" s="216"/>
      <c r="AV86" s="200"/>
      <c r="BB86" s="187"/>
      <c r="BF86" s="187"/>
      <c r="BG86" s="211">
        <v>3</v>
      </c>
      <c r="BH86" s="219">
        <v>1</v>
      </c>
      <c r="BI86" s="213" t="s">
        <v>84</v>
      </c>
      <c r="BJ86" s="214"/>
      <c r="BK86" s="214"/>
      <c r="BL86" s="214"/>
      <c r="BM86" s="211" t="s">
        <v>28</v>
      </c>
      <c r="BN86" s="211"/>
      <c r="BO86" s="242"/>
      <c r="BP86" s="247">
        <v>130</v>
      </c>
      <c r="BQ86" s="240">
        <f t="shared" si="21"/>
        <v>130</v>
      </c>
      <c r="BR86" s="241">
        <f>(BQ86)/$R$68</f>
        <v>0.00049850018549958827</v>
      </c>
      <c r="BS86" s="216"/>
      <c r="BT86" s="216" t="s">
        <v>66</v>
      </c>
      <c r="BU86" s="216">
        <v>150</v>
      </c>
      <c r="BV86" s="216">
        <v>200</v>
      </c>
      <c r="BW86" s="216">
        <v>100</v>
      </c>
      <c r="BX86" s="216">
        <v>4000</v>
      </c>
      <c r="BY86" s="216">
        <v>8000</v>
      </c>
      <c r="BZ86" s="216">
        <v>250</v>
      </c>
      <c r="CA86" s="216"/>
      <c r="CB86" s="216"/>
      <c r="CC86" s="216"/>
      <c r="CD86" s="216"/>
      <c r="CE86" s="218" t="s">
        <v>67</v>
      </c>
      <c r="CF86" s="216">
        <v>0.1</v>
      </c>
      <c r="CG86" s="216"/>
      <c r="CH86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6" s="216"/>
      <c r="CJ86" s="216" t="s">
        <v>187</v>
      </c>
      <c r="CK86" s="216">
        <v>0.1</v>
      </c>
      <c r="CL86" s="216">
        <v>0.15</v>
      </c>
      <c r="CM86" s="216"/>
      <c r="CN86" s="216"/>
      <c r="CO86" s="256"/>
    </row>
    <row r="87" ht="18">
      <c r="A87" s="537" t="s">
        <v>323</v>
      </c>
      <c r="B87" s="538"/>
      <c r="C87" s="538">
        <v>8</v>
      </c>
      <c r="D87" s="538" t="s">
        <v>28</v>
      </c>
      <c r="E87" s="194">
        <v>300</v>
      </c>
      <c r="F87" s="538">
        <f>C87*E87</f>
        <v>2400</v>
      </c>
      <c r="G87" s="543"/>
      <c r="H87" s="528"/>
      <c r="I87" s="543"/>
      <c r="J87" s="543"/>
      <c r="K87" s="187"/>
      <c r="L87" s="211">
        <v>3</v>
      </c>
      <c r="M87" s="219">
        <v>1</v>
      </c>
      <c r="N87" s="213" t="s">
        <v>84</v>
      </c>
      <c r="O87" s="214"/>
      <c r="P87" s="214"/>
      <c r="Q87" s="214"/>
      <c r="R87" s="211" t="s">
        <v>28</v>
      </c>
      <c r="S87" s="211"/>
      <c r="T87" s="242"/>
      <c r="U87" s="246">
        <v>130</v>
      </c>
      <c r="V87" s="240">
        <f t="shared" si="22"/>
        <v>130</v>
      </c>
      <c r="W87" s="241">
        <f>(V87)/$R$68</f>
        <v>0.00049850018549958827</v>
      </c>
      <c r="X87" s="216"/>
      <c r="Y87" s="216" t="s">
        <v>71</v>
      </c>
      <c r="Z87" s="216">
        <v>200</v>
      </c>
      <c r="AA87" s="216">
        <v>200</v>
      </c>
      <c r="AB87" s="216">
        <v>100</v>
      </c>
      <c r="AC87" s="216">
        <v>4000</v>
      </c>
      <c r="AD87" s="216">
        <v>8000</v>
      </c>
      <c r="AE87" s="216">
        <v>250</v>
      </c>
      <c r="AF87" s="216"/>
      <c r="AG87" s="216"/>
      <c r="AH87" s="216"/>
      <c r="AI87" s="216"/>
      <c r="AJ87" s="216"/>
      <c r="AK87" s="216"/>
      <c r="AL87" s="216"/>
      <c r="AM87" s="216">
        <f>IF(AND((تسعير!$BE$25="B"),(Table15880101[[#Totals],[المسطح]]+Table16627394[[#Totals],[Column12]])&gt;0),(((Table15880101[[#Totals],[المسطح]]+Table16627394[[#Totals],[Column12]])+1)*Table6637495[[#This Row],[المعدل]]),0)</f>
        <v>0</v>
      </c>
      <c r="AN87" s="216"/>
      <c r="AO87" s="216"/>
      <c r="AP87" s="216"/>
      <c r="AQ87" s="216"/>
      <c r="AR87" s="216"/>
      <c r="AS87" s="216"/>
      <c r="AT87" s="256"/>
      <c r="AU87" s="216"/>
      <c r="AV87" s="200"/>
      <c r="BB87" s="187"/>
      <c r="BF87" s="187"/>
      <c r="BG87" s="211">
        <v>4</v>
      </c>
      <c r="BH87" s="212">
        <f>BH94</f>
        <v>16</v>
      </c>
      <c r="BI87" s="213" t="s">
        <v>86</v>
      </c>
      <c r="BJ87" s="214"/>
      <c r="BK87" s="214"/>
      <c r="BL87" s="214"/>
      <c r="BM87" s="247" t="s">
        <v>87</v>
      </c>
      <c r="BN87" s="247"/>
      <c r="BO87" s="242"/>
      <c r="BP87" s="247">
        <v>30</v>
      </c>
      <c r="BQ87" s="240">
        <f t="shared" si="21"/>
        <v>480</v>
      </c>
      <c r="BR87" s="241">
        <f>(BQ87)/$R$68</f>
        <v>0.0018406160695369413</v>
      </c>
      <c r="BS87" s="216"/>
      <c r="BT87" s="216" t="s">
        <v>69</v>
      </c>
      <c r="BU87" s="216">
        <v>150</v>
      </c>
      <c r="BV87" s="216">
        <v>200</v>
      </c>
      <c r="BW87" s="216">
        <v>100</v>
      </c>
      <c r="BX87" s="216">
        <v>4000</v>
      </c>
      <c r="BY87" s="216">
        <v>8000</v>
      </c>
      <c r="BZ87" s="216">
        <v>250</v>
      </c>
      <c r="CA87" s="216"/>
      <c r="CB87" s="216"/>
      <c r="CC87" s="216"/>
      <c r="CD87" s="216"/>
      <c r="CE87" s="218" t="s">
        <v>70</v>
      </c>
      <c r="CF87" s="216">
        <v>0.1</v>
      </c>
      <c r="CG87" s="216"/>
      <c r="CH87" s="216">
        <f>IF(AND((تسعير!$BE$45="B"),(Table15880101112[[#Totals],[المسطح]]+Table16627394105[[#Totals],[Column12]])&gt;0),(((Table15880101112[[#Totals],[المسطح]]+Table16627394105[[#Totals],[Column12]])+1)*Table6637495106[[#This Row],[المعدل]]),0)</f>
        <v>3.4280000000000004</v>
      </c>
      <c r="CI87" s="216"/>
      <c r="CJ87" s="216"/>
      <c r="CK87" s="216"/>
      <c r="CL87" s="216"/>
      <c r="CM87" s="216"/>
      <c r="CN87" s="216"/>
      <c r="CO87" s="256"/>
    </row>
    <row r="88" ht="18">
      <c r="A88" s="537" t="s">
        <v>319</v>
      </c>
      <c r="B88" s="538"/>
      <c r="C88" s="538">
        <f>B76*2</f>
        <v>32</v>
      </c>
      <c r="D88" s="538" t="s">
        <v>28</v>
      </c>
      <c r="E88" s="194">
        <v>120</v>
      </c>
      <c r="F88" s="538">
        <f>C88*E88</f>
        <v>3840</v>
      </c>
      <c r="G88" s="543"/>
      <c r="H88" s="528"/>
      <c r="I88" s="528"/>
      <c r="J88" s="528"/>
      <c r="K88" s="187"/>
      <c r="L88" s="211">
        <v>4</v>
      </c>
      <c r="M88" s="212">
        <f>M95</f>
        <v>0</v>
      </c>
      <c r="N88" s="213" t="s">
        <v>86</v>
      </c>
      <c r="O88" s="214"/>
      <c r="P88" s="214"/>
      <c r="Q88" s="214"/>
      <c r="R88" s="247" t="s">
        <v>87</v>
      </c>
      <c r="S88" s="247"/>
      <c r="T88" s="242"/>
      <c r="U88" s="246">
        <v>50</v>
      </c>
      <c r="V88" s="240">
        <f t="shared" si="22"/>
        <v>0</v>
      </c>
      <c r="W88" s="241">
        <f>(V88)/$R$68</f>
        <v>0</v>
      </c>
      <c r="X88" s="216"/>
      <c r="Y88" s="216" t="s">
        <v>73</v>
      </c>
      <c r="Z88" s="216">
        <v>250</v>
      </c>
      <c r="AA88" s="216">
        <v>200</v>
      </c>
      <c r="AB88" s="216">
        <v>100</v>
      </c>
      <c r="AC88" s="216">
        <v>3000</v>
      </c>
      <c r="AD88" s="216">
        <v>10000</v>
      </c>
      <c r="AE88" s="216">
        <v>300</v>
      </c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56"/>
      <c r="AU88" s="216"/>
      <c r="AV88" s="200"/>
      <c r="BB88" s="187"/>
      <c r="BF88" s="187"/>
      <c r="BG88" s="211">
        <v>5</v>
      </c>
      <c r="BH88" s="212">
        <f>IF((BD72="بالتات"),0,4)</f>
        <v>0</v>
      </c>
      <c r="BI88" s="213" t="s">
        <v>93</v>
      </c>
      <c r="BJ88" s="214"/>
      <c r="BK88" s="214"/>
      <c r="BL88" s="214"/>
      <c r="BM88" s="211" t="s">
        <v>87</v>
      </c>
      <c r="BN88" s="211"/>
      <c r="BO88" s="242"/>
      <c r="BP88" s="243">
        <f>Sheet2!AW30</f>
        <v>0</v>
      </c>
      <c r="BQ88" s="240">
        <f t="shared" si="21"/>
        <v>0</v>
      </c>
      <c r="BR88" s="241">
        <f>(BQ88)/$R$68</f>
        <v>0</v>
      </c>
      <c r="BS88" s="216"/>
      <c r="BT88" s="216" t="s">
        <v>71</v>
      </c>
      <c r="BU88" s="216">
        <v>200</v>
      </c>
      <c r="BV88" s="216">
        <v>200</v>
      </c>
      <c r="BW88" s="216">
        <v>100</v>
      </c>
      <c r="BX88" s="216">
        <v>4000</v>
      </c>
      <c r="BY88" s="216">
        <v>8000</v>
      </c>
      <c r="BZ88" s="216">
        <v>250</v>
      </c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216"/>
      <c r="CN88" s="216"/>
      <c r="CO88" s="256"/>
    </row>
    <row r="89" ht="18">
      <c r="A89" s="537" t="s">
        <v>320</v>
      </c>
      <c r="B89" s="538"/>
      <c r="C89" s="538">
        <f>B76*2</f>
        <v>32</v>
      </c>
      <c r="D89" s="538" t="s">
        <v>28</v>
      </c>
      <c r="E89" s="194">
        <v>120</v>
      </c>
      <c r="F89" s="538">
        <f>C89*E89</f>
        <v>3840</v>
      </c>
      <c r="G89" s="543"/>
      <c r="H89" s="528"/>
      <c r="I89" s="528"/>
      <c r="J89" s="528"/>
      <c r="K89" s="187"/>
      <c r="L89" s="211">
        <v>5</v>
      </c>
      <c r="M89" s="212">
        <f>IF((I74="بالتات"),0,4)</f>
        <v>4</v>
      </c>
      <c r="N89" s="213" t="s">
        <v>93</v>
      </c>
      <c r="O89" s="214"/>
      <c r="P89" s="214"/>
      <c r="Q89" s="214"/>
      <c r="R89" s="211" t="s">
        <v>87</v>
      </c>
      <c r="S89" s="211"/>
      <c r="T89" s="242"/>
      <c r="U89" s="243">
        <f>Sheet2!B30</f>
        <v>1200</v>
      </c>
      <c r="V89" s="240">
        <f t="shared" si="22"/>
        <v>4800</v>
      </c>
      <c r="W89" s="241">
        <f>(V89)/$R$68</f>
        <v>0.018406160695369413</v>
      </c>
      <c r="X89" s="216"/>
      <c r="Y89" s="216" t="s">
        <v>75</v>
      </c>
      <c r="Z89" s="216">
        <v>250</v>
      </c>
      <c r="AA89" s="216">
        <v>200</v>
      </c>
      <c r="AB89" s="216">
        <v>100</v>
      </c>
      <c r="AC89" s="216">
        <v>3000</v>
      </c>
      <c r="AD89" s="216">
        <v>10000</v>
      </c>
      <c r="AE89" s="216">
        <v>300</v>
      </c>
      <c r="AF89" s="216"/>
      <c r="AG89" s="216"/>
      <c r="AH89" s="216"/>
      <c r="AI89" s="216"/>
      <c r="AJ89" s="216"/>
      <c r="AK89" s="216"/>
      <c r="AL89" s="216"/>
      <c r="AM89" s="216"/>
      <c r="AN89" s="216"/>
      <c r="AO89" s="216"/>
      <c r="AP89" s="216"/>
      <c r="AQ89" s="216"/>
      <c r="AR89" s="216"/>
      <c r="AS89" s="216"/>
      <c r="AT89" s="256"/>
      <c r="AU89" s="216"/>
      <c r="AV89" s="200"/>
      <c r="BB89" s="187"/>
      <c r="BF89" s="187"/>
      <c r="BG89" s="211" t="s">
        <v>54</v>
      </c>
      <c r="BH89" s="212"/>
      <c r="BI89" s="213" t="s">
        <v>54</v>
      </c>
      <c r="BJ89" s="214"/>
      <c r="BK89" s="214"/>
      <c r="BL89" s="216"/>
      <c r="BM89" s="211"/>
      <c r="BN89" s="211"/>
      <c r="BO89" s="211"/>
      <c r="BP89" s="242"/>
      <c r="BQ89" s="240">
        <f>SUBTOTAL(109,Table15617293104[اجمالي])</f>
        <v>2030</v>
      </c>
      <c r="BR89" s="244">
        <f>Table15617293104[[#Totals],[اجمالي]]/$R$68</f>
        <v>0.0077842721274166476</v>
      </c>
      <c r="BS89" s="216"/>
      <c r="BT89" s="216" t="s">
        <v>73</v>
      </c>
      <c r="BU89" s="216">
        <v>250</v>
      </c>
      <c r="BV89" s="216">
        <v>200</v>
      </c>
      <c r="BW89" s="216">
        <v>100</v>
      </c>
      <c r="BX89" s="216">
        <v>3000</v>
      </c>
      <c r="BY89" s="216">
        <v>10000</v>
      </c>
      <c r="BZ89" s="216">
        <v>300</v>
      </c>
      <c r="CA89" s="216"/>
      <c r="CB89" s="216"/>
      <c r="CC89" s="216"/>
      <c r="CD89" s="216"/>
      <c r="CE89" s="216"/>
      <c r="CF89" s="216"/>
      <c r="CG89" s="216"/>
      <c r="CH89" s="216"/>
      <c r="CI89" s="216"/>
      <c r="CJ89" s="216"/>
      <c r="CK89" s="216"/>
      <c r="CL89" s="216"/>
      <c r="CM89" s="216"/>
      <c r="CN89" s="216"/>
      <c r="CO89" s="256"/>
    </row>
    <row r="90" ht="18">
      <c r="A90" s="537" t="s">
        <v>324</v>
      </c>
      <c r="B90" s="538">
        <v>2</v>
      </c>
      <c r="C90" s="538"/>
      <c r="D90" s="538" t="s">
        <v>301</v>
      </c>
      <c r="E90" s="194">
        <v>1000</v>
      </c>
      <c r="F90" s="538">
        <f>B90*E90</f>
        <v>2000</v>
      </c>
      <c r="G90" s="543"/>
      <c r="H90" s="528"/>
      <c r="I90" s="528"/>
      <c r="J90" s="528"/>
      <c r="K90" s="187"/>
      <c r="L90" s="211" t="s">
        <v>54</v>
      </c>
      <c r="M90" s="212"/>
      <c r="N90" s="213" t="s">
        <v>54</v>
      </c>
      <c r="O90" s="214"/>
      <c r="P90" s="214"/>
      <c r="Q90" s="216"/>
      <c r="R90" s="211"/>
      <c r="S90" s="211"/>
      <c r="T90" s="211"/>
      <c r="U90" s="242"/>
      <c r="V90" s="240">
        <f>SUBTOTAL(109,Table15617293[اجمالي])</f>
        <v>5950</v>
      </c>
      <c r="W90" s="244">
        <f>Table15617293[[#Totals],[اجمالي]]/$R$68</f>
        <v>0.022815970028635002</v>
      </c>
      <c r="X90" s="216"/>
      <c r="Y90" s="216" t="s">
        <v>78</v>
      </c>
      <c r="Z90" s="216">
        <v>250</v>
      </c>
      <c r="AA90" s="216">
        <v>200</v>
      </c>
      <c r="AB90" s="216">
        <v>100</v>
      </c>
      <c r="AC90" s="216">
        <v>3000</v>
      </c>
      <c r="AD90" s="216">
        <v>10000</v>
      </c>
      <c r="AE90" s="216">
        <v>300</v>
      </c>
      <c r="AF90" s="216"/>
      <c r="AG90" s="216"/>
      <c r="AH90" s="216"/>
      <c r="AI90" s="216"/>
      <c r="AJ90" s="216"/>
      <c r="AK90" s="216"/>
      <c r="AL90" s="216"/>
      <c r="AM90" s="216"/>
      <c r="AN90" s="216"/>
      <c r="AO90" s="216"/>
      <c r="AP90" s="216"/>
      <c r="AQ90" s="216"/>
      <c r="AR90" s="216"/>
      <c r="AS90" s="216"/>
      <c r="AT90" s="256"/>
      <c r="AU90" s="216"/>
      <c r="AV90" s="200"/>
      <c r="BB90" s="187"/>
      <c r="BF90" s="187"/>
      <c r="BG90" s="216"/>
      <c r="BH90" s="216"/>
      <c r="BI90" s="217"/>
      <c r="BJ90" s="885" t="s">
        <v>95</v>
      </c>
      <c r="BK90" s="885"/>
      <c r="BL90" s="885"/>
      <c r="BM90" s="885"/>
      <c r="BN90" s="885"/>
      <c r="BO90" s="885"/>
      <c r="BP90" s="216"/>
      <c r="BQ90" s="216"/>
      <c r="BR90" s="216"/>
      <c r="BS90" s="216"/>
      <c r="BT90" s="216" t="s">
        <v>75</v>
      </c>
      <c r="BU90" s="216">
        <v>250</v>
      </c>
      <c r="BV90" s="216">
        <v>200</v>
      </c>
      <c r="BW90" s="216">
        <v>100</v>
      </c>
      <c r="BX90" s="216">
        <v>3000</v>
      </c>
      <c r="BY90" s="216">
        <v>10000</v>
      </c>
      <c r="BZ90" s="216">
        <v>300</v>
      </c>
      <c r="CA90" s="216"/>
      <c r="CB90" s="216"/>
      <c r="CC90" s="216"/>
      <c r="CD90" s="216"/>
      <c r="CE90" s="216"/>
      <c r="CF90" s="216"/>
      <c r="CG90" s="216"/>
      <c r="CH90" s="216"/>
      <c r="CI90" s="216"/>
      <c r="CJ90" s="216"/>
      <c r="CK90" s="216"/>
      <c r="CL90" s="216"/>
      <c r="CM90" s="216"/>
      <c r="CN90" s="216"/>
      <c r="CO90" s="256"/>
    </row>
    <row r="91" ht="18">
      <c r="A91" s="537" t="s">
        <v>326</v>
      </c>
      <c r="B91" s="538"/>
      <c r="C91" s="538">
        <f>ROUNDUP(((C76*B76)/100),0)</f>
        <v>49</v>
      </c>
      <c r="D91" s="538" t="s">
        <v>301</v>
      </c>
      <c r="E91" s="194">
        <v>10</v>
      </c>
      <c r="F91" s="538">
        <f>C91*E91</f>
        <v>490</v>
      </c>
      <c r="G91" s="543"/>
      <c r="H91" s="528"/>
      <c r="I91" s="528"/>
      <c r="J91" s="528"/>
      <c r="K91" s="187"/>
      <c r="L91" s="216"/>
      <c r="M91" s="216"/>
      <c r="N91" s="217"/>
      <c r="O91" s="885" t="s">
        <v>95</v>
      </c>
      <c r="P91" s="885"/>
      <c r="Q91" s="885"/>
      <c r="R91" s="885"/>
      <c r="S91" s="885"/>
      <c r="T91" s="885"/>
      <c r="U91" s="216"/>
      <c r="V91" s="216"/>
      <c r="W91" s="216"/>
      <c r="X91" s="216"/>
      <c r="Y91" s="216" t="s">
        <v>81</v>
      </c>
      <c r="Z91" s="216">
        <v>800</v>
      </c>
      <c r="AA91" s="216">
        <v>600</v>
      </c>
      <c r="AB91" s="216">
        <v>150</v>
      </c>
      <c r="AC91" s="216">
        <v>12000</v>
      </c>
      <c r="AD91" s="216">
        <v>22000</v>
      </c>
      <c r="AE91" s="216">
        <v>600</v>
      </c>
      <c r="AF91" s="216"/>
      <c r="AG91" s="216"/>
      <c r="AH91" s="216"/>
      <c r="AI91" s="216"/>
      <c r="AJ91" s="216"/>
      <c r="AK91" s="216"/>
      <c r="AL91" s="216"/>
      <c r="AM91" s="216"/>
      <c r="AN91" s="216"/>
      <c r="AO91" s="216"/>
      <c r="AP91" s="216"/>
      <c r="AQ91" s="216"/>
      <c r="AR91" s="216"/>
      <c r="AS91" s="216"/>
      <c r="AT91" s="256"/>
      <c r="AU91" s="216"/>
      <c r="AV91" s="200"/>
      <c r="BG91" s="211" t="s">
        <v>27</v>
      </c>
      <c r="BH91" s="211" t="s">
        <v>28</v>
      </c>
      <c r="BI91" s="218" t="s">
        <v>29</v>
      </c>
      <c r="BJ91" s="211" t="s">
        <v>30</v>
      </c>
      <c r="BK91" s="211" t="s">
        <v>9</v>
      </c>
      <c r="BL91" s="211" t="s">
        <v>61</v>
      </c>
      <c r="BM91" s="211" t="s">
        <v>32</v>
      </c>
      <c r="BN91" s="211" t="s">
        <v>33</v>
      </c>
      <c r="BO91" s="211" t="s">
        <v>74</v>
      </c>
      <c r="BP91" s="211" t="s">
        <v>35</v>
      </c>
      <c r="BQ91" s="245" t="s">
        <v>36</v>
      </c>
      <c r="BR91" s="211" t="s">
        <v>37</v>
      </c>
      <c r="BS91" s="216"/>
      <c r="BT91" s="216" t="s">
        <v>78</v>
      </c>
      <c r="BU91" s="216">
        <v>250</v>
      </c>
      <c r="BV91" s="216">
        <v>200</v>
      </c>
      <c r="BW91" s="216">
        <v>100</v>
      </c>
      <c r="BX91" s="216">
        <v>3000</v>
      </c>
      <c r="BY91" s="216">
        <v>10000</v>
      </c>
      <c r="BZ91" s="216">
        <v>300</v>
      </c>
      <c r="CA91" s="216"/>
      <c r="CB91" s="216"/>
      <c r="CC91" s="216"/>
      <c r="CD91" s="216"/>
      <c r="CE91" s="216"/>
      <c r="CF91" s="216"/>
      <c r="CG91" s="216"/>
      <c r="CH91" s="216"/>
      <c r="CI91" s="216"/>
      <c r="CJ91" s="216"/>
      <c r="CK91" s="216"/>
      <c r="CL91" s="216"/>
      <c r="CM91" s="216"/>
      <c r="CN91" s="216"/>
      <c r="CO91" s="256"/>
    </row>
    <row r="92" ht="18">
      <c r="A92" s="193" t="s">
        <v>325</v>
      </c>
      <c r="B92" s="194"/>
      <c r="C92" s="194">
        <f>C91</f>
        <v>49</v>
      </c>
      <c r="D92" s="538" t="s">
        <v>301</v>
      </c>
      <c r="E92" s="194">
        <v>20</v>
      </c>
      <c r="F92" s="538">
        <f ref="F92:F93" t="shared" si="23">C92*E92</f>
        <v>980</v>
      </c>
      <c r="G92" s="528"/>
      <c r="H92" s="528"/>
      <c r="I92" s="528"/>
      <c r="J92" s="528"/>
      <c r="L92" s="211" t="s">
        <v>27</v>
      </c>
      <c r="M92" s="211" t="s">
        <v>28</v>
      </c>
      <c r="N92" s="218" t="s">
        <v>29</v>
      </c>
      <c r="O92" s="211" t="s">
        <v>30</v>
      </c>
      <c r="P92" s="211" t="s">
        <v>9</v>
      </c>
      <c r="Q92" s="211" t="s">
        <v>61</v>
      </c>
      <c r="R92" s="211" t="s">
        <v>32</v>
      </c>
      <c r="S92" s="211" t="s">
        <v>33</v>
      </c>
      <c r="T92" s="211" t="s">
        <v>74</v>
      </c>
      <c r="U92" s="211" t="s">
        <v>35</v>
      </c>
      <c r="V92" s="245" t="s">
        <v>36</v>
      </c>
      <c r="W92" s="211" t="s">
        <v>37</v>
      </c>
      <c r="X92" s="216"/>
      <c r="Y92" s="216" t="s">
        <v>83</v>
      </c>
      <c r="Z92" s="216">
        <v>800</v>
      </c>
      <c r="AA92" s="216">
        <v>750</v>
      </c>
      <c r="AB92" s="216">
        <v>150</v>
      </c>
      <c r="AC92" s="216">
        <v>12000</v>
      </c>
      <c r="AD92" s="216">
        <v>22000</v>
      </c>
      <c r="AE92" s="216">
        <v>600</v>
      </c>
      <c r="AF92" s="216"/>
      <c r="AG92" s="216"/>
      <c r="AH92" s="216"/>
      <c r="AI92" s="216"/>
      <c r="AJ92" s="216"/>
      <c r="AK92" s="216"/>
      <c r="AL92" s="216"/>
      <c r="AM92" s="216"/>
      <c r="AN92" s="216"/>
      <c r="AO92" s="216"/>
      <c r="AP92" s="216"/>
      <c r="AQ92" s="216"/>
      <c r="AR92" s="216"/>
      <c r="AS92" s="216"/>
      <c r="AT92" s="256"/>
      <c r="AU92" s="216"/>
      <c r="AV92" s="200"/>
      <c r="BG92" s="211">
        <v>1</v>
      </c>
      <c r="BH92" s="212">
        <f>IF((BD72="بالتات"),4,0)</f>
        <v>4</v>
      </c>
      <c r="BI92" s="220" t="s">
        <v>97</v>
      </c>
      <c r="BJ92" s="214">
        <v>0.4</v>
      </c>
      <c r="BK92" s="214">
        <v>0.4</v>
      </c>
      <c r="BL92" s="211">
        <f>(Table16627394105[[#This Row],[Column1]]+Table16627394105[[#This Row],[Column2]])*12</f>
        <v>9.6000000000000014</v>
      </c>
      <c r="BM92" s="211"/>
      <c r="BN92" s="211">
        <v>12</v>
      </c>
      <c r="BO92" s="211"/>
      <c r="BP92" s="248">
        <f>BN92*$S$2/1000</f>
        <v>540</v>
      </c>
      <c r="BQ92" s="240">
        <f>BH92*BP92</f>
        <v>2160</v>
      </c>
      <c r="BR92" s="249">
        <f>(BQ92)/$R$68</f>
        <v>0.0082827723129162353</v>
      </c>
      <c r="BS92" s="216"/>
      <c r="BT92" s="216" t="s">
        <v>81</v>
      </c>
      <c r="BU92" s="216">
        <v>800</v>
      </c>
      <c r="BV92" s="216">
        <v>600</v>
      </c>
      <c r="BW92" s="216">
        <v>150</v>
      </c>
      <c r="BX92" s="216">
        <v>12000</v>
      </c>
      <c r="BY92" s="216">
        <v>22000</v>
      </c>
      <c r="BZ92" s="216">
        <v>600</v>
      </c>
      <c r="CA92" s="216"/>
      <c r="CB92" s="216"/>
      <c r="CC92" s="216"/>
      <c r="CD92" s="216"/>
      <c r="CE92" s="216"/>
      <c r="CF92" s="216"/>
      <c r="CG92" s="216"/>
      <c r="CH92" s="216"/>
      <c r="CI92" s="216"/>
      <c r="CJ92" s="216"/>
      <c r="CK92" s="216"/>
      <c r="CL92" s="216"/>
      <c r="CM92" s="216"/>
      <c r="CN92" s="216"/>
      <c r="CO92" s="256"/>
    </row>
    <row r="93" ht="18">
      <c r="A93" s="537" t="s">
        <v>327</v>
      </c>
      <c r="B93" s="538" t="s">
        <v>328</v>
      </c>
      <c r="C93" s="538">
        <f>ROUNDUP((B76/3),0)</f>
        <v>6</v>
      </c>
      <c r="D93" s="538" t="s">
        <v>28</v>
      </c>
      <c r="E93" s="194">
        <v>275</v>
      </c>
      <c r="F93" s="538">
        <f t="shared" si="23"/>
        <v>1650</v>
      </c>
      <c r="G93" s="528"/>
      <c r="H93" s="528"/>
      <c r="I93" s="528"/>
      <c r="J93" s="528"/>
      <c r="L93" s="211">
        <v>1</v>
      </c>
      <c r="M93" s="212">
        <f>IF((I74="بالتات"),4,0)</f>
        <v>0</v>
      </c>
      <c r="N93" s="220" t="s">
        <v>97</v>
      </c>
      <c r="O93" s="214">
        <v>0.4</v>
      </c>
      <c r="P93" s="214">
        <v>0.4</v>
      </c>
      <c r="Q93" s="211">
        <f>(Table16627394[[#This Row],[Column1]]+Table16627394[[#This Row],[Column2]])*12</f>
        <v>9.6000000000000014</v>
      </c>
      <c r="R93" s="211"/>
      <c r="S93" s="211">
        <v>12</v>
      </c>
      <c r="T93" s="211"/>
      <c r="U93" s="248">
        <f>S93*$S$2/1000</f>
        <v>540</v>
      </c>
      <c r="V93" s="240">
        <f>M93*U93</f>
        <v>0</v>
      </c>
      <c r="W93" s="249">
        <f>(V93)/$R$68</f>
        <v>0</v>
      </c>
      <c r="X93" s="216"/>
      <c r="Y93" s="216" t="s">
        <v>85</v>
      </c>
      <c r="Z93" s="216">
        <v>800</v>
      </c>
      <c r="AA93" s="216">
        <v>750</v>
      </c>
      <c r="AB93" s="216">
        <v>150</v>
      </c>
      <c r="AC93" s="216">
        <v>12000</v>
      </c>
      <c r="AD93" s="216">
        <v>22000</v>
      </c>
      <c r="AE93" s="216">
        <v>600</v>
      </c>
      <c r="AF93" s="216"/>
      <c r="AG93" s="216"/>
      <c r="AH93" s="216"/>
      <c r="AI93" s="216"/>
      <c r="AJ93" s="216"/>
      <c r="AK93" s="216"/>
      <c r="AL93" s="216"/>
      <c r="AM93" s="216"/>
      <c r="AN93" s="216"/>
      <c r="AO93" s="216"/>
      <c r="AP93" s="216"/>
      <c r="AQ93" s="216"/>
      <c r="AR93" s="216"/>
      <c r="AS93" s="216"/>
      <c r="AT93" s="256"/>
      <c r="AU93" s="216"/>
      <c r="AV93" s="200"/>
      <c r="BG93" s="211">
        <v>2</v>
      </c>
      <c r="BH93" s="219">
        <v>0</v>
      </c>
      <c r="BI93" s="220" t="s">
        <v>195</v>
      </c>
      <c r="BJ93" s="221">
        <v>0.3</v>
      </c>
      <c r="BK93" s="221">
        <v>0.3</v>
      </c>
      <c r="BL93" s="221">
        <f>(Table16627394105[[#This Row],[Column1]]*Table16627394105[[#This Row],[Column2]])*2*Table16627394105[[#This Row],[عدد]]</f>
        <v>0</v>
      </c>
      <c r="BM93" s="250" t="s">
        <v>80</v>
      </c>
      <c r="BN93" s="250">
        <v>7</v>
      </c>
      <c r="BO93" s="211"/>
      <c r="BP93" s="243">
        <f>BN93*$S$2/1000</f>
        <v>315</v>
      </c>
      <c r="BQ93" s="240">
        <f>BH93*BP93</f>
        <v>0</v>
      </c>
      <c r="BR93" s="241">
        <f>(BQ93)/$R$68</f>
        <v>0</v>
      </c>
      <c r="BS93" s="216"/>
      <c r="BT93" s="216" t="s">
        <v>83</v>
      </c>
      <c r="BU93" s="216">
        <v>800</v>
      </c>
      <c r="BV93" s="216">
        <v>750</v>
      </c>
      <c r="BW93" s="216">
        <v>150</v>
      </c>
      <c r="BX93" s="216">
        <v>12000</v>
      </c>
      <c r="BY93" s="216">
        <v>22000</v>
      </c>
      <c r="BZ93" s="216">
        <v>600</v>
      </c>
      <c r="CA93" s="216"/>
      <c r="CB93" s="216"/>
      <c r="CC93" s="216"/>
      <c r="CD93" s="216"/>
      <c r="CE93" s="216"/>
      <c r="CF93" s="216"/>
      <c r="CG93" s="216"/>
      <c r="CH93" s="216"/>
      <c r="CI93" s="216"/>
      <c r="CJ93" s="216"/>
      <c r="CK93" s="216"/>
      <c r="CL93" s="216"/>
      <c r="CM93" s="216"/>
      <c r="CN93" s="216"/>
      <c r="CO93" s="256"/>
    </row>
    <row r="94" ht="18">
      <c r="A94" s="537" t="s">
        <v>329</v>
      </c>
      <c r="B94" s="538" t="s">
        <v>330</v>
      </c>
      <c r="C94" s="538">
        <f>C93</f>
        <v>6</v>
      </c>
      <c r="D94" s="538" t="s">
        <v>28</v>
      </c>
      <c r="E94" s="194">
        <v>45</v>
      </c>
      <c r="F94" s="538">
        <f>E94*C94</f>
        <v>270</v>
      </c>
      <c r="G94" s="528"/>
      <c r="H94" s="528"/>
      <c r="I94" s="528"/>
      <c r="J94" s="528"/>
      <c r="L94" s="211">
        <v>2</v>
      </c>
      <c r="M94" s="219">
        <v>0</v>
      </c>
      <c r="N94" s="220" t="s">
        <v>195</v>
      </c>
      <c r="O94" s="221">
        <v>0.3</v>
      </c>
      <c r="P94" s="221">
        <v>0.3</v>
      </c>
      <c r="Q94" s="221">
        <f>(Table16627394[[#This Row],[Column1]]*Table16627394[[#This Row],[Column2]])*2*Table16627394[[#This Row],[عدد]]</f>
        <v>0</v>
      </c>
      <c r="R94" s="250" t="s">
        <v>80</v>
      </c>
      <c r="S94" s="250">
        <v>7</v>
      </c>
      <c r="T94" s="211"/>
      <c r="U94" s="243">
        <f>S94*$S$2/1000</f>
        <v>315</v>
      </c>
      <c r="V94" s="240">
        <f>M94*U94</f>
        <v>0</v>
      </c>
      <c r="W94" s="241">
        <f>(V94)/$R$68</f>
        <v>0</v>
      </c>
      <c r="X94" s="216"/>
      <c r="Y94" s="216"/>
      <c r="Z94" s="216"/>
      <c r="AA94" s="216"/>
      <c r="AB94" s="216"/>
      <c r="AC94" s="216"/>
      <c r="AD94" s="216"/>
      <c r="AE94" s="216"/>
      <c r="AF94" s="216"/>
      <c r="AG94" s="216"/>
      <c r="AH94" s="216"/>
      <c r="AI94" s="216"/>
      <c r="AJ94" s="216"/>
      <c r="AK94" s="216"/>
      <c r="AL94" s="216"/>
      <c r="AM94" s="216"/>
      <c r="AN94" s="216"/>
      <c r="AO94" s="216"/>
      <c r="AP94" s="216"/>
      <c r="AQ94" s="216"/>
      <c r="AR94" s="216"/>
      <c r="AS94" s="216"/>
      <c r="AT94" s="256"/>
      <c r="AU94" s="216"/>
      <c r="AV94" s="200"/>
      <c r="BG94" s="211">
        <v>3</v>
      </c>
      <c r="BH94" s="212">
        <f>BH92*4</f>
        <v>16</v>
      </c>
      <c r="BI94" s="213" t="s">
        <v>98</v>
      </c>
      <c r="BJ94" s="214">
        <v>0.1</v>
      </c>
      <c r="BK94" s="214">
        <v>0.1</v>
      </c>
      <c r="BL94" s="221">
        <f>(Table16627394105[[#This Row],[Column1]]*Table16627394105[[#This Row],[Column2]])*Table16627394105[[#This Row],[عدد]]</f>
        <v>0.16000000000000003</v>
      </c>
      <c r="BM94" s="211" t="s">
        <v>80</v>
      </c>
      <c r="BN94" s="211">
        <v>0.75</v>
      </c>
      <c r="BO94" s="211"/>
      <c r="BP94" s="243">
        <f>BN94*$S$2/1000</f>
        <v>33.75</v>
      </c>
      <c r="BQ94" s="240">
        <f>BH94*BP94</f>
        <v>540</v>
      </c>
      <c r="BR94" s="251">
        <f>(BQ94)/$R$68</f>
        <v>0.0020706930782290588</v>
      </c>
      <c r="BS94" s="216"/>
      <c r="BT94" s="216" t="s">
        <v>85</v>
      </c>
      <c r="BU94" s="216">
        <v>800</v>
      </c>
      <c r="BV94" s="216">
        <v>750</v>
      </c>
      <c r="BW94" s="216">
        <v>150</v>
      </c>
      <c r="BX94" s="216">
        <v>12000</v>
      </c>
      <c r="BY94" s="216">
        <v>22000</v>
      </c>
      <c r="BZ94" s="216">
        <v>600</v>
      </c>
      <c r="CA94" s="216"/>
      <c r="CB94" s="216"/>
      <c r="CC94" s="216"/>
      <c r="CD94" s="216"/>
      <c r="CE94" s="216"/>
      <c r="CF94" s="216"/>
      <c r="CG94" s="216"/>
      <c r="CH94" s="216"/>
      <c r="CI94" s="216"/>
      <c r="CJ94" s="216"/>
      <c r="CK94" s="216"/>
      <c r="CL94" s="216"/>
      <c r="CM94" s="216"/>
      <c r="CN94" s="216"/>
      <c r="CO94" s="256"/>
    </row>
    <row r="95" ht="18">
      <c r="A95" s="537" t="s">
        <v>331</v>
      </c>
      <c r="B95" s="538" t="s">
        <v>28</v>
      </c>
      <c r="C95" s="538">
        <v>2</v>
      </c>
      <c r="D95" s="538" t="s">
        <v>28</v>
      </c>
      <c r="E95" s="194">
        <v>800</v>
      </c>
      <c r="F95" s="538">
        <f>E95*C95</f>
        <v>1600</v>
      </c>
      <c r="G95" s="528"/>
      <c r="H95" s="528"/>
      <c r="I95" s="528"/>
      <c r="J95" s="528"/>
      <c r="L95" s="211">
        <v>3</v>
      </c>
      <c r="M95" s="212">
        <f>M93*4</f>
        <v>0</v>
      </c>
      <c r="N95" s="213" t="s">
        <v>98</v>
      </c>
      <c r="O95" s="214">
        <v>0.1</v>
      </c>
      <c r="P95" s="214">
        <v>0.1</v>
      </c>
      <c r="Q95" s="221">
        <f>(Table16627394[[#This Row],[Column1]]*Table16627394[[#This Row],[Column2]])*Table16627394[[#This Row],[عدد]]</f>
        <v>0</v>
      </c>
      <c r="R95" s="211" t="s">
        <v>80</v>
      </c>
      <c r="S95" s="211">
        <v>0.75</v>
      </c>
      <c r="T95" s="211"/>
      <c r="U95" s="243">
        <f>S95*$S$2/1000</f>
        <v>33.75</v>
      </c>
      <c r="V95" s="240">
        <f>M95*U95</f>
        <v>0</v>
      </c>
      <c r="W95" s="251">
        <f>(V95)/$R$68</f>
        <v>0</v>
      </c>
      <c r="X95" s="216"/>
      <c r="Y95" s="216"/>
      <c r="Z95" s="216"/>
      <c r="AA95" s="216"/>
      <c r="AB95" s="216"/>
      <c r="AC95" s="216"/>
      <c r="AD95" s="216"/>
      <c r="AE95" s="216"/>
      <c r="AF95" s="216"/>
      <c r="AG95" s="216"/>
      <c r="AH95" s="216"/>
      <c r="AI95" s="216"/>
      <c r="AJ95" s="216"/>
      <c r="AK95" s="216"/>
      <c r="AL95" s="216"/>
      <c r="AM95" s="216"/>
      <c r="AN95" s="216"/>
      <c r="AO95" s="216"/>
      <c r="AP95" s="216"/>
      <c r="AQ95" s="216"/>
      <c r="AR95" s="216"/>
      <c r="AS95" s="216"/>
      <c r="AT95" s="256"/>
      <c r="AU95" s="216"/>
      <c r="AV95" s="200"/>
      <c r="BG95" s="211" t="s">
        <v>54</v>
      </c>
      <c r="BH95" s="212">
        <f>SUBTOTAL(109,Table16627394105[عدد])</f>
        <v>20</v>
      </c>
      <c r="BI95" s="213" t="s">
        <v>54</v>
      </c>
      <c r="BJ95" s="214"/>
      <c r="BK95" s="214"/>
      <c r="BL95" s="216">
        <f>SUBTOTAL(109,Table16627394105[Column12])</f>
        <v>9.7600000000000016</v>
      </c>
      <c r="BM95" s="211"/>
      <c r="BN95" s="211">
        <f>(BN93*BH93)+(BH94*BN94)</f>
        <v>12</v>
      </c>
      <c r="BO95" s="211"/>
      <c r="BP95" s="242"/>
      <c r="BQ95" s="240">
        <f>SUBTOTAL(109,Table16627394105[اجمالي])</f>
        <v>2700</v>
      </c>
      <c r="BR95" s="244">
        <f>Table16627394105[[#Totals],[اجمالي]]/$R$68</f>
        <v>0.010353465391145294</v>
      </c>
      <c r="BS95" s="216"/>
      <c r="BT95" s="216"/>
      <c r="BU95" s="216"/>
      <c r="BV95" s="216"/>
      <c r="BW95" s="216"/>
      <c r="BX95" s="216"/>
      <c r="BY95" s="216"/>
      <c r="BZ95" s="216"/>
      <c r="CA95" s="216"/>
      <c r="CB95" s="216"/>
      <c r="CC95" s="216"/>
      <c r="CD95" s="216"/>
      <c r="CE95" s="216"/>
      <c r="CF95" s="216"/>
      <c r="CG95" s="216"/>
      <c r="CH95" s="216"/>
      <c r="CI95" s="216"/>
      <c r="CJ95" s="216"/>
      <c r="CK95" s="216"/>
      <c r="CL95" s="216"/>
      <c r="CM95" s="216"/>
      <c r="CN95" s="216"/>
      <c r="CO95" s="256"/>
    </row>
    <row r="96" ht="18">
      <c r="A96" s="537" t="s">
        <v>189</v>
      </c>
      <c r="B96" s="538" t="s">
        <v>28</v>
      </c>
      <c r="C96" s="538">
        <v>1</v>
      </c>
      <c r="D96" s="538" t="s">
        <v>28</v>
      </c>
      <c r="E96" s="538">
        <f>Sheet2!B57</f>
        <v>9000</v>
      </c>
      <c r="F96" s="538">
        <f>E96*C96</f>
        <v>9000</v>
      </c>
      <c r="G96" s="528"/>
      <c r="H96" s="528"/>
      <c r="I96" s="528"/>
      <c r="J96" s="528"/>
      <c r="L96" s="211" t="s">
        <v>54</v>
      </c>
      <c r="M96" s="212">
        <f>SUBTOTAL(109,Table16627394[عدد])</f>
        <v>0</v>
      </c>
      <c r="N96" s="213" t="s">
        <v>54</v>
      </c>
      <c r="O96" s="214"/>
      <c r="P96" s="214"/>
      <c r="Q96" s="216">
        <f>SUBTOTAL(109,Table16627394[Column12])</f>
        <v>9.6000000000000014</v>
      </c>
      <c r="R96" s="211"/>
      <c r="S96" s="211">
        <f>(S94*M94)+(M95*S95)</f>
        <v>0</v>
      </c>
      <c r="T96" s="211"/>
      <c r="U96" s="242"/>
      <c r="V96" s="240">
        <f>SUBTOTAL(109,Table16627394[اجمالي])</f>
        <v>0</v>
      </c>
      <c r="W96" s="244">
        <f>Table16627394[[#Totals],[اجمالي]]/$R$68</f>
        <v>0</v>
      </c>
      <c r="X96" s="216"/>
      <c r="Y96" s="216"/>
      <c r="Z96" s="216"/>
      <c r="AA96" s="216"/>
      <c r="AB96" s="216"/>
      <c r="AC96" s="216"/>
      <c r="AD96" s="216"/>
      <c r="AE96" s="216"/>
      <c r="AF96" s="216"/>
      <c r="AG96" s="216"/>
      <c r="AH96" s="216"/>
      <c r="AI96" s="216"/>
      <c r="AJ96" s="216"/>
      <c r="AK96" s="216"/>
      <c r="AL96" s="216"/>
      <c r="AM96" s="216"/>
      <c r="AN96" s="216"/>
      <c r="AO96" s="216"/>
      <c r="AP96" s="216"/>
      <c r="AQ96" s="216"/>
      <c r="AR96" s="216"/>
      <c r="AS96" s="216"/>
      <c r="AT96" s="256"/>
      <c r="AU96" s="216"/>
      <c r="AV96" s="200"/>
      <c r="BG96" s="216"/>
      <c r="BH96" s="216"/>
      <c r="BI96" s="217"/>
      <c r="BJ96" s="885" t="s">
        <v>99</v>
      </c>
      <c r="BK96" s="885"/>
      <c r="BL96" s="885"/>
      <c r="BM96" s="885"/>
      <c r="BN96" s="885"/>
      <c r="BO96" s="885"/>
      <c r="BP96" s="216"/>
      <c r="BQ96" s="216"/>
      <c r="BR96" s="216"/>
      <c r="BS96" s="216"/>
      <c r="BT96" s="216"/>
      <c r="BU96" s="216"/>
      <c r="BV96" s="216"/>
      <c r="BW96" s="216"/>
      <c r="BX96" s="216"/>
      <c r="BY96" s="216"/>
      <c r="BZ96" s="216"/>
      <c r="CA96" s="216"/>
      <c r="CB96" s="216"/>
      <c r="CC96" s="216"/>
      <c r="CD96" s="216"/>
      <c r="CE96" s="216"/>
      <c r="CF96" s="216"/>
      <c r="CG96" s="216"/>
      <c r="CH96" s="216"/>
      <c r="CI96" s="216"/>
      <c r="CJ96" s="216"/>
      <c r="CK96" s="216"/>
      <c r="CL96" s="216"/>
      <c r="CM96" s="216"/>
      <c r="CN96" s="216"/>
      <c r="CO96" s="256"/>
    </row>
    <row r="97" ht="18">
      <c r="A97" s="193" t="s">
        <v>54</v>
      </c>
      <c r="B97" s="199">
        <f>(Table80102114115[[#Totals],[price]]*1.1)/(F74*D74/10000)</f>
        <v>11242.369212962962</v>
      </c>
      <c r="C97" s="194"/>
      <c r="D97" s="194"/>
      <c r="E97" s="194"/>
      <c r="F97" s="194">
        <f>SUBTOTAL(109,Table80102114115[price])</f>
        <v>88303.699999999983</v>
      </c>
      <c r="L97" s="216"/>
      <c r="M97" s="216"/>
      <c r="N97" s="217"/>
      <c r="O97" s="885" t="s">
        <v>99</v>
      </c>
      <c r="P97" s="885"/>
      <c r="Q97" s="885"/>
      <c r="R97" s="885"/>
      <c r="S97" s="885"/>
      <c r="T97" s="885"/>
      <c r="U97" s="216"/>
      <c r="V97" s="216"/>
      <c r="W97" s="216"/>
      <c r="X97" s="216"/>
      <c r="Y97" s="216"/>
      <c r="Z97" s="216"/>
      <c r="AA97" s="216"/>
      <c r="AB97" s="216"/>
      <c r="AC97" s="216"/>
      <c r="AD97" s="216"/>
      <c r="AE97" s="216"/>
      <c r="AF97" s="216"/>
      <c r="AG97" s="216"/>
      <c r="AH97" s="216"/>
      <c r="AI97" s="216"/>
      <c r="AJ97" s="216"/>
      <c r="AK97" s="216"/>
      <c r="AL97" s="216"/>
      <c r="AM97" s="216"/>
      <c r="AN97" s="216"/>
      <c r="AO97" s="216"/>
      <c r="AP97" s="216"/>
      <c r="AQ97" s="216"/>
      <c r="AR97" s="216"/>
      <c r="AS97" s="216"/>
      <c r="AT97" s="256"/>
      <c r="AU97" s="216"/>
      <c r="AV97" s="200"/>
      <c r="BG97" s="211" t="s">
        <v>27</v>
      </c>
      <c r="BH97" s="211" t="s">
        <v>28</v>
      </c>
      <c r="BI97" s="218" t="s">
        <v>29</v>
      </c>
      <c r="BJ97" s="211" t="s">
        <v>30</v>
      </c>
      <c r="BK97" s="211" t="s">
        <v>9</v>
      </c>
      <c r="BL97" s="211" t="s">
        <v>61</v>
      </c>
      <c r="BM97" s="211" t="s">
        <v>32</v>
      </c>
      <c r="BN97" s="211" t="s">
        <v>33</v>
      </c>
      <c r="BO97" s="211" t="s">
        <v>74</v>
      </c>
      <c r="BP97" s="211" t="s">
        <v>35</v>
      </c>
      <c r="BQ97" s="245" t="s">
        <v>36</v>
      </c>
      <c r="BR97" s="211" t="s">
        <v>37</v>
      </c>
      <c r="BS97" s="216"/>
      <c r="BT97" s="216"/>
      <c r="BU97" s="216"/>
      <c r="BV97" s="216"/>
      <c r="BW97" s="216"/>
      <c r="BX97" s="216"/>
      <c r="BY97" s="216"/>
      <c r="BZ97" s="216"/>
      <c r="CA97" s="216"/>
      <c r="CB97" s="216"/>
      <c r="CC97" s="216"/>
      <c r="CD97" s="216"/>
      <c r="CE97" s="216"/>
      <c r="CF97" s="216"/>
      <c r="CG97" s="216"/>
      <c r="CH97" s="216"/>
      <c r="CI97" s="216"/>
      <c r="CJ97" s="216"/>
      <c r="CK97" s="216"/>
      <c r="CL97" s="216"/>
      <c r="CM97" s="216"/>
      <c r="CN97" s="216"/>
      <c r="CO97" s="256"/>
    </row>
    <row r="98" ht="18">
      <c r="A98" s="200"/>
      <c r="L98" s="211" t="s">
        <v>27</v>
      </c>
      <c r="M98" s="211" t="s">
        <v>28</v>
      </c>
      <c r="N98" s="218" t="s">
        <v>29</v>
      </c>
      <c r="O98" s="211" t="s">
        <v>30</v>
      </c>
      <c r="P98" s="211" t="s">
        <v>9</v>
      </c>
      <c r="Q98" s="211" t="s">
        <v>61</v>
      </c>
      <c r="R98" s="211" t="s">
        <v>32</v>
      </c>
      <c r="S98" s="211" t="s">
        <v>33</v>
      </c>
      <c r="T98" s="211" t="s">
        <v>74</v>
      </c>
      <c r="U98" s="211" t="s">
        <v>35</v>
      </c>
      <c r="V98" s="245" t="s">
        <v>36</v>
      </c>
      <c r="W98" s="211" t="s">
        <v>37</v>
      </c>
      <c r="X98" s="216"/>
      <c r="Y98" s="216"/>
      <c r="Z98" s="216"/>
      <c r="AA98" s="216"/>
      <c r="AB98" s="216"/>
      <c r="AC98" s="216"/>
      <c r="AD98" s="216"/>
      <c r="AE98" s="216"/>
      <c r="AF98" s="216"/>
      <c r="AG98" s="216"/>
      <c r="AH98" s="216"/>
      <c r="AI98" s="216"/>
      <c r="AJ98" s="216"/>
      <c r="AK98" s="216"/>
      <c r="AL98" s="216"/>
      <c r="AM98" s="216"/>
      <c r="AN98" s="216"/>
      <c r="AO98" s="216"/>
      <c r="AP98" s="216"/>
      <c r="AQ98" s="216"/>
      <c r="AR98" s="216"/>
      <c r="AS98" s="216"/>
      <c r="AT98" s="256"/>
      <c r="AU98" s="216"/>
      <c r="AV98" s="200"/>
      <c r="BG98" s="211">
        <v>1</v>
      </c>
      <c r="BH98" s="222">
        <f>CH81/3</f>
        <v>0</v>
      </c>
      <c r="BI98" s="213" t="s">
        <v>107</v>
      </c>
      <c r="BJ98" s="214"/>
      <c r="BK98" s="214"/>
      <c r="BL98" s="214"/>
      <c r="BM98" s="211" t="s">
        <v>108</v>
      </c>
      <c r="BN98" s="211"/>
      <c r="BO98" s="211"/>
      <c r="BP98" s="248">
        <f>BP28</f>
        <v>400</v>
      </c>
      <c r="BQ98" s="240">
        <f ref="BQ98:BQ112" t="shared" si="24">BH98*BP98</f>
        <v>0</v>
      </c>
      <c r="BR98" s="241">
        <f ref="BR98:BR112" t="shared" si="25" ca="1">(BQ98)/$R$68</f>
        <v>0</v>
      </c>
      <c r="BS98" s="216"/>
      <c r="BT98" s="216"/>
      <c r="BU98" s="216"/>
      <c r="BV98" s="216"/>
      <c r="BW98" s="216"/>
      <c r="BX98" s="216"/>
      <c r="BY98" s="216"/>
      <c r="BZ98" s="216"/>
      <c r="CA98" s="216"/>
      <c r="CB98" s="216"/>
      <c r="CC98" s="216"/>
      <c r="CD98" s="216"/>
      <c r="CE98" s="216"/>
      <c r="CF98" s="216"/>
      <c r="CG98" s="216"/>
      <c r="CH98" s="216"/>
      <c r="CI98" s="216"/>
      <c r="CJ98" s="216"/>
      <c r="CK98" s="216"/>
      <c r="CL98" s="216"/>
      <c r="CM98" s="216"/>
      <c r="CN98" s="216"/>
      <c r="CO98" s="256"/>
    </row>
    <row r="99" ht="18">
      <c r="A99" s="200"/>
      <c r="L99" s="211">
        <v>1</v>
      </c>
      <c r="M99" s="222">
        <f>AM80/3</f>
        <v>0</v>
      </c>
      <c r="N99" s="213" t="s">
        <v>107</v>
      </c>
      <c r="O99" s="214"/>
      <c r="P99" s="214"/>
      <c r="Q99" s="214"/>
      <c r="R99" s="211" t="s">
        <v>108</v>
      </c>
      <c r="S99" s="211"/>
      <c r="T99" s="211"/>
      <c r="U99" s="248">
        <f>Sheet2!B24</f>
        <v>400</v>
      </c>
      <c r="V99" s="240">
        <f ref="V99:V104" t="shared" si="26">M99*U99</f>
        <v>0</v>
      </c>
      <c r="W99" s="241">
        <f ref="W99:W113" t="shared" si="27" ca="1">(V99)/$R$68</f>
        <v>0</v>
      </c>
      <c r="X99" s="216"/>
      <c r="Y99" s="216"/>
      <c r="Z99" s="216"/>
      <c r="AA99" s="216"/>
      <c r="AB99" s="216"/>
      <c r="AC99" s="216"/>
      <c r="AD99" s="216"/>
      <c r="AE99" s="216"/>
      <c r="AF99" s="216"/>
      <c r="AG99" s="216"/>
      <c r="AH99" s="216"/>
      <c r="AI99" s="216"/>
      <c r="AJ99" s="216"/>
      <c r="AK99" s="216"/>
      <c r="AL99" s="216"/>
      <c r="AM99" s="216"/>
      <c r="AN99" s="216"/>
      <c r="AO99" s="216"/>
      <c r="AP99" s="216"/>
      <c r="AQ99" s="216"/>
      <c r="AR99" s="216"/>
      <c r="AS99" s="216"/>
      <c r="AT99" s="256"/>
      <c r="AU99" s="216"/>
      <c r="AV99" s="200"/>
      <c r="BG99" s="211">
        <v>2</v>
      </c>
      <c r="BH99" s="219">
        <v>3</v>
      </c>
      <c r="BI99" s="218" t="s">
        <v>100</v>
      </c>
      <c r="BJ99" s="211"/>
      <c r="BK99" s="211"/>
      <c r="BL99" s="211"/>
      <c r="BM99" s="211" t="s">
        <v>101</v>
      </c>
      <c r="BN99" s="211"/>
      <c r="BO99" s="211"/>
      <c r="BP99" s="248">
        <f ref="BP99:BP112" t="shared" si="28">BP29</f>
        <v>18</v>
      </c>
      <c r="BQ99" s="240">
        <f t="shared" si="24"/>
        <v>54</v>
      </c>
      <c r="BR99" s="241">
        <f t="shared" si="25" ca="1"/>
        <v>0.00020706930782290588</v>
      </c>
      <c r="BS99" s="216"/>
      <c r="BT99" s="216"/>
      <c r="BU99" s="216"/>
      <c r="BV99" s="216"/>
      <c r="BW99" s="216"/>
      <c r="BX99" s="216"/>
      <c r="BY99" s="216"/>
      <c r="BZ99" s="216"/>
      <c r="CA99" s="216"/>
      <c r="CB99" s="216"/>
      <c r="CC99" s="216"/>
      <c r="CD99" s="216"/>
      <c r="CE99" s="216"/>
      <c r="CF99" s="216"/>
      <c r="CG99" s="216"/>
      <c r="CH99" s="216"/>
      <c r="CI99" s="216"/>
      <c r="CJ99" s="216"/>
      <c r="CK99" s="216"/>
      <c r="CL99" s="216"/>
      <c r="CM99" s="216"/>
      <c r="CN99" s="216"/>
      <c r="CO99" s="256"/>
    </row>
    <row r="100" ht="18">
      <c r="A100" s="200"/>
      <c r="L100" s="211">
        <v>2</v>
      </c>
      <c r="M100" s="219">
        <v>3</v>
      </c>
      <c r="N100" s="218" t="s">
        <v>100</v>
      </c>
      <c r="O100" s="211"/>
      <c r="P100" s="211"/>
      <c r="Q100" s="211"/>
      <c r="R100" s="211" t="s">
        <v>101</v>
      </c>
      <c r="S100" s="211"/>
      <c r="T100" s="211"/>
      <c r="U100" s="248">
        <f>Sheet2!B48</f>
        <v>25</v>
      </c>
      <c r="V100" s="240">
        <f t="shared" si="26"/>
        <v>75</v>
      </c>
      <c r="W100" s="241">
        <f t="shared" si="27" ca="1"/>
        <v>0.00028759626086514707</v>
      </c>
      <c r="X100" s="216"/>
      <c r="Y100" s="216"/>
      <c r="Z100" s="216"/>
      <c r="AA100" s="216"/>
      <c r="AB100" s="216"/>
      <c r="AC100" s="216"/>
      <c r="AD100" s="216"/>
      <c r="AE100" s="216"/>
      <c r="AF100" s="216"/>
      <c r="AG100" s="216"/>
      <c r="AH100" s="216"/>
      <c r="AI100" s="216"/>
      <c r="AJ100" s="216"/>
      <c r="AK100" s="216"/>
      <c r="AL100" s="216"/>
      <c r="AM100" s="216"/>
      <c r="AN100" s="216"/>
      <c r="AO100" s="216"/>
      <c r="AP100" s="216"/>
      <c r="AQ100" s="216"/>
      <c r="AR100" s="216"/>
      <c r="AS100" s="216"/>
      <c r="AT100" s="256"/>
      <c r="AU100" s="216"/>
      <c r="AV100" s="200"/>
      <c r="BG100" s="211">
        <v>3</v>
      </c>
      <c r="BH100" s="212">
        <v>3</v>
      </c>
      <c r="BI100" s="218" t="s">
        <v>102</v>
      </c>
      <c r="BJ100" s="211"/>
      <c r="BK100" s="211"/>
      <c r="BL100" s="211"/>
      <c r="BM100" s="211" t="s">
        <v>101</v>
      </c>
      <c r="BN100" s="211"/>
      <c r="BO100" s="211"/>
      <c r="BP100" s="248">
        <f t="shared" si="28"/>
        <v>18</v>
      </c>
      <c r="BQ100" s="240">
        <f t="shared" si="24"/>
        <v>54</v>
      </c>
      <c r="BR100" s="241">
        <f t="shared" si="25" ca="1"/>
        <v>0.00020706930782290588</v>
      </c>
      <c r="BS100" s="216"/>
      <c r="BT100" s="216"/>
      <c r="BU100" s="216"/>
      <c r="BV100" s="216"/>
      <c r="BW100" s="216"/>
      <c r="BX100" s="216"/>
      <c r="BY100" s="216"/>
      <c r="BZ100" s="216"/>
      <c r="CA100" s="216"/>
      <c r="CB100" s="216"/>
      <c r="CC100" s="216"/>
      <c r="CD100" s="216"/>
      <c r="CE100" s="216"/>
      <c r="CF100" s="216"/>
      <c r="CG100" s="216"/>
      <c r="CH100" s="216"/>
      <c r="CI100" s="216"/>
      <c r="CJ100" s="216"/>
      <c r="CK100" s="216"/>
      <c r="CL100" s="216"/>
      <c r="CM100" s="216"/>
      <c r="CN100" s="216"/>
      <c r="CO100" s="256"/>
    </row>
    <row r="101" ht="18">
      <c r="A101" s="200"/>
      <c r="L101" s="211">
        <v>3</v>
      </c>
      <c r="M101" s="212">
        <v>3</v>
      </c>
      <c r="N101" s="218" t="s">
        <v>102</v>
      </c>
      <c r="O101" s="211"/>
      <c r="P101" s="211"/>
      <c r="Q101" s="211"/>
      <c r="R101" s="211" t="s">
        <v>101</v>
      </c>
      <c r="S101" s="211"/>
      <c r="T101" s="211"/>
      <c r="U101" s="248">
        <f>Sheet2!B48</f>
        <v>25</v>
      </c>
      <c r="V101" s="240">
        <f t="shared" si="26"/>
        <v>75</v>
      </c>
      <c r="W101" s="241">
        <f t="shared" si="27" ca="1"/>
        <v>0.00028759626086514707</v>
      </c>
      <c r="X101" s="216"/>
      <c r="Y101" s="216"/>
      <c r="Z101" s="216"/>
      <c r="AA101" s="216"/>
      <c r="AB101" s="216"/>
      <c r="AC101" s="216"/>
      <c r="AD101" s="216"/>
      <c r="AE101" s="216"/>
      <c r="AF101" s="216"/>
      <c r="AG101" s="216"/>
      <c r="AH101" s="216"/>
      <c r="AI101" s="216"/>
      <c r="AJ101" s="216"/>
      <c r="AK101" s="216"/>
      <c r="AL101" s="216"/>
      <c r="AM101" s="216"/>
      <c r="AN101" s="216"/>
      <c r="AO101" s="216"/>
      <c r="AP101" s="216"/>
      <c r="AQ101" s="216"/>
      <c r="AR101" s="216"/>
      <c r="AS101" s="216"/>
      <c r="AT101" s="256"/>
      <c r="AU101" s="216"/>
      <c r="AV101" s="200"/>
      <c r="BG101" s="211">
        <v>4</v>
      </c>
      <c r="BH101" s="219">
        <v>1</v>
      </c>
      <c r="BI101" s="213" t="s">
        <v>103</v>
      </c>
      <c r="BJ101" s="214"/>
      <c r="BK101" s="214"/>
      <c r="BL101" s="214"/>
      <c r="BM101" s="211" t="s">
        <v>104</v>
      </c>
      <c r="BN101" s="211"/>
      <c r="BO101" s="211"/>
      <c r="BP101" s="248">
        <f t="shared" si="28"/>
        <v>25</v>
      </c>
      <c r="BQ101" s="240">
        <f t="shared" si="24"/>
        <v>25</v>
      </c>
      <c r="BR101" s="241">
        <f t="shared" si="25" ca="1"/>
        <v>9.5865420288382362E-05</v>
      </c>
      <c r="BS101" s="216"/>
      <c r="BT101" s="216"/>
      <c r="BU101" s="216"/>
      <c r="BV101" s="216"/>
      <c r="BW101" s="216"/>
      <c r="BX101" s="216"/>
      <c r="BY101" s="216"/>
      <c r="BZ101" s="216"/>
      <c r="CA101" s="216"/>
      <c r="CB101" s="216"/>
      <c r="CC101" s="216"/>
      <c r="CD101" s="216"/>
      <c r="CE101" s="216"/>
      <c r="CF101" s="216"/>
      <c r="CG101" s="216"/>
      <c r="CH101" s="216"/>
      <c r="CI101" s="216"/>
      <c r="CJ101" s="216"/>
      <c r="CK101" s="216"/>
      <c r="CL101" s="216"/>
      <c r="CM101" s="216"/>
      <c r="CN101" s="216"/>
      <c r="CO101" s="256"/>
    </row>
    <row r="102" ht="18">
      <c r="A102" s="200"/>
      <c r="L102" s="211">
        <v>4</v>
      </c>
      <c r="M102" s="219">
        <v>1</v>
      </c>
      <c r="N102" s="213" t="s">
        <v>103</v>
      </c>
      <c r="O102" s="214"/>
      <c r="P102" s="214"/>
      <c r="Q102" s="214"/>
      <c r="R102" s="211" t="s">
        <v>104</v>
      </c>
      <c r="S102" s="211"/>
      <c r="T102" s="211"/>
      <c r="U102" s="248">
        <v>40</v>
      </c>
      <c r="V102" s="240">
        <f t="shared" si="26"/>
        <v>40</v>
      </c>
      <c r="W102" s="241">
        <f t="shared" si="27" ca="1"/>
        <v>0.00015338467246141179</v>
      </c>
      <c r="X102" s="216"/>
      <c r="Y102" s="216"/>
      <c r="Z102" s="216"/>
      <c r="AA102" s="216"/>
      <c r="AB102" s="216"/>
      <c r="AC102" s="216"/>
      <c r="AD102" s="216"/>
      <c r="AE102" s="216"/>
      <c r="AF102" s="216"/>
      <c r="AG102" s="216"/>
      <c r="AH102" s="216"/>
      <c r="AI102" s="216"/>
      <c r="AJ102" s="216"/>
      <c r="AK102" s="216"/>
      <c r="AL102" s="216"/>
      <c r="AM102" s="216"/>
      <c r="AN102" s="216"/>
      <c r="AO102" s="216"/>
      <c r="AP102" s="216"/>
      <c r="AQ102" s="216"/>
      <c r="AR102" s="216"/>
      <c r="AS102" s="216"/>
      <c r="AT102" s="256"/>
      <c r="AU102" s="216"/>
      <c r="AV102" s="200"/>
      <c r="BG102" s="211">
        <v>5</v>
      </c>
      <c r="BH102" s="212">
        <v>1</v>
      </c>
      <c r="BI102" s="213" t="s">
        <v>105</v>
      </c>
      <c r="BJ102" s="214"/>
      <c r="BK102" s="214"/>
      <c r="BL102" s="214"/>
      <c r="BM102" s="211" t="s">
        <v>104</v>
      </c>
      <c r="BN102" s="211"/>
      <c r="BO102" s="211"/>
      <c r="BP102" s="248">
        <f t="shared" si="28"/>
        <v>150</v>
      </c>
      <c r="BQ102" s="240">
        <f t="shared" si="24"/>
        <v>150</v>
      </c>
      <c r="BR102" s="241">
        <f t="shared" si="25" ca="1"/>
        <v>0.00057519252173029414</v>
      </c>
      <c r="BS102" s="216"/>
      <c r="BT102" s="216"/>
      <c r="BU102" s="216"/>
      <c r="BV102" s="216"/>
      <c r="BW102" s="216"/>
      <c r="BX102" s="216"/>
      <c r="BY102" s="216"/>
      <c r="BZ102" s="216"/>
      <c r="CA102" s="216"/>
      <c r="CB102" s="216"/>
      <c r="CC102" s="216"/>
      <c r="CD102" s="216"/>
      <c r="CE102" s="216"/>
      <c r="CF102" s="216"/>
      <c r="CG102" s="216"/>
      <c r="CH102" s="216"/>
      <c r="CI102" s="216"/>
      <c r="CJ102" s="216"/>
      <c r="CK102" s="216"/>
      <c r="CL102" s="216"/>
      <c r="CM102" s="216"/>
      <c r="CN102" s="216"/>
      <c r="CO102" s="256"/>
    </row>
    <row r="103" ht="18">
      <c r="A103" s="200"/>
      <c r="L103" s="211">
        <v>5</v>
      </c>
      <c r="M103" s="212">
        <v>1</v>
      </c>
      <c r="N103" s="213" t="s">
        <v>105</v>
      </c>
      <c r="O103" s="214"/>
      <c r="P103" s="214"/>
      <c r="Q103" s="214"/>
      <c r="R103" s="211" t="s">
        <v>104</v>
      </c>
      <c r="S103" s="211"/>
      <c r="T103" s="211"/>
      <c r="U103" s="248">
        <v>150</v>
      </c>
      <c r="V103" s="240">
        <f t="shared" si="26"/>
        <v>150</v>
      </c>
      <c r="W103" s="241">
        <f t="shared" si="27" ca="1"/>
        <v>0.00057519252173029414</v>
      </c>
      <c r="X103" s="216"/>
      <c r="Y103" s="216"/>
      <c r="Z103" s="216"/>
      <c r="AA103" s="216"/>
      <c r="AB103" s="216"/>
      <c r="AC103" s="216"/>
      <c r="AD103" s="216"/>
      <c r="AE103" s="216"/>
      <c r="AF103" s="216"/>
      <c r="AG103" s="216"/>
      <c r="AH103" s="216"/>
      <c r="AI103" s="216"/>
      <c r="AJ103" s="216"/>
      <c r="AK103" s="216"/>
      <c r="AL103" s="216"/>
      <c r="AM103" s="216"/>
      <c r="AN103" s="216"/>
      <c r="AO103" s="216"/>
      <c r="AP103" s="216"/>
      <c r="AQ103" s="216"/>
      <c r="AR103" s="216"/>
      <c r="AS103" s="216"/>
      <c r="AT103" s="256"/>
      <c r="AU103" s="216"/>
      <c r="AV103" s="200"/>
      <c r="BG103" s="211">
        <v>6</v>
      </c>
      <c r="BH103" s="219">
        <v>2</v>
      </c>
      <c r="BI103" s="213" t="s">
        <v>106</v>
      </c>
      <c r="BJ103" s="214"/>
      <c r="BK103" s="214"/>
      <c r="BL103" s="214"/>
      <c r="BM103" s="211" t="s">
        <v>80</v>
      </c>
      <c r="BN103" s="211"/>
      <c r="BO103" s="211"/>
      <c r="BP103" s="248">
        <f t="shared" si="28"/>
        <v>40</v>
      </c>
      <c r="BQ103" s="240">
        <f t="shared" si="24"/>
        <v>80</v>
      </c>
      <c r="BR103" s="241">
        <f t="shared" si="25" ca="1"/>
        <v>0.00030676934492282357</v>
      </c>
      <c r="BS103" s="216"/>
      <c r="BT103" s="216"/>
      <c r="BU103" s="216"/>
      <c r="BV103" s="216"/>
      <c r="BW103" s="216"/>
      <c r="BX103" s="216"/>
      <c r="BY103" s="216"/>
      <c r="BZ103" s="216"/>
      <c r="CA103" s="216"/>
      <c r="CB103" s="216"/>
      <c r="CC103" s="216"/>
      <c r="CD103" s="216"/>
      <c r="CE103" s="216"/>
      <c r="CF103" s="216"/>
      <c r="CG103" s="216"/>
      <c r="CH103" s="216"/>
      <c r="CI103" s="216"/>
      <c r="CJ103" s="216"/>
      <c r="CK103" s="216"/>
      <c r="CL103" s="216"/>
      <c r="CM103" s="216"/>
      <c r="CN103" s="216"/>
      <c r="CO103" s="256"/>
    </row>
    <row r="104" ht="18">
      <c r="A104" s="200"/>
      <c r="L104" s="211">
        <v>6</v>
      </c>
      <c r="M104" s="219">
        <v>2</v>
      </c>
      <c r="N104" s="213" t="s">
        <v>106</v>
      </c>
      <c r="O104" s="214"/>
      <c r="P104" s="214"/>
      <c r="Q104" s="214"/>
      <c r="R104" s="211" t="s">
        <v>80</v>
      </c>
      <c r="S104" s="211"/>
      <c r="T104" s="211"/>
      <c r="U104" s="248">
        <v>40</v>
      </c>
      <c r="V104" s="240">
        <f t="shared" si="26"/>
        <v>80</v>
      </c>
      <c r="W104" s="241">
        <f t="shared" si="27" ca="1"/>
        <v>0.00030676934492282357</v>
      </c>
      <c r="X104" s="216"/>
      <c r="Y104" s="216"/>
      <c r="Z104" s="216"/>
      <c r="AA104" s="216"/>
      <c r="AB104" s="216"/>
      <c r="AC104" s="216"/>
      <c r="AD104" s="216"/>
      <c r="AE104" s="216"/>
      <c r="AF104" s="216"/>
      <c r="AG104" s="216"/>
      <c r="AH104" s="216"/>
      <c r="AI104" s="216"/>
      <c r="AJ104" s="216"/>
      <c r="AK104" s="216"/>
      <c r="AL104" s="216"/>
      <c r="AM104" s="216"/>
      <c r="AN104" s="216"/>
      <c r="AO104" s="216"/>
      <c r="AP104" s="216"/>
      <c r="AQ104" s="216"/>
      <c r="AR104" s="216"/>
      <c r="AS104" s="216"/>
      <c r="AT104" s="256"/>
      <c r="AU104" s="216"/>
      <c r="AV104" s="200"/>
      <c r="BG104" s="211">
        <v>7</v>
      </c>
      <c r="BH104" s="212">
        <f>ROUNDUP(CH79,0)</f>
        <v>0</v>
      </c>
      <c r="BI104" s="213" t="s">
        <v>40</v>
      </c>
      <c r="BJ104" s="214"/>
      <c r="BK104" s="214"/>
      <c r="BL104" s="214"/>
      <c r="BM104" s="211"/>
      <c r="BN104" s="211"/>
      <c r="BO104" s="211"/>
      <c r="BP104" s="248">
        <f t="shared" si="28"/>
        <v>220</v>
      </c>
      <c r="BQ104" s="240">
        <f t="shared" si="24"/>
        <v>0</v>
      </c>
      <c r="BR104" s="251">
        <f t="shared" si="25" ca="1"/>
        <v>0</v>
      </c>
      <c r="BS104" s="216"/>
      <c r="BT104" s="216"/>
      <c r="BU104" s="216"/>
      <c r="BV104" s="216"/>
      <c r="BW104" s="216"/>
      <c r="BX104" s="216"/>
      <c r="BY104" s="216"/>
      <c r="BZ104" s="216"/>
      <c r="CA104" s="216"/>
      <c r="CB104" s="216"/>
      <c r="CC104" s="216"/>
      <c r="CD104" s="216"/>
      <c r="CE104" s="216"/>
      <c r="CF104" s="216"/>
      <c r="CG104" s="216"/>
      <c r="CH104" s="216"/>
      <c r="CI104" s="216"/>
      <c r="CJ104" s="216"/>
      <c r="CK104" s="216"/>
      <c r="CL104" s="216"/>
      <c r="CM104" s="216"/>
      <c r="CN104" s="216"/>
      <c r="CO104" s="256"/>
    </row>
    <row r="105" ht="18">
      <c r="A105" s="200"/>
      <c r="L105" s="211">
        <v>7</v>
      </c>
      <c r="M105" s="212">
        <f>ROUNDUP(AM78,0)</f>
        <v>0</v>
      </c>
      <c r="N105" s="213" t="s">
        <v>40</v>
      </c>
      <c r="O105" s="214"/>
      <c r="P105" s="214"/>
      <c r="Q105" s="214"/>
      <c r="R105" s="211"/>
      <c r="S105" s="211"/>
      <c r="T105" s="211"/>
      <c r="U105" s="248">
        <f>Sheet2!B26</f>
        <v>220</v>
      </c>
      <c r="V105" s="240">
        <f ref="V105:V111" t="shared" si="29">M105*U105</f>
        <v>0</v>
      </c>
      <c r="W105" s="251">
        <f t="shared" si="27" ca="1"/>
        <v>0</v>
      </c>
      <c r="X105" s="216"/>
      <c r="Y105" s="216"/>
      <c r="Z105" s="216"/>
      <c r="AA105" s="216"/>
      <c r="AB105" s="216"/>
      <c r="AC105" s="216"/>
      <c r="AD105" s="216"/>
      <c r="AE105" s="216"/>
      <c r="AF105" s="216"/>
      <c r="AG105" s="216"/>
      <c r="AH105" s="216"/>
      <c r="AI105" s="216"/>
      <c r="AJ105" s="216"/>
      <c r="AK105" s="216"/>
      <c r="AL105" s="216"/>
      <c r="AM105" s="216"/>
      <c r="AN105" s="216"/>
      <c r="AO105" s="216"/>
      <c r="AP105" s="216"/>
      <c r="AQ105" s="216"/>
      <c r="AR105" s="216"/>
      <c r="AS105" s="216"/>
      <c r="AT105" s="256"/>
      <c r="AU105" s="216"/>
      <c r="AV105" s="200"/>
      <c r="BG105" s="211">
        <v>8</v>
      </c>
      <c r="BH105" s="212">
        <f ref="BH105:BH106" t="shared" si="30">ROUNDUP(CH80,0)</f>
        <v>4</v>
      </c>
      <c r="BI105" s="213" t="s">
        <v>45</v>
      </c>
      <c r="BJ105" s="214"/>
      <c r="BK105" s="214"/>
      <c r="BL105" s="214"/>
      <c r="BM105" s="211"/>
      <c r="BN105" s="211"/>
      <c r="BO105" s="211"/>
      <c r="BP105" s="248">
        <f t="shared" si="28"/>
        <v>95</v>
      </c>
      <c r="BQ105" s="240">
        <f t="shared" si="24"/>
        <v>380</v>
      </c>
      <c r="BR105" s="251">
        <f t="shared" si="25" ca="1"/>
        <v>0.0014571543883834118</v>
      </c>
      <c r="BS105" s="216"/>
      <c r="BT105" s="216"/>
      <c r="BU105" s="216"/>
      <c r="BV105" s="216"/>
      <c r="BW105" s="216"/>
      <c r="BX105" s="216"/>
      <c r="BY105" s="216"/>
      <c r="BZ105" s="216"/>
      <c r="CA105" s="216"/>
      <c r="CB105" s="216"/>
      <c r="CC105" s="216"/>
      <c r="CD105" s="216"/>
      <c r="CE105" s="216"/>
      <c r="CF105" s="216"/>
      <c r="CG105" s="216"/>
      <c r="CH105" s="216"/>
      <c r="CI105" s="216"/>
      <c r="CJ105" s="216"/>
      <c r="CK105" s="216"/>
      <c r="CL105" s="216"/>
      <c r="CM105" s="216"/>
      <c r="CN105" s="216"/>
      <c r="CO105" s="256"/>
    </row>
    <row r="106" ht="18">
      <c r="A106" s="200"/>
      <c r="L106" s="211">
        <v>8</v>
      </c>
      <c r="M106" s="212">
        <f>ROUNDUP(AM79,0)</f>
        <v>4</v>
      </c>
      <c r="N106" s="213" t="s">
        <v>45</v>
      </c>
      <c r="O106" s="214"/>
      <c r="P106" s="214"/>
      <c r="Q106" s="214"/>
      <c r="R106" s="211"/>
      <c r="S106" s="211"/>
      <c r="T106" s="211"/>
      <c r="U106" s="248">
        <f>Sheet2!B25</f>
        <v>95</v>
      </c>
      <c r="V106" s="240">
        <f t="shared" si="29"/>
        <v>380</v>
      </c>
      <c r="W106" s="251">
        <f t="shared" si="27" ca="1"/>
        <v>0.0014571543883834118</v>
      </c>
      <c r="X106" s="216"/>
      <c r="Y106" s="216"/>
      <c r="Z106" s="216"/>
      <c r="AA106" s="216"/>
      <c r="AB106" s="216"/>
      <c r="AC106" s="216"/>
      <c r="AD106" s="216"/>
      <c r="AE106" s="216"/>
      <c r="AF106" s="216"/>
      <c r="AG106" s="216"/>
      <c r="AH106" s="216"/>
      <c r="AI106" s="216"/>
      <c r="AJ106" s="216"/>
      <c r="AK106" s="216"/>
      <c r="AL106" s="216"/>
      <c r="AM106" s="216"/>
      <c r="AN106" s="216"/>
      <c r="AO106" s="216"/>
      <c r="AP106" s="216"/>
      <c r="AQ106" s="216"/>
      <c r="AR106" s="216"/>
      <c r="AS106" s="216"/>
      <c r="AT106" s="256"/>
      <c r="AU106" s="216"/>
      <c r="AV106" s="200"/>
      <c r="BG106" s="211">
        <v>9</v>
      </c>
      <c r="BH106" s="212">
        <f t="shared" si="30"/>
        <v>0</v>
      </c>
      <c r="BI106" s="213" t="s">
        <v>53</v>
      </c>
      <c r="BJ106" s="214"/>
      <c r="BK106" s="214"/>
      <c r="BL106" s="214"/>
      <c r="BM106" s="211"/>
      <c r="BN106" s="211"/>
      <c r="BO106" s="211"/>
      <c r="BP106" s="248">
        <f t="shared" si="28"/>
        <v>510</v>
      </c>
      <c r="BQ106" s="240">
        <f t="shared" si="24"/>
        <v>0</v>
      </c>
      <c r="BR106" s="251">
        <f t="shared" si="25" ca="1"/>
        <v>0</v>
      </c>
      <c r="BS106" s="216"/>
      <c r="BT106" s="216"/>
      <c r="BU106" s="216"/>
      <c r="BV106" s="216"/>
      <c r="BW106" s="216"/>
      <c r="BX106" s="216"/>
      <c r="BY106" s="216"/>
      <c r="BZ106" s="216"/>
      <c r="CA106" s="216"/>
      <c r="CB106" s="216"/>
      <c r="CC106" s="216"/>
      <c r="CD106" s="216"/>
      <c r="CE106" s="216"/>
      <c r="CF106" s="216"/>
      <c r="CG106" s="216"/>
      <c r="CH106" s="216"/>
      <c r="CI106" s="216"/>
      <c r="CJ106" s="216"/>
      <c r="CK106" s="216"/>
      <c r="CL106" s="216"/>
      <c r="CM106" s="216"/>
      <c r="CN106" s="216"/>
      <c r="CO106" s="256"/>
    </row>
    <row r="107" ht="18">
      <c r="A107" s="200"/>
      <c r="L107" s="211">
        <v>9</v>
      </c>
      <c r="M107" s="212">
        <f>ROUNDUP(AM80,0)</f>
        <v>0</v>
      </c>
      <c r="N107" s="213" t="s">
        <v>53</v>
      </c>
      <c r="O107" s="214"/>
      <c r="P107" s="214"/>
      <c r="Q107" s="214"/>
      <c r="R107" s="211"/>
      <c r="S107" s="211"/>
      <c r="T107" s="211"/>
      <c r="U107" s="248">
        <f>Sheet2!B27</f>
        <v>510</v>
      </c>
      <c r="V107" s="240">
        <f t="shared" si="29"/>
        <v>0</v>
      </c>
      <c r="W107" s="251">
        <f t="shared" si="27" ca="1"/>
        <v>0</v>
      </c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56"/>
      <c r="AU107" s="216"/>
      <c r="AV107" s="200"/>
      <c r="BG107" s="211">
        <v>10</v>
      </c>
      <c r="BH107" s="212">
        <f>IF((تسعير!BE45="جلفنة و جوتن"),(Table15880101112[[#Totals],[الوزن]]+Table16627394105[[#Totals],[الوزن]]),0)</f>
        <v>0</v>
      </c>
      <c r="BI107" s="213" t="s">
        <v>112</v>
      </c>
      <c r="BJ107" s="214"/>
      <c r="BK107" s="214"/>
      <c r="BL107" s="214"/>
      <c r="BM107" s="211"/>
      <c r="BN107" s="211"/>
      <c r="BO107" s="211"/>
      <c r="BP107" s="248">
        <f t="shared" si="28"/>
        <v>30</v>
      </c>
      <c r="BQ107" s="240">
        <f t="shared" si="24"/>
        <v>0</v>
      </c>
      <c r="BR107" s="251">
        <f t="shared" si="25" ca="1"/>
        <v>0</v>
      </c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216"/>
      <c r="CN107" s="216"/>
      <c r="CO107" s="256"/>
    </row>
    <row r="108" ht="18">
      <c r="A108" s="200"/>
      <c r="L108" s="211">
        <v>10</v>
      </c>
      <c r="M108" s="212"/>
      <c r="N108" s="213"/>
      <c r="O108" s="214"/>
      <c r="P108" s="214"/>
      <c r="Q108" s="214"/>
      <c r="R108" s="211"/>
      <c r="S108" s="211"/>
      <c r="T108" s="211"/>
      <c r="U108" s="248"/>
      <c r="V108" s="240">
        <f t="shared" si="29"/>
        <v>0</v>
      </c>
      <c r="W108" s="251">
        <f t="shared" si="27" ca="1"/>
        <v>0</v>
      </c>
      <c r="X108" s="216"/>
      <c r="Y108" s="216"/>
      <c r="Z108" s="216"/>
      <c r="AA108" s="216"/>
      <c r="AB108" s="216"/>
      <c r="AC108" s="216"/>
      <c r="AD108" s="216"/>
      <c r="AE108" s="216"/>
      <c r="AF108" s="216"/>
      <c r="AG108" s="216"/>
      <c r="AH108" s="216"/>
      <c r="AI108" s="216"/>
      <c r="AJ108" s="216"/>
      <c r="AK108" s="216"/>
      <c r="AL108" s="216"/>
      <c r="AM108" s="216"/>
      <c r="AN108" s="216"/>
      <c r="AO108" s="216"/>
      <c r="AP108" s="216"/>
      <c r="AQ108" s="216"/>
      <c r="AR108" s="216"/>
      <c r="AS108" s="216"/>
      <c r="AT108" s="256"/>
      <c r="AU108" s="216"/>
      <c r="AV108" s="200"/>
      <c r="BG108" s="211">
        <v>11</v>
      </c>
      <c r="BH108" s="212">
        <f>IF(AND((CH84&gt;0),(CH84&lt;=5)),5,IF(AND((CH84&gt;5),(CH84&lt;=10)),10,IF(AND((CH84&gt;10),(CH84&lt;=15)),15,IF(AND((CH84&gt;15),(CH84&lt;=20)),20,IF(AND((CH84&gt;20),(CH84&lt;=25)),25,IF(AND((CH84&gt;25),(CH84&lt;=30)),30,IF(AND((CH84&gt;30),(CH84&lt;=35)),35,IF(AND((CH84&gt;35),(CH84&lt;=40)),40,IF(AND((CH84&gt;40),(CH84&lt;=45)),45,IF(AND((CH84&gt;45),(CH84&lt;=50)),50,IF(AND((CH84&gt;50),(CH84&lt;=55)),55,IF(AND((CH84&gt;55),(CH84&lt;=60)),60,0))))))))))))</f>
        <v>25</v>
      </c>
      <c r="BI108" s="213" t="s">
        <v>113</v>
      </c>
      <c r="BJ108" s="214"/>
      <c r="BK108" s="214"/>
      <c r="BL108" s="214"/>
      <c r="BM108" s="211" t="s">
        <v>114</v>
      </c>
      <c r="BN108" s="211"/>
      <c r="BO108" s="211"/>
      <c r="BP108" s="248">
        <f t="shared" si="28"/>
        <v>360</v>
      </c>
      <c r="BQ108" s="240">
        <f t="shared" si="24"/>
        <v>9000</v>
      </c>
      <c r="BR108" s="251">
        <f t="shared" si="25" ca="1"/>
        <v>0.034511551303817646</v>
      </c>
      <c r="BS108" s="216"/>
      <c r="BT108" s="216"/>
      <c r="BU108" s="216"/>
      <c r="BV108" s="216"/>
      <c r="BW108" s="216"/>
      <c r="BX108" s="216"/>
      <c r="BY108" s="216"/>
      <c r="BZ108" s="216"/>
      <c r="CA108" s="216"/>
      <c r="CB108" s="216"/>
      <c r="CC108" s="216"/>
      <c r="CD108" s="216"/>
      <c r="CE108" s="216"/>
      <c r="CF108" s="216"/>
      <c r="CG108" s="216"/>
      <c r="CH108" s="216"/>
      <c r="CI108" s="216"/>
      <c r="CJ108" s="216"/>
      <c r="CK108" s="216"/>
      <c r="CL108" s="216"/>
      <c r="CM108" s="216"/>
      <c r="CN108" s="216"/>
      <c r="CO108" s="256"/>
    </row>
    <row r="109" ht="18">
      <c r="A109" s="200"/>
      <c r="L109" s="211">
        <v>11</v>
      </c>
      <c r="M109" s="212">
        <f>IF((تسعير!BE25="جلفنة و جوتن"),(Table15880101[[#Totals],[الوزن]]+Table16627394[[#Totals],[الوزن]]),0)</f>
        <v>0</v>
      </c>
      <c r="N109" s="213" t="s">
        <v>112</v>
      </c>
      <c r="O109" s="214"/>
      <c r="P109" s="214"/>
      <c r="Q109" s="214"/>
      <c r="R109" s="211"/>
      <c r="S109" s="211"/>
      <c r="T109" s="211"/>
      <c r="U109" s="248">
        <v>30</v>
      </c>
      <c r="V109" s="240">
        <f t="shared" si="29"/>
        <v>0</v>
      </c>
      <c r="W109" s="251">
        <f t="shared" si="27" ca="1"/>
        <v>0</v>
      </c>
      <c r="X109" s="216"/>
      <c r="Y109" s="216"/>
      <c r="Z109" s="216"/>
      <c r="AA109" s="216"/>
      <c r="AB109" s="216"/>
      <c r="AC109" s="216"/>
      <c r="AD109" s="216"/>
      <c r="AE109" s="216"/>
      <c r="AF109" s="216"/>
      <c r="AG109" s="216"/>
      <c r="AH109" s="216"/>
      <c r="AI109" s="216"/>
      <c r="AJ109" s="216"/>
      <c r="AK109" s="216"/>
      <c r="AL109" s="216"/>
      <c r="AM109" s="216"/>
      <c r="AN109" s="216"/>
      <c r="AO109" s="216"/>
      <c r="AP109" s="216"/>
      <c r="AQ109" s="216"/>
      <c r="AR109" s="216"/>
      <c r="AS109" s="216"/>
      <c r="AT109" s="256"/>
      <c r="AU109" s="216"/>
      <c r="AV109" s="200"/>
      <c r="BG109" s="211">
        <v>12</v>
      </c>
      <c r="BH109" s="563">
        <f>IF(AND((CH85&gt;0),(CH85&lt;=5)),5,IF(AND((CH85&gt;5),(CH85&lt;=10)),10,IF(AND((CH85&gt;10),(CH85&lt;=15)),15,IF(AND((CH85&gt;15),(CH85&lt;=20)),20,IF(AND((CH85&gt;20),(CH85&lt;=25)),25,IF(AND((CH85&gt;25),(CH85&lt;=30)),30,IF(AND((CH85&gt;30),(CH85&lt;=35)),35,IF(AND((CH85&gt;35),(CH85&lt;=40)),40,IF(AND((CH85&gt;40),(CH85&lt;=45)),45,IF(AND((CH85&gt;45),(CH85&lt;=50)),50,IF(AND((CH85&gt;50),(CH85&lt;=55)),55,IF(AND((CH85&gt;55),(CH85&lt;=60)),60,0))))))))))))</f>
        <v>25</v>
      </c>
      <c r="BI109" s="560" t="s">
        <v>115</v>
      </c>
      <c r="BJ109" s="214"/>
      <c r="BK109" s="214"/>
      <c r="BL109" s="214"/>
      <c r="BM109" s="561" t="s">
        <v>116</v>
      </c>
      <c r="BN109" s="211"/>
      <c r="BO109" s="211"/>
      <c r="BP109" s="248">
        <f t="shared" si="28"/>
        <v>435</v>
      </c>
      <c r="BQ109" s="240">
        <f t="shared" si="24"/>
        <v>10875</v>
      </c>
      <c r="BR109" s="251">
        <f t="shared" si="25" ca="1"/>
        <v>0.041701457825446327</v>
      </c>
      <c r="BS109" s="216"/>
      <c r="BT109" s="216"/>
      <c r="BU109" s="216"/>
      <c r="BV109" s="216"/>
      <c r="BW109" s="216"/>
      <c r="BX109" s="216"/>
      <c r="BY109" s="216"/>
      <c r="BZ109" s="216"/>
      <c r="CA109" s="216"/>
      <c r="CB109" s="216"/>
      <c r="CC109" s="216"/>
      <c r="CD109" s="216"/>
      <c r="CE109" s="216"/>
      <c r="CF109" s="216"/>
      <c r="CG109" s="216"/>
      <c r="CH109" s="216"/>
      <c r="CI109" s="216"/>
      <c r="CJ109" s="216"/>
      <c r="CK109" s="216"/>
      <c r="CL109" s="216"/>
      <c r="CM109" s="216"/>
      <c r="CN109" s="216"/>
      <c r="CO109" s="256"/>
    </row>
    <row r="110" ht="18">
      <c r="A110" s="200"/>
      <c r="L110" s="211">
        <v>12</v>
      </c>
      <c r="M110" s="212">
        <f>IF(AND((AM83&gt;0),(AM83&lt;=5)),5,IF(AND((AM83&gt;5),(AM83&lt;=10)),10,IF(AND((AM83&gt;10),(AM83&lt;=15)),15,IF(AND((AM83&gt;15),(AM83&lt;=20)),20,IF(AND((AM83&gt;20),(AM83&lt;=25)),25,IF(AND((AM83&gt;25),(AM83&lt;=30)),30,IF(AND((AM83&gt;30),(AM83&lt;=35)),35,IF(AND((AM83&gt;35),(AM83&lt;=40)),40,IF(AND((AM83&gt;40),(AM83&lt;=45)),45,IF(AND((AM83&gt;45),(AM83&lt;=50)),50,IF(AND((AM83&gt;50),(AM83&lt;=55)),55,IF(AND((AM83&gt;55),(AM83&lt;=60)),60,0))))))))))))</f>
        <v>25</v>
      </c>
      <c r="N110" s="213" t="s">
        <v>113</v>
      </c>
      <c r="O110" s="214"/>
      <c r="P110" s="214"/>
      <c r="Q110" s="214"/>
      <c r="R110" s="211" t="s">
        <v>114</v>
      </c>
      <c r="S110" s="211"/>
      <c r="T110" s="211"/>
      <c r="U110" s="248">
        <f>Sheet2!B18</f>
        <v>360</v>
      </c>
      <c r="V110" s="240">
        <f t="shared" si="29"/>
        <v>9000</v>
      </c>
      <c r="W110" s="251">
        <f t="shared" si="27" ca="1"/>
        <v>0.034511551303817646</v>
      </c>
      <c r="X110" s="216"/>
      <c r="Y110" s="216"/>
      <c r="Z110" s="216"/>
      <c r="AA110" s="216"/>
      <c r="AB110" s="216"/>
      <c r="AC110" s="216"/>
      <c r="AD110" s="216"/>
      <c r="AE110" s="216"/>
      <c r="AF110" s="216"/>
      <c r="AG110" s="216"/>
      <c r="AH110" s="216"/>
      <c r="AI110" s="216"/>
      <c r="AJ110" s="216"/>
      <c r="AK110" s="216"/>
      <c r="AL110" s="216"/>
      <c r="AM110" s="216"/>
      <c r="AN110" s="216"/>
      <c r="AO110" s="216"/>
      <c r="AP110" s="216"/>
      <c r="AQ110" s="216"/>
      <c r="AR110" s="216"/>
      <c r="AS110" s="216"/>
      <c r="AT110" s="256"/>
      <c r="AU110" s="216"/>
      <c r="AV110" s="200"/>
      <c r="BG110" s="211">
        <v>14</v>
      </c>
      <c r="BH110" s="563">
        <f>IF(AND((CH86&gt;0),(CH86&lt;=5)),5,IF(AND((CH86&gt;5),(CH86&lt;=10)),10,IF(AND((CH86&gt;10),(CH86&lt;=15)),15,IF(AND((CH86&gt;15),(CH86&lt;=20)),20,IF(AND((CH86&gt;20),(CH86&lt;=25)),25,IF(AND((CH86&gt;25),(CH86&lt;=30)),30,IF(AND((CH86&gt;30),(CH86&lt;=35)),35,IF(AND((CH86&gt;35),(CH86&lt;=40)),40,IF(AND((CH86&gt;40),(CH86&lt;=45)),45,IF(AND((CH86&gt;45),(CH86&lt;=50)),50,IF(AND((CH86&gt;50),(CH86&lt;=55)),55,IF(AND((CH86&gt;55),(CH86&lt;=60)),60,0))))))))))))</f>
        <v>5</v>
      </c>
      <c r="BI110" s="560" t="s">
        <v>67</v>
      </c>
      <c r="BJ110" s="214"/>
      <c r="BK110" s="214"/>
      <c r="BL110" s="214"/>
      <c r="BM110" s="561" t="s">
        <v>117</v>
      </c>
      <c r="BN110" s="211"/>
      <c r="BO110" s="211"/>
      <c r="BP110" s="248">
        <f t="shared" si="28"/>
        <v>190</v>
      </c>
      <c r="BQ110" s="240">
        <f t="shared" si="24"/>
        <v>950</v>
      </c>
      <c r="BR110" s="251">
        <f t="shared" si="25" ca="1"/>
        <v>0.0036428859709585295</v>
      </c>
      <c r="BS110" s="216"/>
      <c r="BT110" s="216"/>
      <c r="BU110" s="216"/>
      <c r="BV110" s="216"/>
      <c r="BW110" s="216"/>
      <c r="BX110" s="216"/>
      <c r="BY110" s="216"/>
      <c r="BZ110" s="216"/>
      <c r="CA110" s="216"/>
      <c r="CB110" s="216"/>
      <c r="CC110" s="216"/>
      <c r="CD110" s="216"/>
      <c r="CE110" s="216"/>
      <c r="CF110" s="216"/>
      <c r="CG110" s="216"/>
      <c r="CH110" s="216"/>
      <c r="CI110" s="216"/>
      <c r="CJ110" s="216"/>
      <c r="CK110" s="216"/>
      <c r="CL110" s="216"/>
      <c r="CM110" s="216"/>
      <c r="CN110" s="216"/>
      <c r="CO110" s="256"/>
    </row>
    <row r="111" ht="18">
      <c r="A111" s="200"/>
      <c r="L111" s="211">
        <v>14</v>
      </c>
      <c r="M111" s="212">
        <f>IF(AND((AM84&gt;0),(AM84&lt;=5)),5,IF(AND((AM84&gt;5),(AM84&lt;=10)),10,IF(AND((AM84&gt;10),(AM84&lt;=15)),15,IF(AND((AM84&gt;15),(AM84&lt;=20)),20,IF(AND((AM84&gt;20),(AM84&lt;=25)),25,IF(AND((AM84&gt;25),(AM84&lt;=30)),30,IF(AND((AM84&gt;30),(AM84&lt;=35)),35,IF(AND((AM84&gt;35),(AM84&lt;=40)),40,IF(AND((AM84&gt;40),(AM84&lt;=45)),45,IF(AND((AM84&gt;45),(AM84&lt;=50)),50,IF(AND((AM84&gt;50),(AM84&lt;=55)),55,IF(AND((AM84&gt;55),(AM84&lt;=60)),60,0))))))))))))</f>
        <v>25</v>
      </c>
      <c r="N111" s="218" t="s">
        <v>115</v>
      </c>
      <c r="O111" s="214"/>
      <c r="P111" s="214"/>
      <c r="Q111" s="214"/>
      <c r="R111" s="218" t="s">
        <v>116</v>
      </c>
      <c r="S111" s="211"/>
      <c r="T111" s="211"/>
      <c r="U111" s="248">
        <f>Sheet2!B20</f>
        <v>435</v>
      </c>
      <c r="V111" s="240">
        <f t="shared" si="29"/>
        <v>10875</v>
      </c>
      <c r="W111" s="251">
        <f t="shared" si="27" ca="1"/>
        <v>0.041701457825446327</v>
      </c>
      <c r="X111" s="216"/>
      <c r="Y111" s="216"/>
      <c r="Z111" s="216"/>
      <c r="AA111" s="216"/>
      <c r="AB111" s="216"/>
      <c r="AC111" s="216"/>
      <c r="AD111" s="216"/>
      <c r="AE111" s="216"/>
      <c r="AF111" s="216"/>
      <c r="AG111" s="216"/>
      <c r="AH111" s="216"/>
      <c r="AI111" s="216"/>
      <c r="AJ111" s="216"/>
      <c r="AK111" s="216"/>
      <c r="AL111" s="216"/>
      <c r="AM111" s="216"/>
      <c r="AN111" s="216"/>
      <c r="AO111" s="216"/>
      <c r="AP111" s="216"/>
      <c r="AQ111" s="216"/>
      <c r="AR111" s="216"/>
      <c r="AS111" s="216"/>
      <c r="AT111" s="256"/>
      <c r="AU111" s="216"/>
      <c r="AV111" s="200"/>
      <c r="BG111" s="211">
        <v>17</v>
      </c>
      <c r="BH111" s="563">
        <f>IF(AND((CH87&gt;0),(CH87&lt;=5)),5,IF(AND((CH87&gt;5),(CH87&lt;=10)),10,IF(AND((CH87&gt;10),(CH87&lt;=15)),15,IF(AND((CH87&gt;15),(CH87&lt;=20)),20,IF(AND((CH87&gt;20),(CH87&lt;=25)),25,IF(AND((CH87&gt;25),(CH87&lt;=30)),30,IF(AND((CH87&gt;30),(CH87&lt;=35)),35,IF(AND((CH87&gt;35),(CH87&lt;=40)),40,IF(AND((CH87&gt;40),(CH87&lt;=45)),45,IF(AND((CH87&gt;45),(CH87&lt;=50)),50,IF(AND((CH87&gt;50),(CH87&lt;=55)),55,IF(AND((CH87&gt;55),(CH87&lt;=60)),60,0))))))))))))</f>
        <v>5</v>
      </c>
      <c r="BI111" s="560" t="s">
        <v>70</v>
      </c>
      <c r="BJ111" s="214"/>
      <c r="BK111" s="214"/>
      <c r="BL111" s="214"/>
      <c r="BM111" s="561" t="s">
        <v>117</v>
      </c>
      <c r="BN111" s="211"/>
      <c r="BO111" s="211"/>
      <c r="BP111" s="248">
        <f t="shared" si="28"/>
        <v>190</v>
      </c>
      <c r="BQ111" s="240">
        <f t="shared" si="24"/>
        <v>950</v>
      </c>
      <c r="BR111" s="251">
        <f t="shared" si="25" ca="1"/>
        <v>0.0036428859709585295</v>
      </c>
      <c r="BS111" s="216"/>
      <c r="BT111" s="216"/>
      <c r="BU111" s="216"/>
      <c r="BV111" s="216"/>
      <c r="BW111" s="216"/>
      <c r="BX111" s="216"/>
      <c r="BY111" s="216"/>
      <c r="BZ111" s="216"/>
      <c r="CA111" s="216"/>
      <c r="CB111" s="216"/>
      <c r="CC111" s="216"/>
      <c r="CD111" s="216"/>
      <c r="CE111" s="216"/>
      <c r="CF111" s="216"/>
      <c r="CG111" s="216"/>
      <c r="CH111" s="216"/>
      <c r="CI111" s="216"/>
      <c r="CJ111" s="216"/>
      <c r="CK111" s="216"/>
      <c r="CL111" s="216"/>
      <c r="CM111" s="216"/>
      <c r="CN111" s="216"/>
      <c r="CO111" s="256"/>
    </row>
    <row r="112" ht="18">
      <c r="A112" s="200"/>
      <c r="L112" s="211">
        <v>17</v>
      </c>
      <c r="M112" s="212">
        <f>IF(AND((AM85&gt;0),(AM85&lt;=5)),5,IF(AND((AM85&gt;5),(AM85&lt;=10)),10,IF(AND((AM85&gt;10),(AM85&lt;=15)),15,IF(AND((AM85&gt;15),(AM85&lt;=20)),20,IF(AND((AM85&gt;20),(AM85&lt;=25)),25,IF(AND((AM85&gt;25),(AM85&lt;=30)),30,IF(AND((AM85&gt;30),(AM85&lt;=35)),35,IF(AND((AM85&gt;35),(AM85&lt;=40)),40,IF(AND((AM85&gt;40),(AM85&lt;=45)),45,IF(AND((AM85&gt;45),(AM85&lt;=50)),50,IF(AND((AM85&gt;50),(AM85&lt;=55)),55,IF(AND((AM85&gt;55),(AM85&lt;=60)),60,0))))))))))))</f>
        <v>5</v>
      </c>
      <c r="N112" s="218" t="s">
        <v>67</v>
      </c>
      <c r="O112" s="214"/>
      <c r="P112" s="214"/>
      <c r="Q112" s="214"/>
      <c r="R112" s="218" t="s">
        <v>117</v>
      </c>
      <c r="S112" s="211"/>
      <c r="T112" s="211"/>
      <c r="U112" s="248">
        <f>Sheet2!B22</f>
        <v>190</v>
      </c>
      <c r="V112" s="240">
        <f>M112*U113</f>
        <v>950</v>
      </c>
      <c r="W112" s="251">
        <f t="shared" si="27" ca="1"/>
        <v>0.0036428859709585295</v>
      </c>
      <c r="X112" s="216"/>
      <c r="Y112" s="216"/>
      <c r="Z112" s="216"/>
      <c r="AA112" s="216"/>
      <c r="AB112" s="216"/>
      <c r="AC112" s="216"/>
      <c r="AD112" s="216"/>
      <c r="AE112" s="216"/>
      <c r="AF112" s="216"/>
      <c r="AG112" s="216"/>
      <c r="AH112" s="216"/>
      <c r="AI112" s="216"/>
      <c r="AJ112" s="216"/>
      <c r="AK112" s="216"/>
      <c r="AL112" s="216"/>
      <c r="AM112" s="216"/>
      <c r="AN112" s="216"/>
      <c r="AO112" s="216"/>
      <c r="AP112" s="216"/>
      <c r="AQ112" s="216"/>
      <c r="AR112" s="216"/>
      <c r="AS112" s="216"/>
      <c r="AT112" s="256"/>
      <c r="AU112" s="216"/>
      <c r="AV112" s="200"/>
      <c r="BG112" s="211">
        <v>18</v>
      </c>
      <c r="BH112" s="551"/>
      <c r="BI112" s="552"/>
      <c r="BJ112" s="214"/>
      <c r="BK112" s="214"/>
      <c r="BL112" s="214"/>
      <c r="BM112" s="562"/>
      <c r="BN112" s="211"/>
      <c r="BO112" s="211"/>
      <c r="BP112" s="248">
        <f t="shared" si="28"/>
        <v>0</v>
      </c>
      <c r="BQ112" s="240">
        <f t="shared" si="24"/>
        <v>0</v>
      </c>
      <c r="BR112" s="251">
        <f t="shared" si="25" ca="1"/>
        <v>0</v>
      </c>
      <c r="BS112" s="216"/>
      <c r="BT112" s="216"/>
      <c r="BU112" s="216"/>
      <c r="BV112" s="216"/>
      <c r="BW112" s="216"/>
      <c r="BX112" s="216"/>
      <c r="BY112" s="216"/>
      <c r="BZ112" s="216"/>
      <c r="CA112" s="216"/>
      <c r="CB112" s="216"/>
      <c r="CC112" s="216"/>
      <c r="CD112" s="216"/>
      <c r="CE112" s="216"/>
      <c r="CF112" s="216"/>
      <c r="CG112" s="216"/>
      <c r="CH112" s="216"/>
      <c r="CI112" s="216"/>
      <c r="CJ112" s="216"/>
      <c r="CK112" s="216"/>
      <c r="CL112" s="216"/>
      <c r="CM112" s="216"/>
      <c r="CN112" s="216"/>
      <c r="CO112" s="256"/>
    </row>
    <row r="113" ht="18">
      <c r="A113" s="200"/>
      <c r="L113" s="211">
        <v>18</v>
      </c>
      <c r="M113" s="212">
        <f>IF(AND((AM86&gt;0),(AM86&lt;=5)),5,IF(AND((AM86&gt;5),(AM86&lt;=10)),10,IF(AND((AM86&gt;10),(AM86&lt;=15)),15,IF(AND((AM86&gt;15),(AM86&lt;=20)),20,IF(AND((AM86&gt;20),(AM86&lt;=25)),25,IF(AND((AM86&gt;25),(AM86&lt;=30)),30,IF(AND((AM86&gt;30),(AM86&lt;=35)),35,IF(AND((AM86&gt;35),(AM86&lt;=40)),40,IF(AND((AM86&gt;40),(AM86&lt;=45)),45,IF(AND((AM86&gt;45),(AM86&lt;=50)),50,IF(AND((AM86&gt;50),(AM86&lt;=55)),55,IF(AND((AM86&gt;55),(AM86&lt;=60)),60,0))))))))))))</f>
        <v>5</v>
      </c>
      <c r="N113" s="218" t="s">
        <v>70</v>
      </c>
      <c r="O113" s="214"/>
      <c r="P113" s="214"/>
      <c r="Q113" s="214"/>
      <c r="R113" s="218" t="s">
        <v>117</v>
      </c>
      <c r="S113" s="211"/>
      <c r="T113" s="211"/>
      <c r="U113" s="248">
        <f>Sheet2!B23</f>
        <v>190</v>
      </c>
      <c r="V113" s="240">
        <f>M113*U114</f>
        <v>0</v>
      </c>
      <c r="W113" s="251">
        <f t="shared" si="27" ca="1"/>
        <v>0</v>
      </c>
      <c r="X113" s="216"/>
      <c r="Y113" s="216"/>
      <c r="Z113" s="216"/>
      <c r="AA113" s="216"/>
      <c r="AB113" s="216"/>
      <c r="AC113" s="216"/>
      <c r="AD113" s="216"/>
      <c r="AE113" s="216"/>
      <c r="AF113" s="216"/>
      <c r="AG113" s="216"/>
      <c r="AH113" s="216"/>
      <c r="AI113" s="216"/>
      <c r="AJ113" s="216"/>
      <c r="AK113" s="216"/>
      <c r="AL113" s="216"/>
      <c r="AM113" s="216"/>
      <c r="AN113" s="216"/>
      <c r="AO113" s="216"/>
      <c r="AP113" s="216"/>
      <c r="AQ113" s="216"/>
      <c r="AR113" s="216"/>
      <c r="AS113" s="216"/>
      <c r="AT113" s="256"/>
      <c r="AU113" s="216"/>
      <c r="AV113" s="200"/>
      <c r="BG113" s="553" t="s">
        <v>54</v>
      </c>
      <c r="BH113" s="554"/>
      <c r="BI113" s="555" t="s">
        <v>54</v>
      </c>
      <c r="BJ113" s="556"/>
      <c r="BK113" s="556"/>
      <c r="BL113" s="556"/>
      <c r="BM113" s="553" t="s">
        <v>118</v>
      </c>
      <c r="BN113" s="553"/>
      <c r="BO113" s="553"/>
      <c r="BP113" s="557"/>
      <c r="BQ113" s="558">
        <f>SUBTOTAL(109,Table13597192103[اجمالي])</f>
        <v>22518</v>
      </c>
      <c r="BR113" s="559">
        <f>Table13597192103[[#Totals],[اجمالي]]/$R$68</f>
        <v>0.086347901362151758</v>
      </c>
      <c r="BS113" s="216"/>
      <c r="BT113" s="216"/>
      <c r="BU113" s="216"/>
      <c r="BV113" s="216"/>
      <c r="BW113" s="216"/>
      <c r="BX113" s="216"/>
      <c r="BY113" s="216"/>
      <c r="BZ113" s="216"/>
      <c r="CA113" s="216"/>
      <c r="CB113" s="216"/>
      <c r="CC113" s="216"/>
      <c r="CD113" s="216"/>
      <c r="CE113" s="216"/>
      <c r="CF113" s="216"/>
      <c r="CG113" s="216"/>
      <c r="CH113" s="216"/>
      <c r="CI113" s="216"/>
      <c r="CJ113" s="216"/>
      <c r="CK113" s="216"/>
      <c r="CL113" s="216"/>
      <c r="CM113" s="216"/>
      <c r="CN113" s="216"/>
      <c r="CO113" s="256"/>
    </row>
    <row r="114" ht="18">
      <c r="A114" s="200"/>
      <c r="L114" s="508" t="s">
        <v>54</v>
      </c>
      <c r="M114" s="509"/>
      <c r="N114" s="510" t="s">
        <v>54</v>
      </c>
      <c r="O114" s="511"/>
      <c r="P114" s="511"/>
      <c r="Q114" s="511"/>
      <c r="R114" s="508" t="s">
        <v>118</v>
      </c>
      <c r="S114" s="508"/>
      <c r="T114" s="508"/>
      <c r="U114" s="512"/>
      <c r="V114" s="513">
        <f>SUBTOTAL(109,Table13597192[اجمالي])</f>
        <v>21625</v>
      </c>
      <c r="W114" s="514">
        <f>Table13597192[[#Totals],[اجمالي]]/$R$68</f>
        <v>0.082923588549450741</v>
      </c>
      <c r="X114" s="216"/>
      <c r="Y114" s="216"/>
      <c r="Z114" s="216"/>
      <c r="AA114" s="216"/>
      <c r="AB114" s="216"/>
      <c r="AC114" s="216"/>
      <c r="AD114" s="216"/>
      <c r="AE114" s="216"/>
      <c r="AF114" s="216"/>
      <c r="AG114" s="216"/>
      <c r="AH114" s="216"/>
      <c r="AI114" s="216"/>
      <c r="AJ114" s="216"/>
      <c r="AK114" s="216"/>
      <c r="AL114" s="216"/>
      <c r="AM114" s="216"/>
      <c r="AN114" s="216"/>
      <c r="AO114" s="216"/>
      <c r="AP114" s="216"/>
      <c r="AQ114" s="216"/>
      <c r="AR114" s="216"/>
      <c r="AS114" s="216"/>
      <c r="AT114" s="256"/>
      <c r="AU114" s="216"/>
      <c r="AV114" s="200"/>
      <c r="BG114" s="211"/>
      <c r="BH114" s="212"/>
      <c r="BI114" s="213"/>
      <c r="BJ114" s="214"/>
      <c r="BK114" s="214"/>
      <c r="BL114" s="214"/>
      <c r="BM114" s="211"/>
      <c r="BN114" s="211"/>
      <c r="BO114" s="211"/>
      <c r="BP114" s="242"/>
      <c r="BQ114" s="240"/>
      <c r="BR114" s="244"/>
      <c r="BS114" s="216"/>
      <c r="BT114" s="216"/>
      <c r="BU114" s="216"/>
      <c r="BV114" s="216"/>
      <c r="BW114" s="216"/>
      <c r="BX114" s="216"/>
      <c r="BY114" s="216"/>
      <c r="BZ114" s="216"/>
      <c r="CA114" s="216"/>
      <c r="CB114" s="216"/>
      <c r="CC114" s="216"/>
      <c r="CD114" s="216"/>
      <c r="CE114" s="216"/>
      <c r="CF114" s="216"/>
      <c r="CG114" s="216"/>
      <c r="CH114" s="216"/>
      <c r="CI114" s="216"/>
      <c r="CJ114" s="216"/>
      <c r="CK114" s="216"/>
      <c r="CL114" s="216"/>
      <c r="CM114" s="216"/>
      <c r="CN114" s="216"/>
      <c r="CO114" s="256"/>
    </row>
    <row r="115" ht="18">
      <c r="A115" s="200"/>
      <c r="L115" s="211"/>
      <c r="M115" s="212"/>
      <c r="N115" s="213"/>
      <c r="O115" s="214"/>
      <c r="P115" s="214"/>
      <c r="Q115" s="214"/>
      <c r="R115" s="211"/>
      <c r="S115" s="211"/>
      <c r="T115" s="211"/>
      <c r="U115" s="242"/>
      <c r="V115" s="240"/>
      <c r="W115" s="244"/>
      <c r="X115" s="216"/>
      <c r="Y115" s="216"/>
      <c r="Z115" s="216"/>
      <c r="AA115" s="216"/>
      <c r="AB115" s="216"/>
      <c r="AC115" s="216"/>
      <c r="AD115" s="216"/>
      <c r="AE115" s="216"/>
      <c r="AF115" s="216"/>
      <c r="AG115" s="216"/>
      <c r="AH115" s="216"/>
      <c r="AI115" s="216"/>
      <c r="AJ115" s="216"/>
      <c r="AK115" s="216"/>
      <c r="AL115" s="216"/>
      <c r="AM115" s="216"/>
      <c r="AN115" s="216"/>
      <c r="AO115" s="216"/>
      <c r="AP115" s="216"/>
      <c r="AQ115" s="216"/>
      <c r="AR115" s="216"/>
      <c r="AS115" s="216"/>
      <c r="AT115" s="256"/>
      <c r="AU115" s="216"/>
      <c r="AV115" s="200"/>
      <c r="BG115" s="216"/>
      <c r="BH115" s="216"/>
      <c r="BI115" s="217"/>
      <c r="BJ115" s="885" t="s">
        <v>162</v>
      </c>
      <c r="BK115" s="885"/>
      <c r="BL115" s="885"/>
      <c r="BM115" s="885"/>
      <c r="BN115" s="885"/>
      <c r="BO115" s="885"/>
      <c r="BP115" s="216"/>
      <c r="BQ115" s="216"/>
      <c r="BR115" s="216"/>
      <c r="BS115" s="216"/>
      <c r="BT115" s="216"/>
      <c r="BU115" s="216"/>
      <c r="BV115" s="216"/>
      <c r="BW115" s="216"/>
      <c r="BX115" s="216"/>
      <c r="BY115" s="216"/>
      <c r="BZ115" s="216"/>
      <c r="CA115" s="216"/>
      <c r="CB115" s="216"/>
      <c r="CC115" s="216"/>
      <c r="CD115" s="216"/>
      <c r="CE115" s="216"/>
      <c r="CF115" s="216"/>
      <c r="CG115" s="216"/>
      <c r="CH115" s="216"/>
      <c r="CI115" s="216"/>
      <c r="CJ115" s="216"/>
      <c r="CK115" s="216"/>
      <c r="CL115" s="216"/>
      <c r="CM115" s="216"/>
      <c r="CN115" s="216"/>
      <c r="CO115" s="256"/>
    </row>
    <row r="116" ht="18">
      <c r="A116" s="200"/>
      <c r="L116" s="216"/>
      <c r="M116" s="216"/>
      <c r="N116" s="217"/>
      <c r="O116" s="885" t="s">
        <v>162</v>
      </c>
      <c r="P116" s="885"/>
      <c r="Q116" s="885"/>
      <c r="R116" s="885"/>
      <c r="S116" s="885"/>
      <c r="T116" s="885"/>
      <c r="U116" s="216"/>
      <c r="V116" s="216"/>
      <c r="W116" s="216"/>
      <c r="X116" s="216"/>
      <c r="Y116" s="216"/>
      <c r="Z116" s="216"/>
      <c r="AA116" s="216"/>
      <c r="AB116" s="216"/>
      <c r="AC116" s="216"/>
      <c r="AD116" s="216"/>
      <c r="AE116" s="216"/>
      <c r="AF116" s="216"/>
      <c r="AG116" s="216"/>
      <c r="AH116" s="216"/>
      <c r="AI116" s="216"/>
      <c r="AJ116" s="216"/>
      <c r="AK116" s="216"/>
      <c r="AL116" s="216"/>
      <c r="AM116" s="216"/>
      <c r="AN116" s="216"/>
      <c r="AO116" s="216"/>
      <c r="AP116" s="216"/>
      <c r="AQ116" s="216"/>
      <c r="AR116" s="216"/>
      <c r="AS116" s="216"/>
      <c r="AT116" s="256"/>
      <c r="AU116" s="216"/>
      <c r="AV116" s="200"/>
      <c r="BG116" s="211" t="s">
        <v>27</v>
      </c>
      <c r="BH116" s="211" t="s">
        <v>28</v>
      </c>
      <c r="BI116" s="218" t="s">
        <v>29</v>
      </c>
      <c r="BJ116" s="211" t="s">
        <v>30</v>
      </c>
      <c r="BK116" s="211" t="s">
        <v>9</v>
      </c>
      <c r="BL116" s="211" t="s">
        <v>61</v>
      </c>
      <c r="BM116" s="211" t="s">
        <v>32</v>
      </c>
      <c r="BN116" s="211" t="s">
        <v>33</v>
      </c>
      <c r="BO116" s="211" t="s">
        <v>74</v>
      </c>
      <c r="BP116" s="211" t="s">
        <v>35</v>
      </c>
      <c r="BQ116" s="245" t="s">
        <v>36</v>
      </c>
      <c r="BR116" s="211" t="s">
        <v>37</v>
      </c>
      <c r="BS116" s="216"/>
      <c r="BT116" s="216"/>
      <c r="BU116" s="216"/>
      <c r="BV116" s="216"/>
      <c r="BW116" s="216"/>
      <c r="BX116" s="216"/>
      <c r="BY116" s="216"/>
      <c r="BZ116" s="216"/>
      <c r="CA116" s="216"/>
      <c r="CB116" s="216"/>
      <c r="CC116" s="216"/>
      <c r="CD116" s="216"/>
      <c r="CE116" s="216"/>
      <c r="CF116" s="216"/>
      <c r="CG116" s="216"/>
      <c r="CH116" s="216"/>
      <c r="CI116" s="216"/>
      <c r="CJ116" s="216"/>
      <c r="CK116" s="216"/>
      <c r="CL116" s="216"/>
      <c r="CM116" s="216"/>
      <c r="CN116" s="216"/>
      <c r="CO116" s="256"/>
    </row>
    <row r="117" ht="18">
      <c r="A117" s="200"/>
      <c r="L117" s="211" t="s">
        <v>27</v>
      </c>
      <c r="M117" s="211" t="s">
        <v>28</v>
      </c>
      <c r="N117" s="218" t="s">
        <v>29</v>
      </c>
      <c r="O117" s="211" t="s">
        <v>30</v>
      </c>
      <c r="P117" s="211" t="s">
        <v>9</v>
      </c>
      <c r="Q117" s="211" t="s">
        <v>61</v>
      </c>
      <c r="R117" s="211" t="s">
        <v>32</v>
      </c>
      <c r="S117" s="211" t="s">
        <v>33</v>
      </c>
      <c r="T117" s="211" t="s">
        <v>74</v>
      </c>
      <c r="U117" s="211" t="s">
        <v>35</v>
      </c>
      <c r="V117" s="245" t="s">
        <v>36</v>
      </c>
      <c r="W117" s="211" t="s">
        <v>37</v>
      </c>
      <c r="X117" s="216"/>
      <c r="Y117" s="216"/>
      <c r="Z117" s="216"/>
      <c r="AA117" s="216"/>
      <c r="AB117" s="216"/>
      <c r="AC117" s="216"/>
      <c r="AD117" s="216"/>
      <c r="AE117" s="216"/>
      <c r="AF117" s="216"/>
      <c r="AG117" s="216"/>
      <c r="AH117" s="216"/>
      <c r="AI117" s="216"/>
      <c r="AJ117" s="216"/>
      <c r="AK117" s="216"/>
      <c r="AL117" s="216"/>
      <c r="AM117" s="216"/>
      <c r="AN117" s="216"/>
      <c r="AO117" s="216"/>
      <c r="AP117" s="216"/>
      <c r="AQ117" s="216"/>
      <c r="AR117" s="216"/>
      <c r="AS117" s="216"/>
      <c r="AT117" s="256"/>
      <c r="AU117" s="216"/>
      <c r="AV117" s="200"/>
      <c r="BG117" s="211">
        <v>5</v>
      </c>
      <c r="BH117" s="219">
        <v>1</v>
      </c>
      <c r="BI117" s="213" t="s">
        <v>292</v>
      </c>
      <c r="BJ117" s="214"/>
      <c r="BK117" s="211"/>
      <c r="BL117" s="216"/>
      <c r="BM117" s="214"/>
      <c r="BN117" s="211"/>
      <c r="BO117" s="247"/>
      <c r="BP117" s="248">
        <f>Table80102113[[#Totals],[price]]</f>
        <v>104234.7</v>
      </c>
      <c r="BQ117" s="252">
        <f>BH117*Table1613687798109[[#This Row],[سعر الشبك ]]</f>
        <v>104234.7</v>
      </c>
      <c r="BR117" s="241">
        <f>(BQ117)/$R$68</f>
        <v>0.39970013296533791</v>
      </c>
      <c r="BS117" s="216"/>
      <c r="BT117" s="216"/>
      <c r="BU117" s="216"/>
      <c r="BV117" s="216"/>
      <c r="BW117" s="216"/>
      <c r="BX117" s="216"/>
      <c r="BY117" s="216"/>
      <c r="BZ117" s="216"/>
      <c r="CA117" s="216"/>
      <c r="CB117" s="216"/>
      <c r="CC117" s="216"/>
      <c r="CD117" s="216"/>
      <c r="CE117" s="216"/>
      <c r="CF117" s="216"/>
      <c r="CG117" s="216"/>
      <c r="CH117" s="216"/>
      <c r="CI117" s="216"/>
      <c r="CJ117" s="216"/>
      <c r="CK117" s="216"/>
      <c r="CL117" s="216"/>
      <c r="CM117" s="216"/>
      <c r="CN117" s="216"/>
      <c r="CO117" s="256"/>
    </row>
    <row r="118" ht="18">
      <c r="A118" s="200"/>
      <c r="L118" s="211">
        <v>5</v>
      </c>
      <c r="M118" s="219">
        <v>1</v>
      </c>
      <c r="N118" s="213" t="s">
        <v>292</v>
      </c>
      <c r="O118" s="214"/>
      <c r="P118" s="211"/>
      <c r="Q118" s="216"/>
      <c r="R118" s="214"/>
      <c r="S118" s="211"/>
      <c r="T118" s="247"/>
      <c r="U118" s="248">
        <f>F97</f>
        <v>88303.699999999983</v>
      </c>
      <c r="V118" s="252">
        <f>M118*Table1613687798[[#This Row],[سعر الشبك ]]</f>
        <v>88303.699999999983</v>
      </c>
      <c r="W118" s="241">
        <f>(V118)/$R$68</f>
        <v>0.33861085254076911</v>
      </c>
      <c r="X118" s="216"/>
      <c r="Y118" s="216"/>
      <c r="Z118" s="216"/>
      <c r="AA118" s="216"/>
      <c r="AB118" s="216"/>
      <c r="AC118" s="216"/>
      <c r="AD118" s="216"/>
      <c r="AE118" s="216"/>
      <c r="AF118" s="216"/>
      <c r="AG118" s="216"/>
      <c r="AH118" s="216"/>
      <c r="AI118" s="216"/>
      <c r="AJ118" s="216"/>
      <c r="AK118" s="216"/>
      <c r="AL118" s="216"/>
      <c r="AM118" s="216"/>
      <c r="AN118" s="216"/>
      <c r="AO118" s="216"/>
      <c r="AP118" s="216"/>
      <c r="AQ118" s="216"/>
      <c r="AR118" s="216"/>
      <c r="AS118" s="216"/>
      <c r="AT118" s="256"/>
      <c r="AU118" s="216"/>
      <c r="AV118" s="200"/>
      <c r="BG118" s="211">
        <v>4</v>
      </c>
      <c r="BH118" s="212">
        <f>IF((BL134="الاسكندرية"),0.25,0.1)</f>
        <v>0.1</v>
      </c>
      <c r="BI118" s="213" t="s">
        <v>131</v>
      </c>
      <c r="BJ118" s="214"/>
      <c r="BK118" s="211"/>
      <c r="BL118" s="216"/>
      <c r="BM118" s="214"/>
      <c r="BN118" s="211"/>
      <c r="BO118" s="247"/>
      <c r="BP118" s="248">
        <f>BQ117</f>
        <v>104234.7</v>
      </c>
      <c r="BQ118" s="240">
        <f>BH118*Table1613687798109[[#This Row],[سعر الشبك ]]</f>
        <v>10423.470000000001</v>
      </c>
      <c r="BR118" s="241">
        <f>(BQ118)/$R$68</f>
        <v>0.039970013296533796</v>
      </c>
      <c r="BS118" s="216"/>
      <c r="BT118" s="216"/>
      <c r="BU118" s="216"/>
      <c r="BV118" s="216"/>
      <c r="BW118" s="216"/>
      <c r="BX118" s="216"/>
      <c r="BY118" s="216"/>
      <c r="BZ118" s="216"/>
      <c r="CA118" s="216"/>
      <c r="CB118" s="216"/>
      <c r="CC118" s="216"/>
      <c r="CD118" s="216"/>
      <c r="CE118" s="216"/>
      <c r="CF118" s="216"/>
      <c r="CG118" s="216"/>
      <c r="CH118" s="216"/>
      <c r="CI118" s="216"/>
      <c r="CJ118" s="216"/>
      <c r="CK118" s="216"/>
      <c r="CL118" s="216"/>
      <c r="CM118" s="216"/>
      <c r="CN118" s="216"/>
      <c r="CO118" s="256"/>
    </row>
    <row r="119" ht="18">
      <c r="A119" s="200"/>
      <c r="L119" s="211">
        <v>4</v>
      </c>
      <c r="M119" s="212">
        <f>IF((Q135="الاسكندرية"),0.25,0.1)</f>
        <v>0.1</v>
      </c>
      <c r="N119" s="213" t="s">
        <v>131</v>
      </c>
      <c r="O119" s="214"/>
      <c r="P119" s="211"/>
      <c r="Q119" s="216"/>
      <c r="R119" s="214"/>
      <c r="S119" s="211"/>
      <c r="T119" s="247"/>
      <c r="U119" s="248">
        <f>F97</f>
        <v>88303.699999999983</v>
      </c>
      <c r="V119" s="240">
        <f>M119*Table1613687798[[#This Row],[سعر الشبك ]]</f>
        <v>8830.369999999999</v>
      </c>
      <c r="W119" s="241">
        <f>(V119)/$R$68</f>
        <v>0.033861085254076911</v>
      </c>
      <c r="X119" s="216"/>
      <c r="Y119" s="216"/>
      <c r="Z119" s="216"/>
      <c r="AA119" s="216"/>
      <c r="AB119" s="216"/>
      <c r="AC119" s="216"/>
      <c r="AD119" s="216"/>
      <c r="AE119" s="216"/>
      <c r="AF119" s="216"/>
      <c r="AG119" s="216"/>
      <c r="AH119" s="216"/>
      <c r="AI119" s="216"/>
      <c r="AJ119" s="216"/>
      <c r="AK119" s="216"/>
      <c r="AL119" s="216"/>
      <c r="AM119" s="216"/>
      <c r="AN119" s="216"/>
      <c r="AO119" s="216"/>
      <c r="AP119" s="216"/>
      <c r="AQ119" s="216"/>
      <c r="AR119" s="216"/>
      <c r="AS119" s="216"/>
      <c r="AT119" s="256"/>
      <c r="AU119" s="216"/>
      <c r="AV119" s="200"/>
      <c r="BG119" s="211" t="s">
        <v>54</v>
      </c>
      <c r="BH119" s="212"/>
      <c r="BI119" s="213" t="s">
        <v>54</v>
      </c>
      <c r="BJ119" s="214"/>
      <c r="BK119" s="214"/>
      <c r="BL119" s="216">
        <f>SUBTOTAL(109,Table1613687798109[Column12])</f>
        <v>0</v>
      </c>
      <c r="BM119" s="211"/>
      <c r="BN119" s="211"/>
      <c r="BO119" s="211"/>
      <c r="BP119" s="242"/>
      <c r="BQ119" s="240">
        <f>SUBTOTAL(109,Table1613687798109[اجمالي])</f>
        <v>114658.17</v>
      </c>
      <c r="BR119" s="244">
        <f>Table1613687798109[[#Totals],[اجمالي]]/$R$68</f>
        <v>0.43967014626187173</v>
      </c>
      <c r="BS119" s="216"/>
      <c r="BT119" s="216"/>
      <c r="BU119" s="216"/>
      <c r="BV119" s="216"/>
      <c r="BW119" s="216"/>
      <c r="BX119" s="216"/>
      <c r="BY119" s="216"/>
      <c r="BZ119" s="216"/>
      <c r="CA119" s="216"/>
      <c r="CB119" s="216"/>
      <c r="CC119" s="216"/>
      <c r="CD119" s="216"/>
      <c r="CE119" s="216"/>
      <c r="CF119" s="216"/>
      <c r="CG119" s="216"/>
      <c r="CH119" s="216"/>
      <c r="CI119" s="216"/>
      <c r="CJ119" s="216"/>
      <c r="CK119" s="216"/>
      <c r="CL119" s="216"/>
      <c r="CM119" s="216"/>
      <c r="CN119" s="216"/>
      <c r="CO119" s="256"/>
    </row>
    <row r="120" ht="18">
      <c r="A120" s="200"/>
      <c r="L120" s="211" t="s">
        <v>54</v>
      </c>
      <c r="M120" s="212"/>
      <c r="N120" s="213" t="s">
        <v>54</v>
      </c>
      <c r="O120" s="214"/>
      <c r="P120" s="214"/>
      <c r="Q120" s="216">
        <f>SUBTOTAL(109,Table1613687798[Column12])</f>
        <v>0</v>
      </c>
      <c r="R120" s="211"/>
      <c r="S120" s="211"/>
      <c r="T120" s="211"/>
      <c r="U120" s="242"/>
      <c r="V120" s="240">
        <f>SUBTOTAL(109,Table1613687798[اجمالي])</f>
        <v>97134.069999999978</v>
      </c>
      <c r="W120" s="244">
        <f>Table1613687798[[#Totals],[اجمالي]]/$R$68</f>
        <v>0.372471937794846</v>
      </c>
      <c r="X120" s="216"/>
      <c r="Y120" s="216"/>
      <c r="Z120" s="216"/>
      <c r="AA120" s="216"/>
      <c r="AB120" s="216"/>
      <c r="AC120" s="216"/>
      <c r="AD120" s="216"/>
      <c r="AE120" s="216"/>
      <c r="AF120" s="216"/>
      <c r="AG120" s="216"/>
      <c r="AH120" s="216"/>
      <c r="AI120" s="216"/>
      <c r="AJ120" s="216"/>
      <c r="AK120" s="216"/>
      <c r="AL120" s="216"/>
      <c r="AM120" s="216"/>
      <c r="AN120" s="216"/>
      <c r="AO120" s="216"/>
      <c r="AP120" s="216"/>
      <c r="AQ120" s="216"/>
      <c r="AR120" s="216"/>
      <c r="AS120" s="216"/>
      <c r="AT120" s="256"/>
      <c r="AU120" s="216"/>
      <c r="AV120" s="200"/>
      <c r="BG120" s="216"/>
      <c r="BH120" s="216"/>
      <c r="BI120" s="217"/>
      <c r="BJ120" s="885" t="s">
        <v>132</v>
      </c>
      <c r="BK120" s="885"/>
      <c r="BL120" s="885"/>
      <c r="BM120" s="885"/>
      <c r="BN120" s="885"/>
      <c r="BO120" s="885"/>
      <c r="BP120" s="216"/>
      <c r="BQ120" s="216"/>
      <c r="BR120" s="216"/>
      <c r="BS120" s="216"/>
      <c r="BT120" s="216"/>
      <c r="BU120" s="216"/>
      <c r="BV120" s="216"/>
      <c r="BW120" s="216"/>
      <c r="BX120" s="216"/>
      <c r="BY120" s="216"/>
      <c r="BZ120" s="216"/>
      <c r="CA120" s="216"/>
      <c r="CB120" s="216"/>
      <c r="CC120" s="216"/>
      <c r="CD120" s="216"/>
      <c r="CE120" s="216"/>
      <c r="CF120" s="216"/>
      <c r="CG120" s="216"/>
      <c r="CH120" s="216"/>
      <c r="CI120" s="216"/>
      <c r="CJ120" s="216"/>
      <c r="CK120" s="216"/>
      <c r="CL120" s="216"/>
      <c r="CM120" s="216"/>
      <c r="CN120" s="216"/>
      <c r="CO120" s="256"/>
    </row>
    <row r="121" ht="18">
      <c r="A121" s="200"/>
      <c r="L121" s="216"/>
      <c r="M121" s="216"/>
      <c r="N121" s="217"/>
      <c r="O121" s="885" t="s">
        <v>132</v>
      </c>
      <c r="P121" s="885"/>
      <c r="Q121" s="885"/>
      <c r="R121" s="885"/>
      <c r="S121" s="885"/>
      <c r="T121" s="885"/>
      <c r="U121" s="216"/>
      <c r="V121" s="216"/>
      <c r="W121" s="216"/>
      <c r="X121" s="216"/>
      <c r="Y121" s="216"/>
      <c r="Z121" s="216"/>
      <c r="AA121" s="216"/>
      <c r="AB121" s="216"/>
      <c r="AC121" s="216"/>
      <c r="AD121" s="216"/>
      <c r="AE121" s="216"/>
      <c r="AF121" s="216"/>
      <c r="AG121" s="216"/>
      <c r="AH121" s="216"/>
      <c r="AI121" s="216"/>
      <c r="AJ121" s="216"/>
      <c r="AK121" s="216"/>
      <c r="AL121" s="216"/>
      <c r="AM121" s="216"/>
      <c r="AN121" s="216"/>
      <c r="AO121" s="216"/>
      <c r="AP121" s="216"/>
      <c r="AQ121" s="216"/>
      <c r="AR121" s="216"/>
      <c r="AS121" s="216"/>
      <c r="AT121" s="256"/>
      <c r="AU121" s="216"/>
      <c r="AV121" s="200"/>
      <c r="BG121" s="211" t="s">
        <v>27</v>
      </c>
      <c r="BH121" s="211" t="s">
        <v>28</v>
      </c>
      <c r="BI121" s="218" t="s">
        <v>29</v>
      </c>
      <c r="BJ121" s="211" t="s">
        <v>133</v>
      </c>
      <c r="BK121" s="211" t="s">
        <v>12</v>
      </c>
      <c r="BL121" s="211" t="s">
        <v>134</v>
      </c>
      <c r="BM121" s="211" t="s">
        <v>135</v>
      </c>
      <c r="BN121" s="211" t="s">
        <v>61</v>
      </c>
      <c r="BO121" s="211" t="s">
        <v>136</v>
      </c>
      <c r="BP121" s="211" t="s">
        <v>137</v>
      </c>
      <c r="BQ121" s="245" t="s">
        <v>36</v>
      </c>
      <c r="BR121" s="211" t="s">
        <v>37</v>
      </c>
      <c r="BS121" s="216"/>
      <c r="BT121" s="216"/>
      <c r="BU121" s="216"/>
      <c r="BV121" s="216"/>
      <c r="BW121" s="216"/>
      <c r="BX121" s="216"/>
      <c r="BY121" s="216"/>
      <c r="BZ121" s="216"/>
      <c r="CA121" s="216"/>
      <c r="CB121" s="216"/>
      <c r="CC121" s="216"/>
      <c r="CD121" s="216"/>
      <c r="CE121" s="216"/>
      <c r="CF121" s="216"/>
      <c r="CG121" s="216"/>
      <c r="CH121" s="216"/>
      <c r="CI121" s="216"/>
      <c r="CJ121" s="216"/>
      <c r="CK121" s="216"/>
      <c r="CL121" s="216"/>
      <c r="CM121" s="216"/>
      <c r="CN121" s="216"/>
      <c r="CO121" s="256"/>
    </row>
    <row r="122" ht="18">
      <c r="A122" s="200"/>
      <c r="L122" s="211" t="s">
        <v>27</v>
      </c>
      <c r="M122" s="211" t="s">
        <v>28</v>
      </c>
      <c r="N122" s="218" t="s">
        <v>29</v>
      </c>
      <c r="O122" s="211" t="s">
        <v>133</v>
      </c>
      <c r="P122" s="211" t="s">
        <v>12</v>
      </c>
      <c r="Q122" s="211" t="s">
        <v>134</v>
      </c>
      <c r="R122" s="211" t="s">
        <v>135</v>
      </c>
      <c r="S122" s="211" t="s">
        <v>61</v>
      </c>
      <c r="T122" s="211" t="s">
        <v>136</v>
      </c>
      <c r="U122" s="211" t="s">
        <v>137</v>
      </c>
      <c r="V122" s="245" t="s">
        <v>36</v>
      </c>
      <c r="W122" s="211" t="s">
        <v>37</v>
      </c>
      <c r="X122" s="216"/>
      <c r="Y122" s="216"/>
      <c r="Z122" s="216"/>
      <c r="AA122" s="216"/>
      <c r="AB122" s="216"/>
      <c r="AC122" s="216"/>
      <c r="AD122" s="216"/>
      <c r="AE122" s="216"/>
      <c r="AF122" s="216"/>
      <c r="AG122" s="216"/>
      <c r="AH122" s="216"/>
      <c r="AI122" s="216"/>
      <c r="AJ122" s="216"/>
      <c r="AK122" s="216"/>
      <c r="AL122" s="216"/>
      <c r="AM122" s="216"/>
      <c r="AN122" s="216"/>
      <c r="AO122" s="216"/>
      <c r="AP122" s="216"/>
      <c r="AQ122" s="216"/>
      <c r="AR122" s="216"/>
      <c r="AS122" s="216"/>
      <c r="AT122" s="256"/>
      <c r="AU122" s="216"/>
      <c r="AV122" s="200"/>
      <c r="BG122" s="211">
        <v>1</v>
      </c>
      <c r="BH122" s="219">
        <v>2</v>
      </c>
      <c r="BI122" s="220" t="s">
        <v>138</v>
      </c>
      <c r="BJ122" s="211">
        <f>IF((Table1612677697108[[#This Row],[موقع العمل]]="المصنع"),280,IF((Table1612677697108[[#This Row],[موقع العمل]]="الاسكندرية"),320,400))</f>
        <v>280</v>
      </c>
      <c r="BK122" s="211">
        <f>SUMIF(Table17697899110[Column1],Table1612677697108[[#This Row],[موقع العمل]],$AB$2:$AB$20)</f>
        <v>0</v>
      </c>
      <c r="BL122" s="211" t="s">
        <v>139</v>
      </c>
      <c r="BM122" s="214" t="s">
        <v>39</v>
      </c>
      <c r="BN122" s="216"/>
      <c r="BO122" s="243">
        <v>1</v>
      </c>
      <c r="BP122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2" s="240">
        <f ref="BQ122:BQ134" t="shared" si="31" ca="1">BH122*BP122</f>
        <v>560</v>
      </c>
      <c r="BR122" s="241">
        <f ref="BR122:BR134" t="shared" si="32" ca="1">(BQ122)/$R$68</f>
        <v>0.0021473854144597646</v>
      </c>
      <c r="BS122" s="216"/>
      <c r="BT122" s="216"/>
      <c r="BU122" s="216"/>
      <c r="BV122" s="216"/>
      <c r="BW122" s="216"/>
      <c r="BX122" s="216"/>
      <c r="BY122" s="216"/>
      <c r="BZ122" s="216"/>
      <c r="CA122" s="216"/>
      <c r="CB122" s="216"/>
      <c r="CC122" s="216"/>
      <c r="CD122" s="216"/>
      <c r="CE122" s="216"/>
      <c r="CF122" s="216"/>
      <c r="CG122" s="216"/>
      <c r="CH122" s="216"/>
      <c r="CI122" s="216"/>
      <c r="CJ122" s="216"/>
      <c r="CK122" s="216"/>
      <c r="CL122" s="216"/>
      <c r="CM122" s="216"/>
      <c r="CN122" s="216"/>
      <c r="CO122" s="256"/>
    </row>
    <row r="123" ht="18">
      <c r="A123" s="200"/>
      <c r="L123" s="211">
        <v>1</v>
      </c>
      <c r="M123" s="219">
        <v>2</v>
      </c>
      <c r="N123" s="220" t="s">
        <v>138</v>
      </c>
      <c r="O123" s="211">
        <f>IF((Table1612677697[[#This Row],[موقع العمل]]="المصنع"),280,IF((Table1612677697[[#This Row],[موقع العمل]]="الاسكندرية"),320,400))</f>
        <v>280</v>
      </c>
      <c r="P123" s="211">
        <f>SUMIF(Table17697899[Column1],Table1612677697[[#This Row],[موقع العمل]],$AB$2:$AB$20)</f>
        <v>0</v>
      </c>
      <c r="Q123" s="211" t="s">
        <v>139</v>
      </c>
      <c r="R123" s="214" t="s">
        <v>39</v>
      </c>
      <c r="S123" s="216"/>
      <c r="T123" s="243">
        <v>1</v>
      </c>
      <c r="U123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3" s="240">
        <f ref="V123:V135" t="shared" si="33" ca="1">M123*U123</f>
        <v>560</v>
      </c>
      <c r="W123" s="241">
        <f ref="W123:W135" t="shared" si="34" ca="1">(V123)/$R$68</f>
        <v>0.0021473854144597646</v>
      </c>
      <c r="X123" s="216"/>
      <c r="Y123" s="216"/>
      <c r="Z123" s="216"/>
      <c r="AA123" s="216"/>
      <c r="AB123" s="216"/>
      <c r="AC123" s="216"/>
      <c r="AD123" s="216"/>
      <c r="AE123" s="216"/>
      <c r="AF123" s="216"/>
      <c r="AG123" s="216"/>
      <c r="AH123" s="216"/>
      <c r="AI123" s="216"/>
      <c r="AJ123" s="216"/>
      <c r="AK123" s="216"/>
      <c r="AL123" s="216"/>
      <c r="AM123" s="216"/>
      <c r="AN123" s="216"/>
      <c r="AO123" s="216"/>
      <c r="AP123" s="216"/>
      <c r="AQ123" s="216"/>
      <c r="AR123" s="216"/>
      <c r="AS123" s="216"/>
      <c r="AT123" s="256"/>
      <c r="AU123" s="216"/>
      <c r="AV123" s="200"/>
      <c r="BG123" s="211">
        <v>2</v>
      </c>
      <c r="BH123" s="219">
        <v>2</v>
      </c>
      <c r="BI123" s="220" t="s">
        <v>140</v>
      </c>
      <c r="BJ123" s="211">
        <f>IF((Table1612677697108[[#This Row],[موقع العمل]]="المصنع"),280,IF((Table1612677697108[[#This Row],[موقع العمل]]="الاسكندرية"),320,400))</f>
        <v>280</v>
      </c>
      <c r="BK123" s="211">
        <f>SUMIF(Table17697899110[Column1],Table1612677697108[[#This Row],[موقع العمل]],$AB$2:$AB$20)</f>
        <v>0</v>
      </c>
      <c r="BL123" s="211" t="s">
        <v>139</v>
      </c>
      <c r="BM123" s="214" t="s">
        <v>39</v>
      </c>
      <c r="BN123" s="216"/>
      <c r="BO123" s="243">
        <v>1</v>
      </c>
      <c r="BP123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280</v>
      </c>
      <c r="BQ123" s="240">
        <f t="shared" si="31" ca="1"/>
        <v>560</v>
      </c>
      <c r="BR123" s="241">
        <f t="shared" si="32" ca="1"/>
        <v>0.0021473854144597646</v>
      </c>
      <c r="BS123" s="216"/>
      <c r="BT123" s="216"/>
      <c r="BU123" s="216"/>
      <c r="BV123" s="216"/>
      <c r="BW123" s="216"/>
      <c r="BX123" s="216"/>
      <c r="BY123" s="216"/>
      <c r="BZ123" s="216"/>
      <c r="CA123" s="216"/>
      <c r="CB123" s="216"/>
      <c r="CC123" s="216"/>
      <c r="CD123" s="216"/>
      <c r="CE123" s="216"/>
      <c r="CF123" s="216"/>
      <c r="CG123" s="216"/>
      <c r="CH123" s="216"/>
      <c r="CI123" s="216"/>
      <c r="CJ123" s="216"/>
      <c r="CK123" s="216"/>
      <c r="CL123" s="216"/>
      <c r="CM123" s="216"/>
      <c r="CN123" s="216"/>
      <c r="CO123" s="256"/>
    </row>
    <row r="124" ht="18">
      <c r="A124" s="200"/>
      <c r="L124" s="211">
        <v>2</v>
      </c>
      <c r="M124" s="219">
        <v>2</v>
      </c>
      <c r="N124" s="220" t="s">
        <v>140</v>
      </c>
      <c r="O124" s="211">
        <f>IF((Table1612677697[[#This Row],[موقع العمل]]="المصنع"),280,IF((Table1612677697[[#This Row],[موقع العمل]]="الاسكندرية"),320,400))</f>
        <v>280</v>
      </c>
      <c r="P124" s="211">
        <f>SUMIF(Table17697899[Column1],Table1612677697[[#This Row],[موقع العمل]],$AB$2:$AB$20)</f>
        <v>0</v>
      </c>
      <c r="Q124" s="211" t="s">
        <v>139</v>
      </c>
      <c r="R124" s="214" t="s">
        <v>39</v>
      </c>
      <c r="S124" s="216"/>
      <c r="T124" s="243">
        <v>1</v>
      </c>
      <c r="U124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280</v>
      </c>
      <c r="V124" s="240">
        <f t="shared" si="33" ca="1"/>
        <v>560</v>
      </c>
      <c r="W124" s="241">
        <f t="shared" si="34" ca="1"/>
        <v>0.0021473854144597646</v>
      </c>
      <c r="X124" s="216"/>
      <c r="Y124" s="216"/>
      <c r="Z124" s="216"/>
      <c r="AA124" s="216"/>
      <c r="AB124" s="216"/>
      <c r="AC124" s="216"/>
      <c r="AD124" s="216"/>
      <c r="AE124" s="216"/>
      <c r="AF124" s="216"/>
      <c r="AG124" s="216"/>
      <c r="AH124" s="216"/>
      <c r="AI124" s="216"/>
      <c r="AJ124" s="216"/>
      <c r="AK124" s="216"/>
      <c r="AL124" s="216"/>
      <c r="AM124" s="216"/>
      <c r="AN124" s="216"/>
      <c r="AO124" s="216"/>
      <c r="AP124" s="216"/>
      <c r="AQ124" s="216"/>
      <c r="AR124" s="216"/>
      <c r="AS124" s="216"/>
      <c r="AT124" s="256"/>
      <c r="AU124" s="216"/>
      <c r="AV124" s="200"/>
      <c r="BG124" s="211">
        <v>3</v>
      </c>
      <c r="BH124" s="219">
        <v>3</v>
      </c>
      <c r="BI124" s="220" t="s">
        <v>141</v>
      </c>
      <c r="BJ124" s="211">
        <f>IF((Table1612677697108[[#This Row],[موقع العمل]]="المصنع"),280,IF((Table1612677697108[[#This Row],[موقع العمل]]="الاسكندرية"),320,400))</f>
        <v>280</v>
      </c>
      <c r="BK124" s="211">
        <f>SUMIF(Table17697899110[Column1],Table1612677697108[[#This Row],[موقع العمل]],$AB$2:$AB$20)</f>
        <v>0</v>
      </c>
      <c r="BL124" s="211" t="s">
        <v>139</v>
      </c>
      <c r="BM124" s="214" t="s">
        <v>39</v>
      </c>
      <c r="BN124" s="216"/>
      <c r="BO124" s="243">
        <v>0</v>
      </c>
      <c r="BP124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4" s="240">
        <f t="shared" si="31"/>
        <v>0</v>
      </c>
      <c r="BR124" s="241">
        <f t="shared" si="32" ca="1"/>
        <v>0</v>
      </c>
      <c r="BS124" s="216"/>
      <c r="BT124" s="216"/>
      <c r="BU124" s="216"/>
      <c r="BV124" s="216"/>
      <c r="BW124" s="216"/>
      <c r="BX124" s="216"/>
      <c r="BY124" s="216"/>
      <c r="BZ124" s="216"/>
      <c r="CA124" s="216"/>
      <c r="CB124" s="216"/>
      <c r="CC124" s="216"/>
      <c r="CD124" s="216"/>
      <c r="CE124" s="216"/>
      <c r="CF124" s="216"/>
      <c r="CG124" s="216"/>
      <c r="CH124" s="216"/>
      <c r="CI124" s="216"/>
      <c r="CJ124" s="216"/>
      <c r="CK124" s="216"/>
      <c r="CL124" s="216"/>
      <c r="CM124" s="216"/>
      <c r="CN124" s="216"/>
      <c r="CO124" s="256"/>
    </row>
    <row r="125" ht="18">
      <c r="A125" s="200"/>
      <c r="L125" s="211">
        <v>3</v>
      </c>
      <c r="M125" s="219">
        <v>3</v>
      </c>
      <c r="N125" s="220" t="s">
        <v>141</v>
      </c>
      <c r="O125" s="211">
        <f>IF((Table1612677697[[#This Row],[موقع العمل]]="المصنع"),280,IF((Table1612677697[[#This Row],[موقع العمل]]="الاسكندرية"),320,400))</f>
        <v>280</v>
      </c>
      <c r="P125" s="211">
        <f>SUMIF(Table17697899[Column1],Table1612677697[[#This Row],[موقع العمل]],$AB$2:$AB$20)</f>
        <v>0</v>
      </c>
      <c r="Q125" s="211" t="s">
        <v>139</v>
      </c>
      <c r="R125" s="214" t="s">
        <v>39</v>
      </c>
      <c r="S125" s="216"/>
      <c r="T125" s="243">
        <v>0</v>
      </c>
      <c r="U125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5" s="240">
        <f t="shared" si="33"/>
        <v>0</v>
      </c>
      <c r="W125" s="241">
        <f t="shared" si="34" ca="1"/>
        <v>0</v>
      </c>
      <c r="X125" s="216"/>
      <c r="Y125" s="216"/>
      <c r="Z125" s="216"/>
      <c r="AA125" s="216"/>
      <c r="AB125" s="216"/>
      <c r="AC125" s="216"/>
      <c r="AD125" s="216"/>
      <c r="AE125" s="216"/>
      <c r="AF125" s="216"/>
      <c r="AG125" s="216"/>
      <c r="AH125" s="216"/>
      <c r="AI125" s="216"/>
      <c r="AJ125" s="253"/>
      <c r="AK125" s="253"/>
      <c r="AL125" s="253"/>
      <c r="AM125" s="253"/>
      <c r="AN125" s="216"/>
      <c r="AO125" s="216"/>
      <c r="AP125" s="216"/>
      <c r="AQ125" s="216"/>
      <c r="AR125" s="216"/>
      <c r="AS125" s="216"/>
      <c r="AT125" s="256"/>
      <c r="AU125" s="216"/>
      <c r="AV125" s="200"/>
      <c r="BG125" s="211">
        <v>4</v>
      </c>
      <c r="BH125" s="212">
        <v>3</v>
      </c>
      <c r="BI125" s="220" t="s">
        <v>142</v>
      </c>
      <c r="BJ125" s="211">
        <f>IF((Table1612677697108[[#This Row],[موقع العمل]]="المصنع"),280,IF((Table1612677697108[[#This Row],[موقع العمل]]="الاسكندرية"),320,400))</f>
        <v>280</v>
      </c>
      <c r="BK125" s="211">
        <f>SUMIF(Table17697899110[Column1],Table1612677697108[[#This Row],[موقع العمل]],$AB$2:$AB$20)</f>
        <v>0</v>
      </c>
      <c r="BL125" s="211" t="s">
        <v>139</v>
      </c>
      <c r="BM125" s="214" t="s">
        <v>39</v>
      </c>
      <c r="BN125" s="216"/>
      <c r="BO125" s="243">
        <v>2</v>
      </c>
      <c r="BP125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560</v>
      </c>
      <c r="BQ125" s="240">
        <f t="shared" si="31" ca="1"/>
        <v>1680</v>
      </c>
      <c r="BR125" s="241">
        <f t="shared" si="32" ca="1"/>
        <v>0.0064421562433792942</v>
      </c>
      <c r="BS125" s="216"/>
      <c r="BT125" s="216"/>
      <c r="BU125" s="216"/>
      <c r="BV125" s="216"/>
      <c r="BW125" s="216"/>
      <c r="BX125" s="216"/>
      <c r="BY125" s="216"/>
      <c r="BZ125" s="216"/>
      <c r="CA125" s="216"/>
      <c r="CB125" s="216"/>
      <c r="CC125" s="216"/>
      <c r="CD125" s="216"/>
      <c r="CE125" s="216"/>
      <c r="CF125" s="216"/>
      <c r="CG125" s="216"/>
      <c r="CH125" s="216"/>
      <c r="CI125" s="216"/>
      <c r="CJ125" s="216"/>
      <c r="CK125" s="216"/>
      <c r="CL125" s="216"/>
      <c r="CM125" s="216"/>
      <c r="CN125" s="216"/>
      <c r="CO125" s="256"/>
    </row>
    <row r="126" ht="18">
      <c r="A126" s="200"/>
      <c r="L126" s="211">
        <v>4</v>
      </c>
      <c r="M126" s="212">
        <v>3</v>
      </c>
      <c r="N126" s="220" t="s">
        <v>142</v>
      </c>
      <c r="O126" s="211">
        <f>IF((Table1612677697[[#This Row],[موقع العمل]]="المصنع"),280,IF((Table1612677697[[#This Row],[موقع العمل]]="الاسكندرية"),320,400))</f>
        <v>280</v>
      </c>
      <c r="P126" s="211">
        <f>SUMIF(Table17697899[Column1],Table1612677697[[#This Row],[موقع العمل]],$AB$2:$AB$20)</f>
        <v>0</v>
      </c>
      <c r="Q126" s="211" t="s">
        <v>139</v>
      </c>
      <c r="R126" s="214" t="s">
        <v>39</v>
      </c>
      <c r="S126" s="216"/>
      <c r="T126" s="243">
        <v>2</v>
      </c>
      <c r="U126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560</v>
      </c>
      <c r="V126" s="240">
        <f t="shared" si="33" ca="1"/>
        <v>1680</v>
      </c>
      <c r="W126" s="241">
        <f t="shared" si="34" ca="1"/>
        <v>0.0064421562433792942</v>
      </c>
      <c r="X126" s="216"/>
      <c r="Y126" s="216"/>
      <c r="Z126" s="216"/>
      <c r="AA126" s="216"/>
      <c r="AB126" s="216"/>
      <c r="AC126" s="216"/>
      <c r="AD126" s="216"/>
      <c r="AE126" s="216"/>
      <c r="AF126" s="216"/>
      <c r="AG126" s="216"/>
      <c r="AH126" s="216"/>
      <c r="AI126" s="216"/>
      <c r="AJ126" s="253"/>
      <c r="AK126" s="253"/>
      <c r="AL126" s="253"/>
      <c r="AM126" s="253"/>
      <c r="AN126" s="216"/>
      <c r="AO126" s="216"/>
      <c r="AP126" s="216"/>
      <c r="AQ126" s="216"/>
      <c r="AR126" s="216"/>
      <c r="AS126" s="216"/>
      <c r="AT126" s="256"/>
      <c r="AU126" s="216"/>
      <c r="AV126" s="200"/>
      <c r="BG126" s="211">
        <v>5</v>
      </c>
      <c r="BH126" s="212">
        <v>4</v>
      </c>
      <c r="BI126" s="220" t="s">
        <v>143</v>
      </c>
      <c r="BJ126" s="211">
        <f>IF((Table1612677697108[[#This Row],[موقع العمل]]="المصنع"),280,IF((Table1612677697108[[#This Row],[موقع العمل]]="الاسكندرية"),320,400))</f>
        <v>400</v>
      </c>
      <c r="BK126" s="211">
        <f>SUMIF(Table17697899110[Column1],Table1612677697108[[#This Row],[موقع العمل]],$AB$2:$AB$20)</f>
        <v>100</v>
      </c>
      <c r="BL126" s="211" t="str">
        <f>تسعير!$BE$44</f>
        <v>التجمع</v>
      </c>
      <c r="BM126" s="214" t="s">
        <v>39</v>
      </c>
      <c r="BN126" s="216"/>
      <c r="BO126" s="243">
        <v>2</v>
      </c>
      <c r="BP126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6" s="240">
        <f t="shared" si="31" ca="1"/>
        <v>4000</v>
      </c>
      <c r="BR126" s="241">
        <f t="shared" si="32" ca="1"/>
        <v>0.015338467246141177</v>
      </c>
      <c r="BS126" s="216"/>
      <c r="BT126" s="216"/>
      <c r="BU126" s="216"/>
      <c r="BV126" s="216"/>
      <c r="BW126" s="216"/>
      <c r="BX126" s="216"/>
      <c r="BY126" s="216"/>
      <c r="BZ126" s="216"/>
      <c r="CA126" s="216"/>
      <c r="CB126" s="216"/>
      <c r="CC126" s="216"/>
      <c r="CD126" s="216"/>
      <c r="CE126" s="253"/>
      <c r="CF126" s="253"/>
      <c r="CG126" s="253"/>
      <c r="CH126" s="253"/>
      <c r="CI126" s="216"/>
      <c r="CJ126" s="216"/>
      <c r="CK126" s="216"/>
      <c r="CL126" s="216"/>
      <c r="CM126" s="216"/>
      <c r="CN126" s="216"/>
      <c r="CO126" s="256"/>
    </row>
    <row r="127" ht="18">
      <c r="A127" s="200"/>
      <c r="L127" s="211">
        <v>5</v>
      </c>
      <c r="M127" s="212">
        <v>4</v>
      </c>
      <c r="N127" s="220" t="s">
        <v>143</v>
      </c>
      <c r="O127" s="211">
        <f>IF((Table1612677697[[#This Row],[موقع العمل]]="المصنع"),280,IF((Table1612677697[[#This Row],[موقع العمل]]="الاسكندرية"),320,400))</f>
        <v>400</v>
      </c>
      <c r="P127" s="211">
        <f>SUMIF(Table17697899[Column1],Table1612677697[[#This Row],[موقع العمل]],$AB$2:$AB$20)</f>
        <v>100</v>
      </c>
      <c r="Q127" s="211" t="str">
        <f>تسعير!$BE$24</f>
        <v>الشيخ زايد</v>
      </c>
      <c r="R127" s="214" t="s">
        <v>39</v>
      </c>
      <c r="S127" s="216"/>
      <c r="T127" s="243">
        <v>2</v>
      </c>
      <c r="U127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7" s="240">
        <f t="shared" si="33" ca="1"/>
        <v>4000</v>
      </c>
      <c r="W127" s="241">
        <f t="shared" si="34" ca="1"/>
        <v>0.015338467246141177</v>
      </c>
      <c r="X127" s="216"/>
      <c r="Y127" s="216"/>
      <c r="Z127" s="216"/>
      <c r="AA127" s="216"/>
      <c r="AB127" s="216"/>
      <c r="AC127" s="216"/>
      <c r="AD127" s="216"/>
      <c r="AE127" s="216"/>
      <c r="AF127" s="216"/>
      <c r="AG127" s="216"/>
      <c r="AH127" s="216"/>
      <c r="AI127" s="216"/>
      <c r="AJ127" s="216"/>
      <c r="AK127" s="216"/>
      <c r="AL127" s="216"/>
      <c r="AM127" s="216"/>
      <c r="AN127" s="253"/>
      <c r="AO127" s="216"/>
      <c r="AP127" s="216"/>
      <c r="AQ127" s="253"/>
      <c r="AR127" s="253"/>
      <c r="AS127" s="253"/>
      <c r="AT127" s="257"/>
      <c r="AU127" s="216"/>
      <c r="AV127" s="200"/>
      <c r="BG127" s="211">
        <v>6</v>
      </c>
      <c r="BH127" s="212">
        <v>3</v>
      </c>
      <c r="BI127" s="220" t="s">
        <v>144</v>
      </c>
      <c r="BJ127" s="211">
        <f>IF((Table1612677697108[[#This Row],[موقع العمل]]="المصنع"),280,IF((Table1612677697108[[#This Row],[موقع العمل]]="الاسكندرية"),320,400))</f>
        <v>400</v>
      </c>
      <c r="BK127" s="211">
        <f>SUMIF(Table17697899110[Column1],Table1612677697108[[#This Row],[موقع العمل]],$AB$2:$AB$20)</f>
        <v>100</v>
      </c>
      <c r="BL127" s="211" t="str">
        <f>تسعير!$BE$44</f>
        <v>التجمع</v>
      </c>
      <c r="BM127" s="214" t="s">
        <v>39</v>
      </c>
      <c r="BN127" s="216"/>
      <c r="BO127" s="243">
        <v>2</v>
      </c>
      <c r="BP127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7" s="240">
        <f t="shared" si="31" ca="1"/>
        <v>3000</v>
      </c>
      <c r="BR127" s="241">
        <f t="shared" si="32" ca="1"/>
        <v>0.011503850434605882</v>
      </c>
      <c r="BS127" s="216"/>
      <c r="BT127" s="216"/>
      <c r="BU127" s="216"/>
      <c r="BV127" s="216"/>
      <c r="BW127" s="216"/>
      <c r="BX127" s="216"/>
      <c r="BY127" s="216"/>
      <c r="BZ127" s="216"/>
      <c r="CA127" s="216"/>
      <c r="CB127" s="216"/>
      <c r="CC127" s="216"/>
      <c r="CD127" s="216"/>
      <c r="CE127" s="253"/>
      <c r="CF127" s="253"/>
      <c r="CG127" s="253"/>
      <c r="CH127" s="253"/>
      <c r="CI127" s="216"/>
      <c r="CJ127" s="216"/>
      <c r="CK127" s="216"/>
      <c r="CL127" s="216"/>
      <c r="CM127" s="216"/>
      <c r="CN127" s="216"/>
      <c r="CO127" s="256"/>
    </row>
    <row r="128" ht="18">
      <c r="A128" s="200"/>
      <c r="L128" s="211">
        <v>6</v>
      </c>
      <c r="M128" s="212">
        <v>3</v>
      </c>
      <c r="N128" s="220" t="s">
        <v>144</v>
      </c>
      <c r="O128" s="211">
        <f>IF((Table1612677697[[#This Row],[موقع العمل]]="المصنع"),280,IF((Table1612677697[[#This Row],[موقع العمل]]="الاسكندرية"),320,400))</f>
        <v>400</v>
      </c>
      <c r="P128" s="211">
        <f>SUMIF(Table17697899[Column1],Table1612677697[[#This Row],[موقع العمل]],$AB$2:$AB$20)</f>
        <v>100</v>
      </c>
      <c r="Q128" s="211" t="str">
        <f>تسعير!$BE$24</f>
        <v>الشيخ زايد</v>
      </c>
      <c r="R128" s="214" t="s">
        <v>39</v>
      </c>
      <c r="S128" s="216"/>
      <c r="T128" s="243">
        <v>2</v>
      </c>
      <c r="U128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28" s="240">
        <f t="shared" si="33" ca="1"/>
        <v>3000</v>
      </c>
      <c r="W128" s="241">
        <f t="shared" si="34" ca="1"/>
        <v>0.011503850434605882</v>
      </c>
      <c r="X128" s="253"/>
      <c r="Y128" s="253"/>
      <c r="Z128" s="253"/>
      <c r="AA128" s="253"/>
      <c r="AB128" s="253"/>
      <c r="AC128" s="253"/>
      <c r="AD128" s="253"/>
      <c r="AE128" s="253"/>
      <c r="AF128" s="253"/>
      <c r="AG128" s="253"/>
      <c r="AH128" s="253"/>
      <c r="AI128" s="253"/>
      <c r="AJ128" s="216"/>
      <c r="AK128" s="216"/>
      <c r="AL128" s="216"/>
      <c r="AM128" s="216"/>
      <c r="AN128" s="253"/>
      <c r="AO128" s="253"/>
      <c r="AP128" s="253"/>
      <c r="AQ128" s="253"/>
      <c r="AR128" s="253"/>
      <c r="AS128" s="253"/>
      <c r="AT128" s="257"/>
      <c r="AU128" s="216"/>
      <c r="AV128" s="200"/>
      <c r="BG128" s="211">
        <v>7</v>
      </c>
      <c r="BH128" s="212">
        <v>0</v>
      </c>
      <c r="BI128" s="220" t="s">
        <v>145</v>
      </c>
      <c r="BJ128" s="211">
        <f>IF((Table1612677697108[[#This Row],[موقع العمل]]="المصنع"),280,IF((Table1612677697108[[#This Row],[موقع العمل]]="الاسكندرية"),320,400))</f>
        <v>400</v>
      </c>
      <c r="BK128" s="211">
        <f>SUMIF(Table17697899110[Column1],Table1612677697108[[#This Row],[موقع العمل]],$AB$2:$AB$20)</f>
        <v>100</v>
      </c>
      <c r="BL128" s="211" t="str">
        <f>تسعير!$BE$44</f>
        <v>التجمع</v>
      </c>
      <c r="BM128" s="214" t="s">
        <v>39</v>
      </c>
      <c r="BN128" s="216"/>
      <c r="BO128" s="243">
        <v>0</v>
      </c>
      <c r="BP128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0</v>
      </c>
      <c r="BQ128" s="240">
        <f t="shared" si="31"/>
        <v>0</v>
      </c>
      <c r="BR128" s="241">
        <f t="shared" si="32" ca="1"/>
        <v>0</v>
      </c>
      <c r="BS128" s="216"/>
      <c r="BT128" s="216"/>
      <c r="BU128" s="216"/>
      <c r="BV128" s="216"/>
      <c r="BW128" s="216"/>
      <c r="BX128" s="216"/>
      <c r="BY128" s="216"/>
      <c r="BZ128" s="216"/>
      <c r="CA128" s="216"/>
      <c r="CB128" s="216"/>
      <c r="CC128" s="216"/>
      <c r="CD128" s="216"/>
      <c r="CE128" s="216"/>
      <c r="CF128" s="216"/>
      <c r="CG128" s="216"/>
      <c r="CH128" s="216"/>
      <c r="CI128" s="216"/>
      <c r="CJ128" s="216"/>
      <c r="CK128" s="216"/>
      <c r="CL128" s="216"/>
      <c r="CM128" s="216"/>
      <c r="CN128" s="216"/>
      <c r="CO128" s="256"/>
    </row>
    <row r="129" ht="18">
      <c r="A129" s="200"/>
      <c r="L129" s="211">
        <v>7</v>
      </c>
      <c r="M129" s="212">
        <v>0</v>
      </c>
      <c r="N129" s="220" t="s">
        <v>145</v>
      </c>
      <c r="O129" s="211">
        <f>IF((Table1612677697[[#This Row],[موقع العمل]]="المصنع"),280,IF((Table1612677697[[#This Row],[موقع العمل]]="الاسكندرية"),320,400))</f>
        <v>400</v>
      </c>
      <c r="P129" s="211">
        <f>SUMIF(Table17697899[Column1],Table1612677697[[#This Row],[موقع العمل]],$AB$2:$AB$20)</f>
        <v>100</v>
      </c>
      <c r="Q129" s="211" t="str">
        <f>تسعير!$BE$24</f>
        <v>الشيخ زايد</v>
      </c>
      <c r="R129" s="214" t="s">
        <v>39</v>
      </c>
      <c r="S129" s="216"/>
      <c r="T129" s="243">
        <v>0</v>
      </c>
      <c r="U129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0</v>
      </c>
      <c r="V129" s="240">
        <f t="shared" si="33"/>
        <v>0</v>
      </c>
      <c r="W129" s="241">
        <f t="shared" si="34" ca="1"/>
        <v>0</v>
      </c>
      <c r="X129" s="253"/>
      <c r="Y129" s="253"/>
      <c r="Z129" s="253"/>
      <c r="AA129" s="253"/>
      <c r="AB129" s="253"/>
      <c r="AC129" s="253"/>
      <c r="AD129" s="253"/>
      <c r="AE129" s="253"/>
      <c r="AF129" s="253"/>
      <c r="AG129" s="253"/>
      <c r="AH129" s="253"/>
      <c r="AI129" s="253"/>
      <c r="AJ129" s="216"/>
      <c r="AK129" s="216"/>
      <c r="AL129" s="216"/>
      <c r="AM129" s="216"/>
      <c r="AN129" s="216"/>
      <c r="AO129" s="253"/>
      <c r="AP129" s="253"/>
      <c r="AQ129" s="216"/>
      <c r="AR129" s="216"/>
      <c r="AS129" s="216"/>
      <c r="AT129" s="256"/>
      <c r="AU129" s="216"/>
      <c r="AV129" s="308"/>
      <c r="AW129" s="309"/>
      <c r="AX129" s="309"/>
      <c r="AY129" s="309"/>
      <c r="AZ129" s="309"/>
      <c r="BA129" s="309"/>
      <c r="BG129" s="211">
        <v>8</v>
      </c>
      <c r="BH129" s="212">
        <v>4</v>
      </c>
      <c r="BI129" s="220" t="s">
        <v>146</v>
      </c>
      <c r="BJ129" s="211">
        <f>IF((Table1612677697108[[#This Row],[موقع العمل]]="المصنع"),280,IF((Table1612677697108[[#This Row],[موقع العمل]]="الاسكندرية"),320,400))</f>
        <v>400</v>
      </c>
      <c r="BK129" s="211">
        <f>SUMIF(Table17697899110[Column1],Table1612677697108[[#This Row],[موقع العمل]],$AB$2:$AB$20)</f>
        <v>100</v>
      </c>
      <c r="BL129" s="211" t="str">
        <f>تسعير!$BE$44</f>
        <v>التجمع</v>
      </c>
      <c r="BM129" s="214" t="s">
        <v>39</v>
      </c>
      <c r="BN129" s="216"/>
      <c r="BO129" s="243">
        <v>2</v>
      </c>
      <c r="BP129" s="243">
        <f>IF(Table1612677697108[[#This Row],[عدد الايام]]=0,0,IF((Table1612677697108[[#This Row],[شيفت العمل]]="صباحي"),((Table1612677697108[[#This Row],[بدل الوجبة]]+Table1612677697108[[#This Row],[اليومية / الاجرة]])*Table1612677697108[[#This Row],[عدد الايام]]),IF((Table1612677697108[[#This Row],[شيفت العمل]]="ليلي"),(((Table1612677697108[[#This Row],[بدل الوجبة]]+Table1612677697108[[#This Row],[اليومية / الاجرة]])*Table1612677697108[[#This Row],[عدد الايام]])+Table1612677697108[[#This Row],[اليومية / الاجرة]]),"ERROR")))</f>
        <v>1000</v>
      </c>
      <c r="BQ129" s="240">
        <f t="shared" si="31" ca="1"/>
        <v>4000</v>
      </c>
      <c r="BR129" s="241">
        <f t="shared" si="32" ca="1"/>
        <v>0.015338467246141177</v>
      </c>
      <c r="BS129" s="253"/>
      <c r="BT129" s="253"/>
      <c r="BU129" s="253"/>
      <c r="BV129" s="253"/>
      <c r="BW129" s="253"/>
      <c r="BX129" s="253"/>
      <c r="BY129" s="253"/>
      <c r="BZ129" s="253"/>
      <c r="CA129" s="253"/>
      <c r="CB129" s="253"/>
      <c r="CC129" s="253"/>
      <c r="CD129" s="253"/>
      <c r="CE129" s="216"/>
      <c r="CF129" s="216"/>
      <c r="CG129" s="216"/>
      <c r="CH129" s="216"/>
      <c r="CI129" s="253"/>
      <c r="CJ129" s="216"/>
      <c r="CK129" s="216"/>
      <c r="CL129" s="253"/>
      <c r="CM129" s="253"/>
      <c r="CN129" s="253"/>
      <c r="CO129" s="257"/>
    </row>
    <row r="130" ht="18">
      <c r="A130" s="200"/>
      <c r="L130" s="211">
        <v>8</v>
      </c>
      <c r="M130" s="212">
        <v>4</v>
      </c>
      <c r="N130" s="220" t="s">
        <v>146</v>
      </c>
      <c r="O130" s="211">
        <f>IF((Table1612677697[[#This Row],[موقع العمل]]="المصنع"),280,IF((Table1612677697[[#This Row],[موقع العمل]]="الاسكندرية"),320,400))</f>
        <v>400</v>
      </c>
      <c r="P130" s="211">
        <f>SUMIF(Table17697899[Column1],Table1612677697[[#This Row],[موقع العمل]],$AB$2:$AB$20)</f>
        <v>100</v>
      </c>
      <c r="Q130" s="211" t="str">
        <f>تسعير!$BE$24</f>
        <v>الشيخ زايد</v>
      </c>
      <c r="R130" s="214" t="s">
        <v>39</v>
      </c>
      <c r="S130" s="216"/>
      <c r="T130" s="243">
        <v>2</v>
      </c>
      <c r="U130" s="243">
        <f>IF(Table1612677697[[#This Row],[عدد الايام]]=0,0,IF((Table1612677697[[#This Row],[شيفت العمل]]="صباحي"),((Table1612677697[[#This Row],[بدل الوجبة]]+Table1612677697[[#This Row],[اليومية / الاجرة]])*Table1612677697[[#This Row],[عدد الايام]]),IF((Table1612677697[[#This Row],[شيفت العمل]]="ليلي"),(((Table1612677697[[#This Row],[بدل الوجبة]]+Table1612677697[[#This Row],[اليومية / الاجرة]])*Table1612677697[[#This Row],[عدد الايام]])+Table1612677697[[#This Row],[اليومية / الاجرة]]),"ERROR")))</f>
        <v>1000</v>
      </c>
      <c r="V130" s="240">
        <f t="shared" si="33" ca="1"/>
        <v>4000</v>
      </c>
      <c r="W130" s="241">
        <f t="shared" si="34" ca="1"/>
        <v>0.015338467246141177</v>
      </c>
      <c r="X130" s="216"/>
      <c r="Y130" s="216"/>
      <c r="Z130" s="216"/>
      <c r="AA130" s="216"/>
      <c r="AB130" s="216"/>
      <c r="AC130" s="216"/>
      <c r="AD130" s="216"/>
      <c r="AE130" s="216"/>
      <c r="AF130" s="216"/>
      <c r="AG130" s="216"/>
      <c r="AH130" s="216"/>
      <c r="AI130" s="216"/>
      <c r="AJ130" s="216"/>
      <c r="AK130" s="216"/>
      <c r="AL130" s="216"/>
      <c r="AM130" s="216"/>
      <c r="AN130" s="216"/>
      <c r="AO130" s="216"/>
      <c r="AP130" s="216"/>
      <c r="AQ130" s="216"/>
      <c r="AR130" s="216"/>
      <c r="AS130" s="216"/>
      <c r="AT130" s="256"/>
      <c r="AU130" s="216"/>
      <c r="BG130" s="211">
        <v>9</v>
      </c>
      <c r="BH130" s="212">
        <f>(BH126+BH127+BH128+BH129)*2</f>
        <v>22</v>
      </c>
      <c r="BI130" s="220" t="s">
        <v>147</v>
      </c>
      <c r="BJ130" s="211"/>
      <c r="BK130" s="211"/>
      <c r="BL130" s="211" t="str">
        <f>تسعير!$BE$44</f>
        <v>التجمع</v>
      </c>
      <c r="BM130" s="214"/>
      <c r="BN130" s="247">
        <f>SUMIF(Table17697899110[Column1],Table1612677697108[[#This Row],[موقع العمل]],$Z$2:$Z$20)</f>
        <v>400</v>
      </c>
      <c r="BO130" s="247"/>
      <c r="BP130" s="243">
        <f>Table1612677697108[[#This Row],[Column12]]</f>
        <v>400</v>
      </c>
      <c r="BQ130" s="240">
        <f t="shared" si="31" ca="1"/>
        <v>8800</v>
      </c>
      <c r="BR130" s="241">
        <f t="shared" si="32" ca="1"/>
        <v>0.033744627941510591</v>
      </c>
      <c r="BS130" s="253"/>
      <c r="BT130" s="253"/>
      <c r="BU130" s="253"/>
      <c r="BV130" s="253"/>
      <c r="BW130" s="253"/>
      <c r="BX130" s="253"/>
      <c r="BY130" s="253"/>
      <c r="BZ130" s="253"/>
      <c r="CA130" s="253"/>
      <c r="CB130" s="253"/>
      <c r="CC130" s="253"/>
      <c r="CD130" s="253"/>
      <c r="CE130" s="216"/>
      <c r="CF130" s="216"/>
      <c r="CG130" s="216"/>
      <c r="CH130" s="216"/>
      <c r="CI130" s="253"/>
      <c r="CJ130" s="253"/>
      <c r="CK130" s="253"/>
      <c r="CL130" s="253"/>
      <c r="CM130" s="253"/>
      <c r="CN130" s="253"/>
      <c r="CO130" s="257"/>
    </row>
    <row r="131" ht="18">
      <c r="A131" s="200"/>
      <c r="L131" s="211">
        <v>9</v>
      </c>
      <c r="M131" s="212">
        <f>(M127+M128+M129+M130)*2</f>
        <v>22</v>
      </c>
      <c r="N131" s="220" t="s">
        <v>147</v>
      </c>
      <c r="O131" s="211"/>
      <c r="P131" s="211"/>
      <c r="Q131" s="211" t="str">
        <f>تسعير!$BE$24</f>
        <v>الشيخ زايد</v>
      </c>
      <c r="R131" s="214"/>
      <c r="S131" s="247">
        <f>SUMIF(Table17697899[Column1],Table1612677697[[#This Row],[موقع العمل]],$Z$2:$Z$20)</f>
        <v>400</v>
      </c>
      <c r="T131" s="247"/>
      <c r="U131" s="243">
        <f>Table1612677697[[#This Row],[Column12]]</f>
        <v>400</v>
      </c>
      <c r="V131" s="240">
        <f t="shared" si="33" ca="1"/>
        <v>8800</v>
      </c>
      <c r="W131" s="241">
        <f t="shared" si="34" ca="1"/>
        <v>0.033744627941510591</v>
      </c>
      <c r="X131" s="216"/>
      <c r="Y131" s="216"/>
      <c r="Z131" s="216"/>
      <c r="AA131" s="216"/>
      <c r="AB131" s="216"/>
      <c r="AC131" s="216"/>
      <c r="AD131" s="216"/>
      <c r="AE131" s="216"/>
      <c r="AF131" s="216"/>
      <c r="AG131" s="216"/>
      <c r="AH131" s="216"/>
      <c r="AI131" s="216"/>
      <c r="AJ131" s="216"/>
      <c r="AK131" s="216"/>
      <c r="AL131" s="216"/>
      <c r="AM131" s="216"/>
      <c r="AN131" s="216"/>
      <c r="AO131" s="216"/>
      <c r="AP131" s="216"/>
      <c r="AQ131" s="216"/>
      <c r="AR131" s="216"/>
      <c r="AS131" s="216"/>
      <c r="AT131" s="256"/>
      <c r="AU131" s="216"/>
      <c r="BG131" s="211">
        <v>10</v>
      </c>
      <c r="BH131" s="212">
        <f>((BO126+BO127+BO128+BO129)*2)-3</f>
        <v>9</v>
      </c>
      <c r="BI131" s="220" t="s">
        <v>148</v>
      </c>
      <c r="BJ131" s="211"/>
      <c r="BK131" s="211"/>
      <c r="BL131" s="211" t="str">
        <f>تسعير!$BE$44</f>
        <v>التجمع</v>
      </c>
      <c r="BM131" s="214"/>
      <c r="BN131" s="247">
        <f>SUMIF(Table17697899110[Column1],Table1612677697108[[#This Row],[موقع العمل]],$AA$2:$AA$20)</f>
        <v>400</v>
      </c>
      <c r="BO131" s="247"/>
      <c r="BP131" s="243">
        <f>Table1612677697108[[#This Row],[Column12]]</f>
        <v>400</v>
      </c>
      <c r="BQ131" s="240">
        <f t="shared" si="31" ca="1"/>
        <v>3600</v>
      </c>
      <c r="BR131" s="241">
        <f t="shared" si="32" ca="1"/>
        <v>0.01380462052152706</v>
      </c>
      <c r="BS131" s="216"/>
      <c r="BT131" s="216"/>
      <c r="BU131" s="216"/>
      <c r="BV131" s="216"/>
      <c r="BW131" s="216"/>
      <c r="BX131" s="216"/>
      <c r="BY131" s="216"/>
      <c r="BZ131" s="216"/>
      <c r="CA131" s="216"/>
      <c r="CB131" s="216"/>
      <c r="CC131" s="216"/>
      <c r="CD131" s="216"/>
      <c r="CE131" s="216"/>
      <c r="CF131" s="216"/>
      <c r="CG131" s="216"/>
      <c r="CH131" s="216"/>
      <c r="CI131" s="216"/>
      <c r="CJ131" s="253"/>
      <c r="CK131" s="253"/>
      <c r="CL131" s="216"/>
      <c r="CM131" s="216"/>
      <c r="CN131" s="216"/>
      <c r="CO131" s="256"/>
    </row>
    <row r="132" ht="18">
      <c r="A132" s="200"/>
      <c r="L132" s="211">
        <v>10</v>
      </c>
      <c r="M132" s="212">
        <f>((T127+T128+T129+T130)*2)-3</f>
        <v>9</v>
      </c>
      <c r="N132" s="220" t="s">
        <v>148</v>
      </c>
      <c r="O132" s="211"/>
      <c r="P132" s="211"/>
      <c r="Q132" s="211" t="str">
        <f>تسعير!$BE$24</f>
        <v>الشيخ زايد</v>
      </c>
      <c r="R132" s="214"/>
      <c r="S132" s="247">
        <f>SUMIF(Table17697899[Column1],Table1612677697[[#This Row],[موقع العمل]],$AA$2:$AA$20)</f>
        <v>400</v>
      </c>
      <c r="T132" s="247"/>
      <c r="U132" s="243">
        <f>Table1612677697[[#This Row],[Column12]]</f>
        <v>400</v>
      </c>
      <c r="V132" s="240">
        <f t="shared" si="33" ca="1"/>
        <v>3600</v>
      </c>
      <c r="W132" s="241">
        <f t="shared" si="34" ca="1"/>
        <v>0.01380462052152706</v>
      </c>
      <c r="X132" s="216"/>
      <c r="Y132" s="216"/>
      <c r="Z132" s="216"/>
      <c r="AA132" s="216"/>
      <c r="AB132" s="216"/>
      <c r="AC132" s="216"/>
      <c r="AD132" s="216"/>
      <c r="AE132" s="216"/>
      <c r="AF132" s="216"/>
      <c r="AG132" s="216"/>
      <c r="AH132" s="216"/>
      <c r="AI132" s="216"/>
      <c r="AJ132" s="216"/>
      <c r="AK132" s="216"/>
      <c r="AL132" s="216"/>
      <c r="AM132" s="216"/>
      <c r="AN132" s="216"/>
      <c r="AO132" s="216"/>
      <c r="AP132" s="216"/>
      <c r="AQ132" s="216"/>
      <c r="AR132" s="216"/>
      <c r="AS132" s="216"/>
      <c r="AT132" s="256"/>
      <c r="AU132" s="216"/>
      <c r="BG132" s="211">
        <v>11</v>
      </c>
      <c r="BH132" s="212">
        <v>0</v>
      </c>
      <c r="BI132" s="220" t="s">
        <v>149</v>
      </c>
      <c r="BJ132" s="211"/>
      <c r="BK132" s="211"/>
      <c r="BL132" s="211" t="str">
        <f>تسعير!$BE$44</f>
        <v>التجمع</v>
      </c>
      <c r="BM132" s="214"/>
      <c r="BN132" s="247">
        <f>SUMIF(Table17697899110[Column1],Table1612677697108[[#This Row],[موقع العمل]],$AC$2:$AC$20)</f>
        <v>3500</v>
      </c>
      <c r="BO132" s="247"/>
      <c r="BP132" s="243">
        <f>Table1612677697108[[#This Row],[Column12]]</f>
        <v>3500</v>
      </c>
      <c r="BQ132" s="240">
        <f t="shared" si="31" ca="1"/>
        <v>0</v>
      </c>
      <c r="BR132" s="241">
        <f t="shared" si="32" ca="1"/>
        <v>0</v>
      </c>
      <c r="BS132" s="216"/>
      <c r="BT132" s="216"/>
      <c r="BU132" s="216"/>
      <c r="BV132" s="216"/>
      <c r="BW132" s="216"/>
      <c r="BX132" s="216"/>
      <c r="BY132" s="216"/>
      <c r="BZ132" s="216"/>
      <c r="CA132" s="216"/>
      <c r="CB132" s="216"/>
      <c r="CC132" s="216"/>
      <c r="CD132" s="216"/>
      <c r="CE132" s="216"/>
      <c r="CF132" s="216"/>
      <c r="CG132" s="216"/>
      <c r="CH132" s="216"/>
      <c r="CI132" s="216"/>
      <c r="CJ132" s="216"/>
      <c r="CK132" s="216"/>
      <c r="CL132" s="216"/>
      <c r="CM132" s="216"/>
      <c r="CN132" s="216"/>
      <c r="CO132" s="256"/>
    </row>
    <row r="133" ht="18">
      <c r="A133" s="200"/>
      <c r="L133" s="211">
        <v>11</v>
      </c>
      <c r="M133" s="212">
        <v>0</v>
      </c>
      <c r="N133" s="220" t="s">
        <v>149</v>
      </c>
      <c r="O133" s="211"/>
      <c r="P133" s="211"/>
      <c r="Q133" s="211" t="str">
        <f>تسعير!$BE$24</f>
        <v>الشيخ زايد</v>
      </c>
      <c r="R133" s="214"/>
      <c r="S133" s="247">
        <f>SUMIF(Table17697899[Column1],Table1612677697[[#This Row],[موقع العمل]],$AC$2:$AC$20)</f>
        <v>3500</v>
      </c>
      <c r="T133" s="247"/>
      <c r="U133" s="243">
        <f>Table1612677697[[#This Row],[Column12]]</f>
        <v>3500</v>
      </c>
      <c r="V133" s="240">
        <f t="shared" si="33" ca="1"/>
        <v>0</v>
      </c>
      <c r="W133" s="241">
        <f t="shared" si="34" ca="1"/>
        <v>0</v>
      </c>
      <c r="X133" s="216"/>
      <c r="Y133" s="216"/>
      <c r="Z133" s="216"/>
      <c r="AA133" s="216"/>
      <c r="AB133" s="216"/>
      <c r="AC133" s="216"/>
      <c r="AD133" s="216"/>
      <c r="AE133" s="216"/>
      <c r="AF133" s="216"/>
      <c r="AG133" s="216"/>
      <c r="AH133" s="216"/>
      <c r="AI133" s="216"/>
      <c r="AJ133" s="216"/>
      <c r="AK133" s="216"/>
      <c r="AL133" s="216"/>
      <c r="AM133" s="216"/>
      <c r="AN133" s="216"/>
      <c r="AO133" s="216"/>
      <c r="AP133" s="216"/>
      <c r="AQ133" s="216"/>
      <c r="AR133" s="216"/>
      <c r="AS133" s="216"/>
      <c r="AT133" s="256"/>
      <c r="AU133" s="216"/>
      <c r="BG133" s="211">
        <v>12</v>
      </c>
      <c r="BH133" s="212">
        <f>IF((تسعير!$AU$14="بالتات"),1,2)</f>
        <v>2</v>
      </c>
      <c r="BI133" s="220" t="s">
        <v>150</v>
      </c>
      <c r="BJ133" s="211"/>
      <c r="BK133" s="211"/>
      <c r="BL133" s="211" t="str">
        <f>تسعير!$BE$44</f>
        <v>التجمع</v>
      </c>
      <c r="BM133" s="214"/>
      <c r="BN133" s="247">
        <f>SUMIF(Table17697899110[Column1],Table1612677697108[[#This Row],[موقع العمل]],$AD$2:$AD$20)</f>
        <v>6000</v>
      </c>
      <c r="BO133" s="247"/>
      <c r="BP133" s="243">
        <f>Table1612677697108[[#This Row],[Column12]]</f>
        <v>6000</v>
      </c>
      <c r="BQ133" s="240">
        <f t="shared" si="31" ca="1"/>
        <v>12000</v>
      </c>
      <c r="BR133" s="241">
        <f t="shared" si="32" ca="1"/>
        <v>0.046015401738423528</v>
      </c>
      <c r="BS133" s="216"/>
      <c r="BT133" s="216"/>
      <c r="BU133" s="216"/>
      <c r="BV133" s="216"/>
      <c r="BW133" s="216"/>
      <c r="BX133" s="216"/>
      <c r="BY133" s="216"/>
      <c r="BZ133" s="216"/>
      <c r="CA133" s="216"/>
      <c r="CB133" s="216"/>
      <c r="CC133" s="216"/>
      <c r="CD133" s="216"/>
      <c r="CE133" s="216"/>
      <c r="CF133" s="216"/>
      <c r="CG133" s="216"/>
      <c r="CH133" s="216"/>
      <c r="CI133" s="216"/>
      <c r="CJ133" s="216"/>
      <c r="CK133" s="216"/>
      <c r="CL133" s="216"/>
      <c r="CM133" s="216"/>
      <c r="CN133" s="216"/>
      <c r="CO133" s="256"/>
    </row>
    <row r="134" ht="18">
      <c r="A134" s="200"/>
      <c r="L134" s="211">
        <v>12</v>
      </c>
      <c r="M134" s="212">
        <f>IF((تسعير!$AU$14="بالتات"),1,2)</f>
        <v>2</v>
      </c>
      <c r="N134" s="220" t="s">
        <v>150</v>
      </c>
      <c r="O134" s="211"/>
      <c r="P134" s="211"/>
      <c r="Q134" s="211" t="str">
        <f>تسعير!$BE$24</f>
        <v>الشيخ زايد</v>
      </c>
      <c r="R134" s="214"/>
      <c r="S134" s="247">
        <f>SUMIF(Table17697899[Column1],Table1612677697[[#This Row],[موقع العمل]],$AD$2:$AD$20)</f>
        <v>6000</v>
      </c>
      <c r="T134" s="247"/>
      <c r="U134" s="243">
        <f>Table1612677697[[#This Row],[Column12]]</f>
        <v>6000</v>
      </c>
      <c r="V134" s="240">
        <f t="shared" si="33" ca="1"/>
        <v>12000</v>
      </c>
      <c r="W134" s="241">
        <f t="shared" si="34" ca="1"/>
        <v>0.046015401738423528</v>
      </c>
      <c r="X134" s="216"/>
      <c r="Y134" s="216"/>
      <c r="Z134" s="216"/>
      <c r="AA134" s="216"/>
      <c r="AB134" s="216"/>
      <c r="AC134" s="216"/>
      <c r="AD134" s="216"/>
      <c r="AE134" s="216"/>
      <c r="AF134" s="216"/>
      <c r="AG134" s="216"/>
      <c r="AH134" s="216"/>
      <c r="AI134" s="216"/>
      <c r="AJ134" s="216"/>
      <c r="AK134" s="216"/>
      <c r="AL134" s="216"/>
      <c r="AM134" s="216"/>
      <c r="AN134" s="216"/>
      <c r="AO134" s="216"/>
      <c r="AP134" s="216"/>
      <c r="AQ134" s="216"/>
      <c r="AR134" s="216"/>
      <c r="AS134" s="216"/>
      <c r="AT134" s="256"/>
      <c r="AU134" s="216"/>
      <c r="BG134" s="211">
        <v>13</v>
      </c>
      <c r="BH134" s="212">
        <f>IF((تسعير!$AU$14="بالتات"),0,BH131-2)</f>
        <v>7</v>
      </c>
      <c r="BI134" s="220" t="s">
        <v>15</v>
      </c>
      <c r="BJ134" s="211"/>
      <c r="BK134" s="211"/>
      <c r="BL134" s="211" t="str">
        <f>تسعير!$BE$44</f>
        <v>التجمع</v>
      </c>
      <c r="BM134" s="214"/>
      <c r="BN134" s="247">
        <f>SUMIF(Table17697899110[Column1],Table1612677697108[[#This Row],[موقع العمل]],$AE$2:$AE$8)</f>
        <v>150</v>
      </c>
      <c r="BO134" s="247"/>
      <c r="BP134" s="243">
        <f>Table1612677697108[[#This Row],[Column12]]</f>
        <v>150</v>
      </c>
      <c r="BQ134" s="240">
        <f t="shared" si="31" ca="1"/>
        <v>1050</v>
      </c>
      <c r="BR134" s="241">
        <f t="shared" si="32" ca="1"/>
        <v>0.0040263476521120592</v>
      </c>
      <c r="BS134" s="216"/>
      <c r="BT134" s="216"/>
      <c r="BU134" s="216"/>
      <c r="BV134" s="216"/>
      <c r="BW134" s="216"/>
      <c r="BX134" s="216"/>
      <c r="BY134" s="216"/>
      <c r="BZ134" s="216"/>
      <c r="CA134" s="216"/>
      <c r="CB134" s="216"/>
      <c r="CC134" s="216"/>
      <c r="CD134" s="216"/>
      <c r="CE134" s="216"/>
      <c r="CF134" s="216"/>
      <c r="CG134" s="216"/>
      <c r="CH134" s="216"/>
      <c r="CI134" s="216"/>
      <c r="CJ134" s="216"/>
      <c r="CK134" s="216"/>
      <c r="CL134" s="216"/>
      <c r="CM134" s="216"/>
      <c r="CN134" s="216"/>
      <c r="CO134" s="256"/>
    </row>
    <row r="135" ht="18">
      <c r="A135" s="200"/>
      <c r="L135" s="211">
        <v>13</v>
      </c>
      <c r="M135" s="212">
        <f>IF((تسعير!$AU$14="بالتات"),0,M132-2)</f>
        <v>7</v>
      </c>
      <c r="N135" s="220" t="s">
        <v>15</v>
      </c>
      <c r="O135" s="211"/>
      <c r="P135" s="211"/>
      <c r="Q135" s="211" t="str">
        <f>تسعير!$BE$24</f>
        <v>الشيخ زايد</v>
      </c>
      <c r="R135" s="214"/>
      <c r="S135" s="247">
        <f>SUMIF(Table17697899[Column1],Table1612677697[[#This Row],[موقع العمل]],$AE$2:$AE$8)</f>
        <v>150</v>
      </c>
      <c r="T135" s="247"/>
      <c r="U135" s="243">
        <f>Table1612677697[[#This Row],[Column12]]</f>
        <v>150</v>
      </c>
      <c r="V135" s="240">
        <f t="shared" si="33" ca="1"/>
        <v>1050</v>
      </c>
      <c r="W135" s="241">
        <f t="shared" si="34" ca="1"/>
        <v>0.0040263476521120592</v>
      </c>
      <c r="X135" s="216"/>
      <c r="Y135" s="216"/>
      <c r="Z135" s="216"/>
      <c r="AA135" s="216"/>
      <c r="AB135" s="216"/>
      <c r="AC135" s="216"/>
      <c r="AD135" s="216"/>
      <c r="AE135" s="216"/>
      <c r="AF135" s="216"/>
      <c r="AG135" s="216"/>
      <c r="AH135" s="216"/>
      <c r="AI135" s="216"/>
      <c r="AJ135" s="216"/>
      <c r="AK135" s="216"/>
      <c r="AL135" s="216"/>
      <c r="AM135" s="216"/>
      <c r="AN135" s="216"/>
      <c r="AO135" s="216"/>
      <c r="AP135" s="216"/>
      <c r="AQ135" s="216"/>
      <c r="AR135" s="216"/>
      <c r="AS135" s="216"/>
      <c r="AT135" s="256"/>
      <c r="AU135" s="216"/>
      <c r="BG135" s="572" t="s">
        <v>54</v>
      </c>
      <c r="BH135" s="571"/>
      <c r="BI135" s="550" t="s">
        <v>54</v>
      </c>
      <c r="BJ135" s="572"/>
      <c r="BK135" s="572"/>
      <c r="BL135" s="573"/>
      <c r="BM135" s="573"/>
      <c r="BN135" s="574">
        <f>SUBTOTAL(109,Table1612677697108[Column12])</f>
        <v>10450</v>
      </c>
      <c r="BO135" s="572"/>
      <c r="BP135" s="242"/>
      <c r="BQ135" s="575">
        <f>SUBTOTAL(109,Table1612677697108[اجمالي])</f>
        <v>39250</v>
      </c>
      <c r="BR135" s="576">
        <f>Table1612677697108[[#Totals],[اجمالي]]/$R$68</f>
        <v>0.1505087098527603</v>
      </c>
      <c r="BS135" s="216"/>
      <c r="BT135" s="216"/>
      <c r="BU135" s="216"/>
      <c r="BV135" s="216"/>
      <c r="BW135" s="216"/>
      <c r="BX135" s="216"/>
      <c r="BY135" s="216"/>
      <c r="BZ135" s="216"/>
      <c r="CA135" s="216"/>
      <c r="CB135" s="216"/>
      <c r="CC135" s="216"/>
      <c r="CD135" s="216"/>
      <c r="CE135" s="216"/>
      <c r="CF135" s="216"/>
      <c r="CG135" s="216"/>
      <c r="CH135" s="216"/>
      <c r="CI135" s="216"/>
      <c r="CJ135" s="216"/>
      <c r="CK135" s="216"/>
      <c r="CL135" s="216"/>
      <c r="CM135" s="216"/>
      <c r="CN135" s="216"/>
      <c r="CO135" s="256"/>
    </row>
    <row r="136" ht="18">
      <c r="A136" s="200"/>
      <c r="L136" s="572" t="s">
        <v>54</v>
      </c>
      <c r="M136" s="571"/>
      <c r="N136" s="550" t="s">
        <v>54</v>
      </c>
      <c r="O136" s="572"/>
      <c r="P136" s="572"/>
      <c r="Q136" s="573"/>
      <c r="R136" s="573"/>
      <c r="S136" s="574">
        <f>SUBTOTAL(109,Table1612677697[Column12])</f>
        <v>10450</v>
      </c>
      <c r="T136" s="572"/>
      <c r="U136" s="242"/>
      <c r="V136" s="575">
        <f>SUBTOTAL(109,Table1612677697[اجمالي])</f>
        <v>39250</v>
      </c>
      <c r="W136" s="576">
        <f>Table1612677697[[#Totals],[اجمالي]]/$R$68</f>
        <v>0.1505087098527603</v>
      </c>
      <c r="X136" s="216"/>
      <c r="Y136" s="216"/>
      <c r="Z136" s="216"/>
      <c r="AA136" s="216"/>
      <c r="AB136" s="216"/>
      <c r="AC136" s="216"/>
      <c r="AD136" s="216"/>
      <c r="AE136" s="216"/>
      <c r="AF136" s="216"/>
      <c r="AG136" s="216"/>
      <c r="AH136" s="216"/>
      <c r="AI136" s="216"/>
      <c r="AJ136" s="216"/>
      <c r="AK136" s="216"/>
      <c r="AL136" s="216"/>
      <c r="AM136" s="216"/>
      <c r="AN136" s="216"/>
      <c r="AO136" s="216"/>
      <c r="AP136" s="216"/>
      <c r="AQ136" s="216"/>
      <c r="AR136" s="216"/>
      <c r="AS136" s="216"/>
      <c r="AT136" s="256"/>
      <c r="AU136" s="216"/>
      <c r="BG136" s="216"/>
      <c r="BH136" s="216"/>
      <c r="BI136" s="217"/>
      <c r="BJ136" s="890"/>
      <c r="BK136" s="890"/>
      <c r="BL136" s="890"/>
      <c r="BM136" s="890"/>
      <c r="BN136" s="890"/>
      <c r="BO136" s="890"/>
      <c r="BP136" s="216"/>
      <c r="BQ136" s="216"/>
      <c r="BR136" s="216"/>
      <c r="BS136" s="216"/>
      <c r="BT136" s="216"/>
      <c r="BU136" s="216"/>
      <c r="BV136" s="216"/>
      <c r="BW136" s="216"/>
      <c r="BX136" s="216"/>
      <c r="BY136" s="216"/>
      <c r="BZ136" s="216"/>
      <c r="CA136" s="216"/>
      <c r="CB136" s="216"/>
      <c r="CC136" s="216"/>
      <c r="CD136" s="216"/>
      <c r="CE136" s="216"/>
      <c r="CF136" s="216"/>
      <c r="CG136" s="216"/>
      <c r="CH136" s="216"/>
      <c r="CI136" s="216"/>
      <c r="CJ136" s="216"/>
      <c r="CK136" s="216"/>
      <c r="CL136" s="216"/>
      <c r="CM136" s="216"/>
      <c r="CN136" s="216"/>
      <c r="CO136" s="256"/>
    </row>
    <row r="137" ht="18">
      <c r="A137" s="200"/>
      <c r="L137" s="216"/>
      <c r="M137" s="216"/>
      <c r="N137" s="217"/>
      <c r="O137" s="890"/>
      <c r="P137" s="890"/>
      <c r="Q137" s="890"/>
      <c r="R137" s="890"/>
      <c r="S137" s="890"/>
      <c r="T137" s="890"/>
      <c r="U137" s="216"/>
      <c r="V137" s="216"/>
      <c r="W137" s="216"/>
      <c r="X137" s="216"/>
      <c r="Y137" s="216"/>
      <c r="Z137" s="216"/>
      <c r="AA137" s="216"/>
      <c r="AB137" s="216"/>
      <c r="AC137" s="216"/>
      <c r="AD137" s="216"/>
      <c r="AE137" s="216"/>
      <c r="AF137" s="216"/>
      <c r="AG137" s="216"/>
      <c r="AH137" s="216"/>
      <c r="AI137" s="216"/>
      <c r="AJ137" s="216"/>
      <c r="AK137" s="216"/>
      <c r="AL137" s="216"/>
      <c r="AM137" s="216"/>
      <c r="AN137" s="216"/>
      <c r="AO137" s="216"/>
      <c r="AP137" s="216"/>
      <c r="AQ137" s="216"/>
      <c r="AR137" s="216"/>
      <c r="AS137" s="216"/>
      <c r="AT137" s="256"/>
      <c r="AU137" s="216"/>
      <c r="BG137" s="211"/>
      <c r="BH137" s="211"/>
      <c r="BI137" s="218" t="s">
        <v>9</v>
      </c>
      <c r="BJ137" s="211" t="s">
        <v>151</v>
      </c>
      <c r="BK137" s="211" t="s">
        <v>152</v>
      </c>
      <c r="BL137" s="211" t="s">
        <v>96</v>
      </c>
      <c r="BM137" s="211" t="s">
        <v>30</v>
      </c>
      <c r="BN137" s="211"/>
      <c r="BO137" s="211"/>
      <c r="BP137" s="211"/>
      <c r="BQ137" s="245"/>
      <c r="BR137" s="211"/>
      <c r="BS137" s="216"/>
      <c r="BT137" s="216"/>
      <c r="BU137" s="216"/>
      <c r="BV137" s="216"/>
      <c r="BW137" s="216"/>
      <c r="BX137" s="216"/>
      <c r="BY137" s="216"/>
      <c r="BZ137" s="216"/>
      <c r="CA137" s="216"/>
      <c r="CB137" s="216"/>
      <c r="CC137" s="216"/>
      <c r="CD137" s="216"/>
      <c r="CE137" s="216"/>
      <c r="CF137" s="216"/>
      <c r="CG137" s="216"/>
      <c r="CH137" s="216"/>
      <c r="CI137" s="216"/>
      <c r="CJ137" s="216"/>
      <c r="CK137" s="216"/>
      <c r="CL137" s="216"/>
      <c r="CM137" s="216"/>
      <c r="CN137" s="216"/>
      <c r="CO137" s="256"/>
    </row>
    <row r="138" ht="18">
      <c r="A138" s="200"/>
      <c r="L138" s="211"/>
      <c r="M138" s="211"/>
      <c r="N138" s="218" t="s">
        <v>9</v>
      </c>
      <c r="O138" s="211" t="s">
        <v>151</v>
      </c>
      <c r="P138" s="211" t="s">
        <v>152</v>
      </c>
      <c r="Q138" s="211" t="s">
        <v>96</v>
      </c>
      <c r="R138" s="211" t="s">
        <v>30</v>
      </c>
      <c r="S138" s="211"/>
      <c r="T138" s="211"/>
      <c r="U138" s="211"/>
      <c r="V138" s="245"/>
      <c r="W138" s="211"/>
      <c r="X138" s="216"/>
      <c r="Y138" s="216"/>
      <c r="Z138" s="216"/>
      <c r="AA138" s="216"/>
      <c r="AB138" s="216"/>
      <c r="AC138" s="216"/>
      <c r="AD138" s="216"/>
      <c r="AE138" s="216"/>
      <c r="AF138" s="216"/>
      <c r="AG138" s="216"/>
      <c r="AH138" s="216"/>
      <c r="AI138" s="216"/>
      <c r="AJ138" s="216"/>
      <c r="AK138" s="216"/>
      <c r="AL138" s="216"/>
      <c r="AM138" s="216"/>
      <c r="AN138" s="216"/>
      <c r="AO138" s="216"/>
      <c r="AP138" s="216"/>
      <c r="AQ138" s="216"/>
      <c r="AR138" s="216"/>
      <c r="AS138" s="216"/>
      <c r="AT138" s="256"/>
      <c r="AU138" s="216"/>
      <c r="BG138" s="211"/>
      <c r="BH138" s="219"/>
      <c r="BI138" s="213" t="s">
        <v>153</v>
      </c>
      <c r="BJ138" s="214"/>
      <c r="BK138" s="211"/>
      <c r="BL138" s="280"/>
      <c r="BM138" s="281">
        <f>Table1612677697108[[#Totals],[اجمالي]]+Table1613687798109[[#Totals],[اجمالي]]+Table13597192103[[#Totals],[اجمالي]]+Table16627394105[[#Totals],[اجمالي]]+Table15617293104[[#Totals],[اجمالي]]+Table15880101112[[#Totals],[اجمالي]]</f>
        <v>203296.16999999998</v>
      </c>
      <c r="BN138" s="211"/>
      <c r="BO138" s="211"/>
      <c r="BP138" s="243"/>
      <c r="BQ138" s="282"/>
      <c r="BR138" s="283"/>
      <c r="BS138" s="216"/>
      <c r="BT138" s="216"/>
      <c r="BU138" s="216"/>
      <c r="BV138" s="216"/>
      <c r="BW138" s="216"/>
      <c r="BX138" s="216"/>
      <c r="BY138" s="216"/>
      <c r="BZ138" s="216"/>
      <c r="CA138" s="216"/>
      <c r="CB138" s="216"/>
      <c r="CC138" s="216"/>
      <c r="CD138" s="216"/>
      <c r="CE138" s="216"/>
      <c r="CF138" s="216"/>
      <c r="CG138" s="216"/>
      <c r="CH138" s="216"/>
      <c r="CI138" s="216"/>
      <c r="CJ138" s="216"/>
      <c r="CK138" s="216"/>
      <c r="CL138" s="216"/>
      <c r="CM138" s="216"/>
      <c r="CN138" s="216"/>
      <c r="CO138" s="256"/>
    </row>
    <row r="139" ht="18">
      <c r="A139" s="200"/>
      <c r="L139" s="211"/>
      <c r="M139" s="219"/>
      <c r="N139" s="213" t="s">
        <v>153</v>
      </c>
      <c r="O139" s="214"/>
      <c r="P139" s="211"/>
      <c r="Q139" s="280"/>
      <c r="R139" s="281">
        <f>Table1612677697[[#Totals],[اجمالي]]+Table1613687798[[#Totals],[اجمالي]]+Table13597192[[#Totals],[اجمالي]]+Table16627394[[#Totals],[اجمالي]]+Table15617293[[#Totals],[اجمالي]]+Table15880101[[#Totals],[اجمالي]]</f>
        <v>190014.06999999998</v>
      </c>
      <c r="S139" s="211"/>
      <c r="T139" s="211"/>
      <c r="U139" s="243"/>
      <c r="V139" s="282"/>
      <c r="W139" s="283"/>
      <c r="X139" s="216"/>
      <c r="Y139" s="216"/>
      <c r="Z139" s="216"/>
      <c r="AA139" s="216"/>
      <c r="AB139" s="216"/>
      <c r="AC139" s="216"/>
      <c r="AD139" s="216"/>
      <c r="AE139" s="216"/>
      <c r="AF139" s="216"/>
      <c r="AG139" s="216"/>
      <c r="AH139" s="216"/>
      <c r="AI139" s="216"/>
      <c r="AJ139" s="216"/>
      <c r="AK139" s="216"/>
      <c r="AL139" s="216"/>
      <c r="AM139" s="216"/>
      <c r="AN139" s="216"/>
      <c r="AO139" s="216"/>
      <c r="AP139" s="216"/>
      <c r="AQ139" s="216"/>
      <c r="AR139" s="216"/>
      <c r="AS139" s="216"/>
      <c r="AT139" s="256"/>
      <c r="AU139" s="216"/>
      <c r="BG139" s="211"/>
      <c r="BH139" s="212"/>
      <c r="BI139" s="213" t="s">
        <v>154</v>
      </c>
      <c r="BJ139" s="214"/>
      <c r="BK139" s="211"/>
      <c r="BL139" s="310">
        <f>IF((BL134="المقطم"),0.3,IF((BL134="التجمع"),0.3,IF((BL134="الشيخ زايد"),0.3,IF((BL134="الاسكندرية"),0.5,0.35))))</f>
        <v>0.3</v>
      </c>
      <c r="BM139" s="281">
        <f>BM138*(1+Table187079100111[[#This Row],[Column3]])</f>
        <v>264285.021</v>
      </c>
      <c r="BN139" s="211"/>
      <c r="BO139" s="211"/>
      <c r="BP139" s="243"/>
      <c r="BQ139" s="282"/>
      <c r="BR139" s="283"/>
      <c r="BS139" s="216"/>
      <c r="BT139" s="216"/>
      <c r="BU139" s="216"/>
      <c r="BV139" s="216"/>
      <c r="BW139" s="216"/>
      <c r="BX139" s="216"/>
      <c r="BY139" s="216"/>
      <c r="BZ139" s="216"/>
      <c r="CA139" s="216"/>
      <c r="CB139" s="216"/>
      <c r="CC139" s="216"/>
      <c r="CD139" s="216"/>
      <c r="CE139" s="216"/>
      <c r="CF139" s="216"/>
      <c r="CG139" s="216"/>
      <c r="CH139" s="216"/>
      <c r="CI139" s="216"/>
      <c r="CJ139" s="216"/>
      <c r="CK139" s="216"/>
      <c r="CL139" s="216"/>
      <c r="CM139" s="216"/>
      <c r="CN139" s="216"/>
      <c r="CO139" s="256"/>
    </row>
    <row r="140" ht="18">
      <c r="A140" s="200"/>
      <c r="L140" s="211"/>
      <c r="M140" s="212"/>
      <c r="N140" s="213" t="s">
        <v>154</v>
      </c>
      <c r="O140" s="214"/>
      <c r="P140" s="211"/>
      <c r="Q140" s="310">
        <f>IF((Q135="المقطم"),0.3,IF((Q135="التجمع"),0.3,IF((Q135="الشيخ زايد"),0.3,IF((Q135="الاسكندرية"),0.5,0.35))))</f>
        <v>0.3</v>
      </c>
      <c r="R140" s="281">
        <f>R139*(1+Table187079100[[#This Row],[Column3]])</f>
        <v>247018.29099999997</v>
      </c>
      <c r="S140" s="211"/>
      <c r="T140" s="211"/>
      <c r="U140" s="243"/>
      <c r="V140" s="282"/>
      <c r="W140" s="283"/>
      <c r="X140" s="216"/>
      <c r="Y140" s="216"/>
      <c r="Z140" s="216"/>
      <c r="AA140" s="216"/>
      <c r="AB140" s="216"/>
      <c r="AC140" s="216"/>
      <c r="AD140" s="216"/>
      <c r="AE140" s="216"/>
      <c r="AF140" s="216"/>
      <c r="AG140" s="216"/>
      <c r="AH140" s="216"/>
      <c r="AI140" s="216"/>
      <c r="AJ140" s="311"/>
      <c r="AK140" s="311"/>
      <c r="AL140" s="311"/>
      <c r="AM140" s="311"/>
      <c r="AN140" s="216"/>
      <c r="AO140" s="216"/>
      <c r="AP140" s="216"/>
      <c r="AQ140" s="216"/>
      <c r="AR140" s="216"/>
      <c r="AS140" s="216"/>
      <c r="AT140" s="256"/>
      <c r="AU140" s="207"/>
      <c r="BS140" s="216"/>
      <c r="BT140" s="216"/>
      <c r="BU140" s="216"/>
      <c r="BV140" s="216"/>
      <c r="BW140" s="216"/>
      <c r="BX140" s="216"/>
      <c r="BY140" s="216"/>
      <c r="BZ140" s="216"/>
      <c r="CA140" s="216"/>
      <c r="CB140" s="216"/>
      <c r="CC140" s="216"/>
      <c r="CD140" s="216"/>
      <c r="CE140" s="216"/>
      <c r="CF140" s="216"/>
      <c r="CG140" s="216"/>
      <c r="CH140" s="216"/>
      <c r="CI140" s="216"/>
      <c r="CJ140" s="216"/>
      <c r="CK140" s="216"/>
      <c r="CL140" s="216"/>
      <c r="CM140" s="216"/>
      <c r="CN140" s="216"/>
      <c r="CO140" s="256"/>
    </row>
    <row r="141" ht="18">
      <c r="A141" s="200"/>
      <c r="X141" s="216"/>
      <c r="Y141" s="216"/>
      <c r="Z141" s="216"/>
      <c r="AA141" s="216"/>
      <c r="AB141" s="216"/>
      <c r="AC141" s="216"/>
      <c r="AD141" s="216"/>
      <c r="AE141" s="216"/>
      <c r="AF141" s="216"/>
      <c r="AG141" s="216"/>
      <c r="AH141" s="216"/>
      <c r="AI141" s="216"/>
      <c r="AJ141" s="207"/>
      <c r="AK141" s="207"/>
      <c r="AL141" s="207"/>
      <c r="AM141" s="207"/>
      <c r="AN141" s="216"/>
      <c r="AO141" s="216"/>
      <c r="AP141" s="216"/>
      <c r="AQ141" s="216"/>
      <c r="AR141" s="216"/>
      <c r="AS141" s="216"/>
      <c r="AT141" s="256"/>
      <c r="AU141" s="207"/>
      <c r="BC141" s="309"/>
      <c r="BD141" s="309"/>
      <c r="BE141" s="309"/>
      <c r="BG141" s="309"/>
      <c r="BH141" s="309"/>
      <c r="BI141" s="309"/>
      <c r="BJ141" s="309"/>
      <c r="BK141" s="309"/>
      <c r="BL141" s="309"/>
      <c r="BM141" s="309"/>
      <c r="BN141" s="309"/>
      <c r="BO141" s="309"/>
      <c r="BP141" s="309"/>
      <c r="BQ141" s="309"/>
      <c r="BR141" s="309"/>
      <c r="BS141" s="216"/>
      <c r="BT141" s="216"/>
      <c r="BU141" s="216"/>
      <c r="BV141" s="216"/>
      <c r="BW141" s="216"/>
      <c r="BX141" s="216"/>
      <c r="BY141" s="216"/>
      <c r="BZ141" s="216"/>
      <c r="CA141" s="216"/>
      <c r="CB141" s="216"/>
      <c r="CC141" s="216"/>
      <c r="CD141" s="216"/>
      <c r="CE141" s="311"/>
      <c r="CF141" s="311"/>
      <c r="CG141" s="311"/>
      <c r="CH141" s="311"/>
      <c r="CI141" s="216"/>
      <c r="CJ141" s="216"/>
      <c r="CK141" s="216"/>
      <c r="CL141" s="216"/>
      <c r="CM141" s="216"/>
      <c r="CN141" s="216"/>
      <c r="CO141" s="256"/>
    </row>
    <row r="142" ht="18">
      <c r="A142" s="200"/>
      <c r="L142" s="309"/>
      <c r="M142" s="309"/>
      <c r="N142" s="309"/>
      <c r="O142" s="309"/>
      <c r="P142" s="309"/>
      <c r="Q142" s="309"/>
      <c r="R142" s="309"/>
      <c r="S142" s="309"/>
      <c r="T142" s="309"/>
      <c r="U142" s="309"/>
      <c r="V142" s="309"/>
      <c r="W142" s="309"/>
      <c r="X142" s="216"/>
      <c r="Y142" s="216"/>
      <c r="Z142" s="216"/>
      <c r="AA142" s="216"/>
      <c r="AB142" s="216"/>
      <c r="AC142" s="216"/>
      <c r="AD142" s="216"/>
      <c r="AE142" s="216"/>
      <c r="AF142" s="216"/>
      <c r="AG142" s="216"/>
      <c r="AH142" s="216"/>
      <c r="AI142" s="216"/>
      <c r="AJ142" s="207"/>
      <c r="AK142" s="207"/>
      <c r="AL142" s="207"/>
      <c r="AM142" s="207"/>
      <c r="AN142" s="311"/>
      <c r="AO142" s="311"/>
      <c r="AP142" s="311"/>
      <c r="AQ142" s="311"/>
      <c r="AR142" s="311"/>
      <c r="AS142" s="311"/>
      <c r="AT142" s="312"/>
      <c r="AU142" s="207"/>
      <c r="BB142" s="309"/>
      <c r="BF142" s="309"/>
      <c r="BS142" s="216"/>
      <c r="BT142" s="216"/>
      <c r="BU142" s="216"/>
      <c r="BV142" s="216"/>
      <c r="BW142" s="216"/>
      <c r="BX142" s="216"/>
      <c r="BY142" s="216"/>
      <c r="BZ142" s="216"/>
      <c r="CA142" s="216"/>
      <c r="CB142" s="216"/>
      <c r="CC142" s="216"/>
      <c r="CD142" s="216"/>
      <c r="CI142" s="216"/>
      <c r="CJ142" s="216"/>
      <c r="CK142" s="216"/>
      <c r="CL142" s="216"/>
      <c r="CM142" s="216"/>
      <c r="CN142" s="216"/>
      <c r="CO142" s="256"/>
    </row>
    <row r="143" ht="18">
      <c r="A143" s="200"/>
      <c r="G143" s="309"/>
      <c r="H143" s="309"/>
      <c r="I143" s="309"/>
      <c r="J143" s="309"/>
      <c r="K143" s="309"/>
      <c r="L143" s="207"/>
      <c r="M143" s="207"/>
      <c r="N143" s="207"/>
      <c r="O143" s="207"/>
      <c r="P143" s="207"/>
      <c r="Q143" s="207"/>
      <c r="R143" s="207"/>
      <c r="S143" s="207"/>
      <c r="T143" s="207"/>
      <c r="U143" s="207"/>
      <c r="V143" s="207"/>
      <c r="W143" s="207"/>
      <c r="X143" s="311"/>
      <c r="Y143" s="311"/>
      <c r="Z143" s="311"/>
      <c r="AA143" s="311"/>
      <c r="AB143" s="311"/>
      <c r="AC143" s="311"/>
      <c r="AD143" s="311"/>
      <c r="AE143" s="311"/>
      <c r="AF143" s="311"/>
      <c r="AG143" s="311"/>
      <c r="AH143" s="311"/>
      <c r="AI143" s="311"/>
      <c r="AJ143" s="207"/>
      <c r="AK143" s="207"/>
      <c r="AL143" s="207"/>
      <c r="AM143" s="207"/>
      <c r="AN143" s="207"/>
      <c r="AO143" s="207"/>
      <c r="AP143" s="207"/>
      <c r="AU143" s="207"/>
      <c r="BS143" s="216"/>
      <c r="BT143" s="216"/>
      <c r="BU143" s="216"/>
      <c r="BV143" s="216"/>
      <c r="BW143" s="216"/>
      <c r="BX143" s="216"/>
      <c r="BY143" s="216"/>
      <c r="BZ143" s="216"/>
      <c r="CA143" s="216"/>
      <c r="CB143" s="216"/>
      <c r="CC143" s="216"/>
      <c r="CD143" s="216"/>
      <c r="CI143" s="216"/>
      <c r="CJ143" s="216"/>
      <c r="CK143" s="216"/>
      <c r="CL143" s="216"/>
      <c r="CM143" s="216"/>
      <c r="CN143" s="216"/>
      <c r="CO143" s="256"/>
    </row>
    <row r="144" ht="18">
      <c r="A144" s="308"/>
      <c r="B144" s="309"/>
      <c r="C144" s="309"/>
      <c r="D144" s="309"/>
      <c r="E144" s="309"/>
      <c r="F144" s="309"/>
      <c r="L144" s="207"/>
      <c r="M144" s="207"/>
      <c r="N144" s="207"/>
      <c r="O144" s="207"/>
      <c r="P144" s="207"/>
      <c r="Q144" s="207"/>
      <c r="R144" s="207"/>
      <c r="S144" s="207"/>
      <c r="T144" s="207"/>
      <c r="U144" s="207"/>
      <c r="V144" s="207"/>
      <c r="W144" s="207"/>
      <c r="X144" s="207"/>
      <c r="Y144" s="207"/>
      <c r="Z144" s="207"/>
      <c r="AA144" s="207"/>
      <c r="AB144" s="207"/>
      <c r="AC144" s="207"/>
      <c r="AD144" s="207"/>
      <c r="AE144" s="207"/>
      <c r="AF144" s="207"/>
      <c r="AG144" s="207"/>
      <c r="AH144" s="207"/>
      <c r="AI144" s="207"/>
      <c r="AJ144" s="207"/>
      <c r="AK144" s="207"/>
      <c r="AL144" s="207"/>
      <c r="AM144" s="207"/>
      <c r="AN144" s="207"/>
      <c r="AO144" s="207"/>
      <c r="AP144" s="207"/>
      <c r="AU144" s="207"/>
      <c r="AV144" s="207"/>
      <c r="AW144" s="207"/>
      <c r="AX144" s="207"/>
      <c r="AY144" s="207"/>
      <c r="AZ144" s="207"/>
      <c r="BA144" s="207"/>
      <c r="BS144" s="311"/>
      <c r="BT144" s="311"/>
      <c r="BU144" s="311"/>
      <c r="BV144" s="311"/>
      <c r="BW144" s="311"/>
      <c r="BX144" s="311"/>
      <c r="BY144" s="311"/>
      <c r="BZ144" s="311"/>
      <c r="CA144" s="311"/>
      <c r="CB144" s="311"/>
      <c r="CC144" s="311"/>
      <c r="CD144" s="311"/>
      <c r="CI144" s="311"/>
      <c r="CJ144" s="311"/>
      <c r="CK144" s="311"/>
      <c r="CL144" s="311"/>
      <c r="CM144" s="311"/>
      <c r="CN144" s="311"/>
      <c r="CO144" s="312"/>
    </row>
    <row r="145">
      <c r="L145" s="207"/>
      <c r="M145" s="207"/>
      <c r="N145" s="207"/>
      <c r="O145" s="207"/>
      <c r="P145" s="207"/>
      <c r="Q145" s="207"/>
      <c r="R145" s="207"/>
      <c r="S145" s="207"/>
      <c r="T145" s="207"/>
      <c r="U145" s="207"/>
      <c r="V145" s="207"/>
      <c r="W145" s="207"/>
      <c r="X145" s="207"/>
      <c r="Y145" s="207"/>
      <c r="Z145" s="207"/>
      <c r="AA145" s="207"/>
      <c r="AB145" s="207"/>
      <c r="AC145" s="207"/>
      <c r="AD145" s="207"/>
      <c r="AE145" s="207"/>
      <c r="AF145" s="207"/>
      <c r="AG145" s="207"/>
      <c r="AH145" s="207"/>
      <c r="AI145" s="207"/>
      <c r="AJ145" s="207"/>
      <c r="AK145" s="207"/>
      <c r="AL145" s="207"/>
      <c r="AM145" s="207"/>
      <c r="AN145" s="207"/>
      <c r="AO145" s="207"/>
      <c r="AP145" s="207"/>
      <c r="AU145" s="207"/>
      <c r="AV145" s="207"/>
      <c r="AW145" s="207"/>
      <c r="AX145" s="207"/>
      <c r="AY145" s="207"/>
      <c r="AZ145" s="207"/>
      <c r="BA145" s="207"/>
    </row>
    <row r="146">
      <c r="X146" s="207"/>
      <c r="Y146" s="207"/>
      <c r="Z146" s="207"/>
      <c r="AA146" s="207"/>
      <c r="AB146" s="207"/>
      <c r="AC146" s="207"/>
      <c r="AD146" s="207"/>
      <c r="AE146" s="207"/>
      <c r="AF146" s="207"/>
      <c r="AG146" s="207"/>
      <c r="AH146" s="207"/>
      <c r="AI146" s="207"/>
      <c r="AJ146" s="207"/>
      <c r="AK146" s="207"/>
      <c r="AL146" s="207"/>
      <c r="AM146" s="207"/>
      <c r="AN146" s="207"/>
      <c r="AO146" s="207"/>
      <c r="AP146" s="207"/>
      <c r="AU146" s="207"/>
      <c r="AV146" s="207"/>
      <c r="AW146" s="207"/>
      <c r="AX146" s="207"/>
      <c r="AY146" s="207"/>
      <c r="AZ146" s="207"/>
      <c r="BA146" s="207"/>
    </row>
    <row r="147">
      <c r="X147" s="207"/>
      <c r="Y147" s="207"/>
      <c r="Z147" s="207"/>
      <c r="AA147" s="207"/>
      <c r="AB147" s="207"/>
      <c r="AC147" s="207"/>
      <c r="AD147" s="207"/>
      <c r="AE147" s="207"/>
      <c r="AF147" s="207"/>
      <c r="AG147" s="207"/>
      <c r="AH147" s="207"/>
      <c r="AI147" s="207"/>
      <c r="AJ147" s="207"/>
      <c r="AK147" s="207"/>
      <c r="AL147" s="207"/>
      <c r="AM147" s="207"/>
      <c r="AN147" s="207"/>
      <c r="AO147" s="207"/>
      <c r="AP147" s="207"/>
      <c r="AU147" s="207"/>
      <c r="AV147" s="207"/>
      <c r="AW147" s="207"/>
      <c r="AX147" s="207"/>
      <c r="AY147" s="207"/>
      <c r="AZ147" s="207"/>
      <c r="BA147" s="207"/>
    </row>
    <row r="148">
      <c r="X148" s="207"/>
      <c r="Y148" s="207"/>
      <c r="Z148" s="207"/>
      <c r="AA148" s="207"/>
      <c r="AB148" s="207"/>
      <c r="AC148" s="207"/>
      <c r="AD148" s="207"/>
      <c r="AE148" s="207"/>
      <c r="AF148" s="207"/>
      <c r="AG148" s="207"/>
      <c r="AH148" s="207"/>
      <c r="AI148" s="207"/>
      <c r="AJ148" s="207"/>
      <c r="AK148" s="207"/>
      <c r="AL148" s="207"/>
      <c r="AM148" s="207"/>
      <c r="AN148" s="207"/>
      <c r="AO148" s="207"/>
      <c r="AP148" s="207"/>
      <c r="AU148" s="207"/>
      <c r="AV148" s="207"/>
      <c r="AW148" s="207"/>
      <c r="AX148" s="207"/>
      <c r="AY148" s="207"/>
      <c r="AZ148" s="207"/>
      <c r="BA148" s="207"/>
    </row>
    <row r="149">
      <c r="X149" s="207"/>
      <c r="Y149" s="207"/>
      <c r="Z149" s="207"/>
      <c r="AA149" s="207"/>
      <c r="AB149" s="207"/>
      <c r="AC149" s="207"/>
      <c r="AD149" s="207"/>
      <c r="AE149" s="207"/>
      <c r="AF149" s="207"/>
      <c r="AG149" s="207"/>
      <c r="AH149" s="207"/>
      <c r="AI149" s="207"/>
      <c r="AJ149" s="207"/>
      <c r="AK149" s="207"/>
      <c r="AL149" s="207"/>
      <c r="AM149" s="207"/>
      <c r="AN149" s="207"/>
      <c r="AO149" s="207"/>
      <c r="AP149" s="207"/>
      <c r="AV149" s="207"/>
      <c r="AW149" s="207"/>
      <c r="AX149" s="207"/>
      <c r="AY149" s="207"/>
      <c r="AZ149" s="207"/>
      <c r="BA149" s="207"/>
    </row>
    <row r="150">
      <c r="X150" s="207"/>
      <c r="Y150" s="207"/>
      <c r="Z150" s="207"/>
      <c r="AA150" s="207"/>
      <c r="AB150" s="207"/>
      <c r="AC150" s="207"/>
      <c r="AD150" s="207"/>
      <c r="AE150" s="207"/>
      <c r="AF150" s="207"/>
      <c r="AG150" s="207"/>
      <c r="AH150" s="207"/>
      <c r="AI150" s="207"/>
      <c r="AJ150" s="207"/>
      <c r="AK150" s="207"/>
      <c r="AL150" s="207"/>
      <c r="AM150" s="207"/>
      <c r="AN150" s="207"/>
      <c r="AO150" s="207"/>
      <c r="AP150" s="207"/>
      <c r="AV150" s="207"/>
      <c r="AW150" s="207"/>
      <c r="AX150" s="207"/>
      <c r="AY150" s="207"/>
      <c r="AZ150" s="207"/>
      <c r="BA150" s="207"/>
    </row>
    <row r="151">
      <c r="X151" s="207"/>
      <c r="Y151" s="207"/>
      <c r="Z151" s="207"/>
      <c r="AA151" s="207"/>
      <c r="AB151" s="207"/>
      <c r="AC151" s="207"/>
      <c r="AD151" s="207"/>
      <c r="AE151" s="207"/>
      <c r="AF151" s="207"/>
      <c r="AG151" s="207"/>
      <c r="AH151" s="207"/>
      <c r="AI151" s="207"/>
      <c r="AJ151" s="207"/>
      <c r="AK151" s="207"/>
      <c r="AL151" s="207"/>
      <c r="AM151" s="207"/>
      <c r="AN151" s="207"/>
      <c r="AO151" s="207"/>
      <c r="AP151" s="207"/>
      <c r="AV151" s="207"/>
      <c r="AW151" s="207"/>
      <c r="AX151" s="207"/>
      <c r="AY151" s="207"/>
      <c r="AZ151" s="207"/>
      <c r="BA151" s="207"/>
    </row>
    <row r="152">
      <c r="X152" s="207"/>
      <c r="Y152" s="207"/>
      <c r="Z152" s="207"/>
      <c r="AA152" s="207"/>
      <c r="AB152" s="207"/>
      <c r="AC152" s="207"/>
      <c r="AD152" s="207"/>
      <c r="AE152" s="207"/>
      <c r="AF152" s="207"/>
      <c r="AG152" s="207"/>
      <c r="AH152" s="207"/>
      <c r="AI152" s="207"/>
      <c r="AJ152" s="207"/>
      <c r="AK152" s="207"/>
      <c r="AL152" s="207"/>
      <c r="AM152" s="207"/>
      <c r="AN152" s="207"/>
      <c r="AO152" s="207"/>
      <c r="AP152" s="207"/>
      <c r="AV152" s="207"/>
      <c r="AW152" s="207"/>
      <c r="AX152" s="207"/>
      <c r="AY152" s="207"/>
      <c r="AZ152" s="207"/>
      <c r="BA152" s="207"/>
    </row>
    <row r="153">
      <c r="X153" s="207"/>
      <c r="Y153" s="207"/>
      <c r="Z153" s="207"/>
      <c r="AA153" s="207"/>
      <c r="AB153" s="207"/>
      <c r="AC153" s="207"/>
      <c r="AD153" s="207"/>
      <c r="AE153" s="207"/>
      <c r="AF153" s="207"/>
      <c r="AG153" s="207"/>
      <c r="AH153" s="207"/>
      <c r="AI153" s="207"/>
      <c r="AJ153" s="207"/>
      <c r="AK153" s="207"/>
      <c r="AL153" s="207"/>
      <c r="AM153" s="207"/>
      <c r="AN153" s="207"/>
      <c r="AO153" s="207"/>
      <c r="AP153" s="207"/>
      <c r="AV153" s="207"/>
      <c r="AW153" s="207"/>
      <c r="AX153" s="207"/>
      <c r="AY153" s="207"/>
      <c r="AZ153" s="207"/>
      <c r="BA153" s="207"/>
    </row>
    <row r="154">
      <c r="X154" s="207"/>
      <c r="Y154" s="207"/>
      <c r="Z154" s="207"/>
      <c r="AA154" s="207"/>
      <c r="AB154" s="207"/>
      <c r="AC154" s="207"/>
      <c r="AD154" s="207"/>
      <c r="AE154" s="207"/>
      <c r="AF154" s="207"/>
      <c r="AG154" s="207"/>
      <c r="AH154" s="207"/>
      <c r="AI154" s="207"/>
      <c r="AJ154" s="207"/>
      <c r="AK154" s="207"/>
      <c r="AL154" s="207"/>
      <c r="AM154" s="207"/>
      <c r="AN154" s="207"/>
      <c r="AO154" s="207"/>
      <c r="AP154" s="207"/>
      <c r="AV154" s="207"/>
      <c r="AW154" s="207"/>
      <c r="AX154" s="207"/>
      <c r="AY154" s="207"/>
      <c r="AZ154" s="207"/>
      <c r="BA154" s="207"/>
    </row>
    <row r="155">
      <c r="X155" s="207"/>
      <c r="Y155" s="207"/>
      <c r="Z155" s="207"/>
      <c r="AA155" s="207"/>
      <c r="AB155" s="207"/>
      <c r="AC155" s="207"/>
      <c r="AD155" s="207"/>
      <c r="AE155" s="207"/>
      <c r="AF155" s="207"/>
      <c r="AG155" s="207"/>
      <c r="AH155" s="207"/>
      <c r="AI155" s="207"/>
      <c r="AJ155" s="207"/>
      <c r="AK155" s="207"/>
      <c r="AL155" s="207"/>
      <c r="AM155" s="207"/>
      <c r="AN155" s="207"/>
      <c r="AO155" s="207"/>
      <c r="AP155" s="207"/>
      <c r="AV155" s="207"/>
      <c r="AW155" s="207"/>
      <c r="AX155" s="207"/>
      <c r="AY155" s="207"/>
      <c r="AZ155" s="207"/>
      <c r="BA155" s="207"/>
    </row>
    <row r="156">
      <c r="X156" s="207"/>
      <c r="Y156" s="207"/>
      <c r="Z156" s="207"/>
      <c r="AA156" s="207"/>
      <c r="AB156" s="207"/>
      <c r="AC156" s="207"/>
      <c r="AD156" s="207"/>
      <c r="AE156" s="207"/>
      <c r="AF156" s="207"/>
      <c r="AG156" s="207"/>
      <c r="AH156" s="207"/>
      <c r="AI156" s="207"/>
      <c r="AJ156" s="207"/>
      <c r="AK156" s="207"/>
      <c r="AL156" s="207"/>
      <c r="AM156" s="207"/>
      <c r="AN156" s="207"/>
      <c r="AO156" s="207"/>
      <c r="AP156" s="207"/>
      <c r="AV156" s="207"/>
      <c r="AW156" s="207"/>
      <c r="AX156" s="207"/>
      <c r="AY156" s="207"/>
      <c r="AZ156" s="207"/>
      <c r="BA156" s="207"/>
    </row>
    <row r="157">
      <c r="X157" s="207"/>
      <c r="Y157" s="207"/>
      <c r="Z157" s="207"/>
      <c r="AA157" s="207"/>
      <c r="AB157" s="207"/>
      <c r="AC157" s="207"/>
      <c r="AD157" s="207"/>
      <c r="AE157" s="207"/>
      <c r="AF157" s="207"/>
      <c r="AG157" s="207"/>
      <c r="AH157" s="207"/>
      <c r="AI157" s="207"/>
      <c r="AJ157" s="207"/>
      <c r="AK157" s="207"/>
      <c r="AL157" s="207"/>
      <c r="AM157" s="207"/>
      <c r="AN157" s="207"/>
      <c r="AO157" s="207"/>
      <c r="AP157" s="207"/>
      <c r="AQ157" s="207"/>
      <c r="AR157" s="207"/>
      <c r="AS157" s="207"/>
      <c r="AT157" s="207"/>
      <c r="AV157" s="207"/>
      <c r="AW157" s="207"/>
      <c r="AX157" s="207"/>
      <c r="AY157" s="207"/>
      <c r="AZ157" s="207"/>
      <c r="BA157" s="207"/>
      <c r="BB157" s="207"/>
    </row>
    <row r="158">
      <c r="X158" s="207"/>
      <c r="Y158" s="207"/>
      <c r="Z158" s="207"/>
      <c r="AA158" s="207"/>
      <c r="AB158" s="207"/>
      <c r="AC158" s="207"/>
      <c r="AD158" s="207"/>
      <c r="AE158" s="207"/>
      <c r="AF158" s="207"/>
      <c r="AG158" s="207"/>
      <c r="AH158" s="207"/>
      <c r="AI158" s="207"/>
      <c r="AJ158" s="207"/>
      <c r="AK158" s="207"/>
      <c r="AL158" s="207"/>
      <c r="AM158" s="207"/>
      <c r="AN158" s="207"/>
      <c r="AO158" s="207"/>
      <c r="AP158" s="207"/>
      <c r="AQ158" s="207"/>
      <c r="AR158" s="207"/>
      <c r="AS158" s="207"/>
      <c r="AT158" s="207"/>
      <c r="AV158" s="207"/>
      <c r="AW158" s="207"/>
      <c r="AX158" s="207"/>
      <c r="AY158" s="207"/>
      <c r="AZ158" s="207"/>
      <c r="BA158" s="207"/>
      <c r="BB158" s="207"/>
    </row>
    <row r="159">
      <c r="X159" s="207"/>
      <c r="Y159" s="207"/>
      <c r="Z159" s="207"/>
      <c r="AA159" s="207"/>
      <c r="AB159" s="207"/>
      <c r="AC159" s="207"/>
      <c r="AD159" s="207"/>
      <c r="AE159" s="207"/>
      <c r="AF159" s="207"/>
      <c r="AG159" s="207"/>
      <c r="AH159" s="207"/>
      <c r="AI159" s="207"/>
      <c r="AJ159" s="207"/>
      <c r="AK159" s="207"/>
      <c r="AL159" s="207"/>
      <c r="AM159" s="207"/>
      <c r="AN159" s="207"/>
      <c r="AO159" s="207"/>
      <c r="AP159" s="207"/>
      <c r="AQ159" s="207"/>
      <c r="AR159" s="207"/>
      <c r="AS159" s="207"/>
      <c r="AT159" s="207"/>
      <c r="AV159" s="207"/>
      <c r="AW159" s="207"/>
      <c r="AX159" s="207"/>
      <c r="AY159" s="207"/>
      <c r="AZ159" s="207"/>
      <c r="BA159" s="207"/>
      <c r="BB159" s="207"/>
    </row>
    <row r="160">
      <c r="X160" s="207"/>
      <c r="Y160" s="207"/>
      <c r="Z160" s="207"/>
      <c r="AA160" s="207"/>
      <c r="AB160" s="207"/>
      <c r="AC160" s="207"/>
      <c r="AD160" s="207"/>
      <c r="AE160" s="207"/>
      <c r="AF160" s="207"/>
      <c r="AG160" s="207"/>
      <c r="AH160" s="207"/>
      <c r="AI160" s="207"/>
      <c r="AJ160" s="207"/>
      <c r="AK160" s="207"/>
      <c r="AL160" s="207"/>
      <c r="AM160" s="207"/>
      <c r="AN160" s="207"/>
      <c r="AO160" s="207"/>
      <c r="AP160" s="207"/>
      <c r="AQ160" s="207"/>
      <c r="AR160" s="207"/>
      <c r="AS160" s="207"/>
      <c r="AT160" s="207"/>
      <c r="AV160" s="207"/>
      <c r="AW160" s="207"/>
      <c r="AX160" s="207"/>
      <c r="AY160" s="207"/>
      <c r="AZ160" s="207"/>
      <c r="BA160" s="207"/>
      <c r="BB160" s="207"/>
    </row>
    <row r="161">
      <c r="X161" s="207"/>
      <c r="Y161" s="207"/>
      <c r="Z161" s="207"/>
      <c r="AA161" s="207"/>
      <c r="AB161" s="207"/>
      <c r="AC161" s="207"/>
      <c r="AD161" s="207"/>
      <c r="AE161" s="207"/>
      <c r="AF161" s="207"/>
      <c r="AG161" s="207"/>
      <c r="AH161" s="207"/>
      <c r="AI161" s="207"/>
      <c r="AN161" s="207"/>
      <c r="AO161" s="207"/>
      <c r="AP161" s="207"/>
      <c r="AQ161" s="207"/>
      <c r="AR161" s="207"/>
      <c r="AS161" s="207"/>
      <c r="AT161" s="207"/>
      <c r="BB161" s="207"/>
    </row>
    <row r="162">
      <c r="X162" s="207"/>
      <c r="Y162" s="207"/>
      <c r="Z162" s="207"/>
      <c r="AA162" s="207"/>
      <c r="AB162" s="207"/>
      <c r="AC162" s="207"/>
      <c r="AD162" s="207"/>
      <c r="AE162" s="207"/>
      <c r="AF162" s="207"/>
      <c r="AG162" s="207"/>
      <c r="AH162" s="207"/>
      <c r="AI162" s="207"/>
      <c r="AN162" s="207"/>
      <c r="AO162" s="207"/>
      <c r="AP162" s="207"/>
      <c r="AQ162" s="207"/>
      <c r="AR162" s="207"/>
      <c r="AS162" s="207"/>
      <c r="AT162" s="207"/>
      <c r="BB162" s="207"/>
    </row>
    <row r="163">
      <c r="X163" s="207"/>
      <c r="Y163" s="207"/>
      <c r="Z163" s="207"/>
      <c r="AA163" s="207"/>
      <c r="AB163" s="207"/>
      <c r="AC163" s="207"/>
      <c r="AD163" s="207"/>
      <c r="AE163" s="207"/>
      <c r="AF163" s="207"/>
      <c r="AG163" s="207"/>
      <c r="AH163" s="207"/>
      <c r="AI163" s="207"/>
      <c r="AN163" s="207"/>
      <c r="AO163" s="207"/>
      <c r="AP163" s="207"/>
      <c r="AQ163" s="207"/>
      <c r="AR163" s="207"/>
      <c r="AS163" s="207"/>
      <c r="AT163" s="207"/>
      <c r="AU163" s="207"/>
      <c r="BB163" s="207"/>
    </row>
    <row r="164">
      <c r="AN164" s="207"/>
      <c r="AO164" s="207"/>
      <c r="AP164" s="207"/>
      <c r="AQ164" s="207"/>
      <c r="AR164" s="207"/>
      <c r="AS164" s="207"/>
      <c r="AT164" s="207"/>
      <c r="AU164" s="207"/>
      <c r="BB164" s="207"/>
    </row>
    <row r="165">
      <c r="AN165" s="207"/>
      <c r="AO165" s="207"/>
      <c r="AP165" s="207"/>
      <c r="AQ165" s="207"/>
      <c r="AR165" s="207"/>
      <c r="AS165" s="207"/>
      <c r="AT165" s="207"/>
      <c r="AU165" s="207"/>
      <c r="BB165" s="207"/>
    </row>
    <row r="166">
      <c r="AN166" s="207"/>
      <c r="AO166" s="207"/>
      <c r="AP166" s="207"/>
      <c r="AQ166" s="207"/>
      <c r="AR166" s="207"/>
      <c r="AS166" s="207"/>
      <c r="AT166" s="207"/>
      <c r="AU166" s="207"/>
      <c r="BB166" s="207"/>
    </row>
    <row r="167">
      <c r="AN167" s="207"/>
      <c r="AO167" s="207"/>
      <c r="AP167" s="207"/>
      <c r="AQ167" s="207"/>
      <c r="AR167" s="207"/>
      <c r="AS167" s="207"/>
      <c r="AT167" s="207"/>
      <c r="AU167" s="207"/>
      <c r="BB167" s="207"/>
    </row>
    <row r="168">
      <c r="AN168" s="207"/>
      <c r="AO168" s="207"/>
      <c r="AP168" s="207"/>
      <c r="AQ168" s="207"/>
      <c r="AR168" s="207"/>
      <c r="AS168" s="207"/>
      <c r="AT168" s="207"/>
      <c r="AU168" s="207"/>
      <c r="BB168" s="207"/>
    </row>
    <row r="169">
      <c r="AN169" s="207"/>
      <c r="AO169" s="207"/>
      <c r="AP169" s="207"/>
      <c r="AQ169" s="207"/>
      <c r="AR169" s="207"/>
      <c r="AS169" s="207"/>
      <c r="AT169" s="207"/>
      <c r="AU169" s="207"/>
      <c r="BB169" s="207"/>
    </row>
    <row r="170">
      <c r="AN170" s="207"/>
      <c r="AO170" s="207"/>
      <c r="AP170" s="207"/>
      <c r="AQ170" s="207"/>
      <c r="AR170" s="207"/>
      <c r="AS170" s="207"/>
      <c r="AT170" s="207"/>
      <c r="AU170" s="207"/>
      <c r="BB170" s="207"/>
    </row>
    <row r="171">
      <c r="AN171" s="207"/>
      <c r="AO171" s="207"/>
      <c r="AP171" s="207"/>
      <c r="AQ171" s="207"/>
      <c r="AR171" s="207"/>
      <c r="AS171" s="207"/>
      <c r="AT171" s="207"/>
      <c r="AU171" s="207"/>
      <c r="BB171" s="207"/>
    </row>
    <row r="172">
      <c r="AN172" s="207"/>
      <c r="AO172" s="207"/>
      <c r="AP172" s="207"/>
      <c r="AQ172" s="207"/>
      <c r="AR172" s="207"/>
      <c r="AS172" s="207"/>
      <c r="AT172" s="207"/>
      <c r="AU172" s="207"/>
      <c r="BB172" s="207"/>
    </row>
    <row r="173">
      <c r="AN173" s="207"/>
      <c r="AO173" s="207"/>
      <c r="AP173" s="207"/>
      <c r="AQ173" s="207"/>
      <c r="AR173" s="207"/>
      <c r="AS173" s="207"/>
      <c r="AT173" s="207"/>
      <c r="AU173" s="207"/>
      <c r="BB173" s="207"/>
    </row>
    <row r="174">
      <c r="AU174" s="207"/>
    </row>
    <row r="175">
      <c r="AU175" s="207"/>
    </row>
    <row r="176">
      <c r="AU176" s="207"/>
    </row>
    <row r="177">
      <c r="AU177" s="207"/>
    </row>
    <row r="178">
      <c r="AU178" s="207"/>
    </row>
    <row r="179">
      <c r="AU179" s="207"/>
    </row>
  </sheetData>
  <mergeCells>
    <mergeCell ref="L3:M3"/>
    <mergeCell ref="R3:T3"/>
    <mergeCell ref="BG3:BH3"/>
    <mergeCell ref="BM3:BO3"/>
    <mergeCell ref="O4:T4"/>
    <mergeCell ref="BJ4:BO4"/>
    <mergeCell ref="O12:T12"/>
    <mergeCell ref="BJ12:BO12"/>
    <mergeCell ref="O20:T20"/>
    <mergeCell ref="BJ20:BO20"/>
    <mergeCell ref="O26:T26"/>
    <mergeCell ref="BJ26:BO26"/>
    <mergeCell ref="BJ49:BO49"/>
    <mergeCell ref="O91:T91"/>
    <mergeCell ref="BJ90:BO90"/>
    <mergeCell ref="O66:T66"/>
    <mergeCell ref="BJ65:BO65"/>
    <mergeCell ref="BG71:BI72"/>
    <mergeCell ref="O137:T137"/>
    <mergeCell ref="BJ136:BO136"/>
    <mergeCell ref="O116:T116"/>
    <mergeCell ref="BJ115:BO115"/>
    <mergeCell ref="O121:T121"/>
    <mergeCell ref="BJ120:BO120"/>
    <mergeCell ref="L1:N2"/>
    <mergeCell ref="BG1:BI2"/>
    <mergeCell ref="L72:N73"/>
    <mergeCell ref="O97:T97"/>
    <mergeCell ref="BJ96:BO96"/>
    <mergeCell ref="O75:T75"/>
    <mergeCell ref="BJ74:BO74"/>
    <mergeCell ref="O83:T83"/>
    <mergeCell ref="BJ82:BO82"/>
    <mergeCell ref="L74:M74"/>
    <mergeCell ref="R74:T74"/>
    <mergeCell ref="BG73:BH73"/>
    <mergeCell ref="BM73:BO73"/>
    <mergeCell ref="O45:T45"/>
    <mergeCell ref="BJ44:BO44"/>
    <mergeCell ref="O50:T50"/>
  </mergeCells>
  <dataValidations disablePrompts="1" count="1">
    <dataValidation type="list" allowBlank="1" showInputMessage="1" showErrorMessage="1" sqref="R52:R64 R123:R135 BM51:BM63 BM122:BM134" xr:uid="{00000000-0002-0000-0700-000000000000}">
      <formula1>$U$4:$U$5</formula1>
    </dataValidation>
  </dataValidations>
  <pageMargins left="0.7" right="0.7" top="0.75" bottom="0.75" header="0.3" footer="0.3"/>
  <pageSetup orientation="portrait" verticalDpi="0"/>
  <headerFooter/>
  <tableParts count="44">
    <tablePart r:id="rId2"/>
    <tablePart r:id="rId3"/>
    <tablePart r:id="rId4"/>
    <tablePart r:id="rId5"/>
    <tablePart r:id="rId6"/>
    <tablePart r:id="rId7"/>
    <tablePart r:id="rId8"/>
    <tablePart r:id="rId9"/>
    <tablePart r:id="rId10"/>
    <tablePart r:id="rId11"/>
    <tablePart r:id="rId12"/>
    <tablePart r:id="rId13"/>
    <tablePart r:id="rId14"/>
    <tablePart r:id="rId15"/>
    <tablePart r:id="rId16"/>
    <tablePart r:id="rId17"/>
    <tablePart r:id="rId18"/>
    <tablePart r:id="rId19"/>
    <tablePart r:id="rId20"/>
    <tablePart r:id="rId21"/>
    <tablePart r:id="rId22"/>
    <tablePart r:id="rId23"/>
    <tablePart r:id="rId24"/>
    <tablePart r:id="rId25"/>
    <tablePart r:id="rId26"/>
    <tablePart r:id="rId27"/>
    <tablePart r:id="rId28"/>
    <tablePart r:id="rId29"/>
    <tablePart r:id="rId30"/>
    <tablePart r:id="rId31"/>
    <tablePart r:id="rId32"/>
    <tablePart r:id="rId33"/>
    <tablePart r:id="rId34"/>
    <tablePart r:id="rId35"/>
    <tablePart r:id="rId36"/>
    <tablePart r:id="rId37"/>
    <tablePart r:id="rId38"/>
    <tablePart r:id="rId39"/>
    <tablePart r:id="rId40"/>
    <tablePart r:id="rId41"/>
    <tablePart r:id="rId42"/>
    <tablePart r:id="rId43"/>
    <tablePart r:id="rId44"/>
    <tablePart r:id="rId4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22</vt:i4>
      </vt:variant>
      <vt:variant>
        <vt:lpstr>Named Ranges</vt:lpstr>
      </vt:variant>
      <vt:variant>
        <vt:i4>7</vt:i4>
      </vt:variant>
    </vt:vector>
  </HeadingPairs>
  <TitlesOfParts>
    <vt:vector size="29" baseType="lpstr">
      <vt:lpstr>Sheet2</vt:lpstr>
      <vt:lpstr>تسعير</vt:lpstr>
      <vt:lpstr>شماسي كانتليفر</vt:lpstr>
      <vt:lpstr>Royal</vt:lpstr>
      <vt:lpstr>Royal2</vt:lpstr>
      <vt:lpstr>wavy1</vt:lpstr>
      <vt:lpstr>wavy2</vt:lpstr>
      <vt:lpstr>شماسي و كانتليفر</vt:lpstr>
      <vt:lpstr>بيرسا و لوفرز</vt:lpstr>
      <vt:lpstr>تسجيل1</vt:lpstr>
      <vt:lpstr>Cutting Ro-1</vt:lpstr>
      <vt:lpstr>PERG. CS.</vt:lpstr>
      <vt:lpstr>تسجيل2</vt:lpstr>
      <vt:lpstr>Cutting Ro-2</vt:lpstr>
      <vt:lpstr>Format (2)</vt:lpstr>
      <vt:lpstr>Format Οδηγων (2)</vt:lpstr>
      <vt:lpstr>Format Φωτισμου (2)</vt:lpstr>
      <vt:lpstr>Format διαστασης οδηγου (2)</vt:lpstr>
      <vt:lpstr>Format</vt:lpstr>
      <vt:lpstr>Format Οδηγων</vt:lpstr>
      <vt:lpstr>Format Φωτισμου</vt:lpstr>
      <vt:lpstr>Format διαστασης οδηγου</vt:lpstr>
      <vt:lpstr>'Cutting Ro-1'!Print_Area</vt:lpstr>
      <vt:lpstr>'Cutting Ro-2'!Print_Area</vt:lpstr>
      <vt:lpstr>Royal!Print_Area</vt:lpstr>
      <vt:lpstr>Royal2!Print_Area</vt:lpstr>
      <vt:lpstr>تسعير!Print_Area</vt:lpstr>
      <vt:lpstr>ش1</vt:lpstr>
      <vt:lpstr>ف45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Khamis El Fakharany</dc:creator>
  <cp:lastModifiedBy>Dell</cp:lastModifiedBy>
  <dcterms:created xsi:type="dcterms:W3CDTF">2015-06-05T18:17:00Z</dcterms:created>
  <dcterms:modified xsi:type="dcterms:W3CDTF">2026-04-20T09:40:46Z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D7619DFBDCBF4975BA767D68739FAE1E</vt:lpwstr>
  </property>
  <property fmtid="{D5CDD505-2E9C-101B-9397-08002B2CF9AE}" pid="3" name="KSOProductBuildVer">
    <vt:lpwstr>1033-11.2.0.11537</vt:lpwstr>
  </property>
</Properties>
</file>