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995" yWindow="0" windowWidth="14745" windowHeight="12795" tabRatio="927" firstSheet="1" activeTab="1"/>
  </bookViews>
  <sheets>
    <sheet name="Sheet2" sheetId="1" state="hidden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<sst xmlns="http://schemas.openxmlformats.org/spreadsheetml/2006/main" count="598" uniqueCount="598">
  <si>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</si>
  <si>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</si>
  <si>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</si>
  <si>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</si>
  <si>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</si>
  <si>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</si>
  <si>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</si>
  <si>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</si>
  <si>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</si>
  <si>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</si>
  <si>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</si>
  <si>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</si>
  <si>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</si>
  <si>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</si>
  <si>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</si>
  <si>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</si>
  <si>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</si>
  <si>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</si>
  <si>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</si>
  <si>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</si>
  <si>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</si>
  <si>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</si>
  <si>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</si>
  <si>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</si>
  <si>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</si>
  <si>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</si>
  <si>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</si>
  <si>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</si>
  <si>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</si>
  <si>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</si>
  <si>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</si>
  <si>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</si>
  <si>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</si>
  <si>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</si>
  <si>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</si>
  <si>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</si>
  <si>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</si>
  <si>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</si>
  <si>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</si>
  <si>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</si>
  <si>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</si>
  <si>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</si>
  <si>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</si>
  <si>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</si>
  <si>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</si>
  <si>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</si>
  <si>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</si>
  <si>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</si>
  <si>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</si>
  <si>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</si>
  <si>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</si>
  <si>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</si>
  <si>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</si>
  <si>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</si>
  <si>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</si>
  <si>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</si>
  <si>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</si>
  <si>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</si>
  <si>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</si>
  <si>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</si>
  <si>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</si>
  <si>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</si>
  <si>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</si>
  <si>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</si>
  <si>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</si>
  <si>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</si>
  <si>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</si>
  <si>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</si>
  <si>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</si>
  <si>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</si>
  <si>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</si>
  <si>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</si>
  <si>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</si>
  <si>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</si>
  <si>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</si>
  <si>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</si>
  <si>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</si>
  <si>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</si>
  <si>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</si>
  <si>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</si>
  <si>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</si>
  <si>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</si>
  <si>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</si>
  <si>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</si>
  <si>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</si>
  <si>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</si>
  <si>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</si>
  <si>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</si>
  <si>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</si>
  <si>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</si>
  <si>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</si>
  <si>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</si>
  <si>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</si>
  <si>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</si>
  <si>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</si>
  <si>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</si>
  <si>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</si>
  <si>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</si>
  <si>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</si>
  <si>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</si>
  <si>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</si>
  <si>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</si>
  <si>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</si>
  <si>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</si>
  <si>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</si>
  <si>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</si>
  <si>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</si>
  <si>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</si>
  <si>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</si>
  <si>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</si>
  <si>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</si>
  <si>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</si>
  <si>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</si>
  <si>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</si>
  <si>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</si>
  <si>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</si>
  <si>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</si>
  <si>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</si>
  <si>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</si>
  <si>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</si>
  <si>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</si>
  <si>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</si>
  <si>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</si>
  <si>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</si>
  <si>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</si>
  <si>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</si>
  <si>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</si>
  <si>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</si>
  <si>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</si>
  <si>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</si>
  <si>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</si>
  <si>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</si>
  <si>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</si>
  <si>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</si>
  <si>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</si>
  <si>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</si>
  <si>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</si>
  <si>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</si>
  <si>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</si>
  <si>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</si>
  <si>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</si>
  <si>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</si>
  <si>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</si>
  <si>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</si>
  <si>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</si>
  <si>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</si>
  <si>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</si>
  <si>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</si>
  <si>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</si>
  <si>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</si>
  <si>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</si>
  <si>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</si>
  <si>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</si>
  <si>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</si>
  <si>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</si>
  <si>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</si>
  <si>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</si>
  <si>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</si>
  <si>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</si>
  <si>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</si>
  <si>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</si>
  <si>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</si>
  <si>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</si>
  <si>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</si>
  <si>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</si>
  <si>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</si>
  <si>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</si>
  <si>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</si>
  <si>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</si>
  <si>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</si>
  <si>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</si>
  <si>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</si>
  <si>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</si>
  <si>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</si>
  <si>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</si>
  <si>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</si>
  <si>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</si>
  <si>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</si>
  <si>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جملة</t>
  </si>
  <si>
    <t>مربعة</t>
  </si>
  <si>
    <t>اسباني</t>
  </si>
  <si>
    <t>double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</si>
  <si>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</si>
  <si>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</si>
  <si>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</si>
  <si>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</si>
  <si>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</si>
  <si>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</si>
  <si>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</si>
  <si>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</si>
  <si>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</si>
  <si>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</si>
  <si>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</si>
  <si>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</si>
  <si>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</si>
  <si>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</si>
  <si>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</si>
  <si>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A</t>
  </si>
  <si>
    <t>المقاس</t>
  </si>
  <si>
    <t>قطاعي</t>
  </si>
  <si>
    <t>4*4</t>
  </si>
  <si>
    <t>بولي استر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</si>
  <si>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</si>
  <si>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</si>
  <si>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</si>
  <si>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</si>
  <si>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</si>
  <si>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</si>
  <si>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</si>
  <si>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</si>
  <si>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</si>
  <si>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</si>
  <si>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</si>
  <si>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</si>
  <si>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</si>
  <si>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</si>
  <si>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</si>
  <si>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</si>
  <si>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</si>
  <si>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</si>
  <si>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</si>
  <si>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</si>
  <si>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</si>
  <si>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</si>
  <si>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</si>
  <si>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</si>
  <si>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</si>
  <si>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</si>
  <si>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</si>
  <si>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</si>
  <si>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</si>
  <si>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</si>
  <si>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</si>
  <si>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</si>
  <si>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</si>
  <si>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</si>
  <si>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</si>
  <si>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</si>
  <si>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</si>
  <si>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</si>
  <si>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</si>
  <si>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</si>
  <si>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</si>
  <si>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</si>
  <si>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</si>
  <si>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</si>
  <si>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</si>
  <si>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</si>
  <si>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</si>
  <si>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</si>
  <si>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</si>
  <si>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</si>
  <si>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</si>
  <si>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</si>
  <si>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يومية داخلية</t>
  </si>
  <si>
    <t>يومية خارجية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</si>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</sst>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800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5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0" applyBorder="1" xfId="0" applyProtection="1" applyAlignment="1">
      <alignment horizont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9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9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4" applyFont="1" fillId="0" borderId="23" applyBorder="1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  <protection locked="0"/>
    </xf>
    <xf numFmtId="0" fontId="105" applyFont="1" fillId="0" borderId="0" xfId="0" applyProtection="1" applyAlignment="1">
      <alignment horizontal="center" vertical="center" shrinkToFit="1"/>
    </xf>
    <xf numFmtId="0" fontId="105" applyFont="1" fillId="0" borderId="0" xfId="0" applyProtection="1" applyAlignment="1">
      <alignment horizontal="center" shrinkToFit="1"/>
    </xf>
    <xf numFmtId="0" fontId="107" applyFont="1" fillId="0" borderId="0" xfId="0" applyProtection="1" applyAlignment="1">
      <alignment horizontal="center"/>
    </xf>
    <xf numFmtId="2" applyNumberFormat="1" fontId="105" applyFont="1" fillId="12" applyFill="1" borderId="0" xfId="0" applyProtection="1" applyAlignment="1">
      <alignment horizontal="center"/>
    </xf>
    <xf numFmtId="9" applyNumberFormat="1" fontId="106" applyFont="1" fillId="0" borderId="0" xfId="0" applyProtection="1" applyAlignment="1">
      <alignment horizontal="center"/>
    </xf>
    <xf numFmtId="0" fontId="108" applyFont="1" fillId="0" borderId="0" xfId="3" applyProtection="1" applyAlignment="1">
      <alignment horizontal="center"/>
      <protection locked="0"/>
    </xf>
    <xf numFmtId="0" fontId="108" applyFont="1" fillId="0" borderId="0" xfId="0" applyProtection="1" applyAlignment="1">
      <alignment horizontal="center" vertical="center" shrinkToFit="1"/>
      <protection locked="0"/>
    </xf>
    <xf numFmtId="0" fontId="108" applyFont="1" fillId="0" borderId="0" xfId="3" applyProtection="1" applyAlignment="1">
      <alignment horizontal="center" vertical="center" shrinkToFit="1"/>
    </xf>
    <xf numFmtId="0" fontId="108" applyFont="1" fillId="0" borderId="0" xfId="0" applyProtection="1" applyAlignment="1">
      <alignment horizontal="center" vertical="center" shrinkToFit="1"/>
    </xf>
    <xf numFmtId="0" fontId="108" applyFont="1" fillId="0" borderId="0" xfId="3" applyProtection="1" applyAlignment="1">
      <alignment horizontal="center" shrinkToFit="1"/>
    </xf>
    <xf numFmtId="0" fontId="108" applyFont="1" fillId="0" borderId="0" xfId="0" applyProtection="1" applyAlignment="1">
      <alignment horizontal="center" shrinkToFit="1"/>
    </xf>
    <xf numFmtId="0" fontId="108" applyFont="1" fillId="0" borderId="0" xfId="3" applyProtection="1" applyAlignment="1">
      <alignment horizontal="center"/>
    </xf>
    <xf numFmtId="0" fontId="108" applyFont="1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6" applyFont="1" fillId="7" applyFill="1" borderId="0" xfId="0" applyProtection="1" applyAlignment="1">
      <alignment horizontal="center" vertical="center"/>
    </xf>
    <xf numFmtId="166" applyNumberFormat="1" fontId="77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164" applyNumberFormat="1" fontId="85" applyFont="1" fillId="0" borderId="65" applyBorder="1" xfId="1" applyProtection="1" applyAlignment="1">
      <alignment horizontal="center" vertical="center"/>
    </xf>
    <xf numFmtId="164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3" applyNumberFormat="1" fontId="74" applyFont="1" fillId="16" applyFill="1" borderId="0" xfId="0" applyProtection="1" applyAlignment="1">
      <alignment horizontal="right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164" applyNumberFormat="1" fontId="71" applyFont="1" fillId="7" applyFill="1" borderId="25" applyBorder="1" xfId="1" applyProtection="1" applyAlignment="1">
      <alignment horizontal="center"/>
    </xf>
    <xf numFmtId="164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7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1" applyFont="1" fillId="7" applyFill="1" borderId="29" applyBorder="1" xfId="1" applyProtection="1" applyAlignment="1">
      <alignment horizontal="center"/>
    </xf>
    <xf numFmtId="164" applyNumberFormat="1" fontId="71" applyFont="1" fillId="7" applyFill="1" borderId="31" applyBorder="1" xfId="1" applyProtection="1" applyAlignment="1">
      <alignment horizontal="center"/>
    </xf>
    <xf numFmtId="164" applyNumberFormat="1" fontId="87" applyFont="1" fillId="7" applyFill="1" borderId="20" applyBorder="1" xfId="1" applyProtection="1" applyAlignment="1">
      <alignment horizontal="center"/>
    </xf>
    <xf numFmtId="164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164" applyNumberFormat="1" fontId="85" applyFont="1" fillId="0" borderId="67" applyBorder="1" xfId="1" applyProtection="1" applyAlignment="1">
      <alignment horizontal="center" vertical="center"/>
    </xf>
    <xf numFmtId="164" applyNumberFormat="1" fontId="85" applyFont="1" fillId="0" borderId="68" applyBorder="1" xfId="1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0" fontId="106" applyFont="1" fillId="0" borderId="0" xfId="0" applyProtection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2407"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201"/>
    <tableColumn id="2" name="المعدل" dataDxfId="1368"/>
    <tableColumn id="3" name="الوحدة" dataDxfId="2328"/>
    <tableColumn id="4" name="Column4" dataDxfId="233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2319" totalsRowDxfId="2318"/>
    <tableColumn id="2" name="عدد" dataDxfId="2344" totalsRowDxfId="2318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19" totalsRowDxfId="2318"/>
    <tableColumn id="4" name="الوحده" totalsRowLabel="total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BP28</calculatedColumnFormula>
    </tableColumn>
    <tableColumn id="8" name="اجمالي" totalsRowFunction="sum" dataDxfId="2349" totalsRowDxfId="2374">
      <calculatedColumnFormula>BH98*BP99</calculatedColumnFormula>
    </tableColumn>
    <tableColumn id="9" name="%" totalsRowFunction="custom" totalsRowDxfId="2378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2319" totalsRowDxfId="2318"/>
    <tableColumn id="2" name="عدد" dataDxfId="2344" totalsRowDxfId="2318">
      <calculatedColumnFormula>IF((#REF!="بالتات"),0,4)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71" totalsRowDxfId="2380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53" totalsRowDxfId="2373">
      <calculatedColumnFormula>Sheet2!AW26</calculatedColumnFormula>
    </tableColumn>
    <tableColumn id="8" name="اجمالي" totalsRowFunction="sum" dataDxfId="2349" totalsRowDxfId="2374">
      <calculatedColumnFormula>BH84*BP84</calculatedColumnFormula>
    </tableColumn>
    <tableColumn id="9" name="%" totalsRowFunction="custom" totalsRowDxfId="2378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2319"/>
    <tableColumn id="2" name="عدد" totalsRowFunction="sum" dataDxfId="2319">
      <calculatedColumnFormula>BH90*4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71">
      <calculatedColumnFormula>(Table16627394105[[#This Row],[Column1]]*Table16627394105[[#This Row],[Column2]])*Table16627394105[[#This Row],[عدد]]</calculatedColumnFormula>
    </tableColumn>
    <tableColumn id="4" name="الوحده" dataDxfId="2319"/>
    <tableColumn id="5" name="الوزن" totalsRowFunction="custom">
      <totalsRowFormula>(BN93*BH93)+(BH94*BN94)</totalsRowFormula>
    </tableColumn>
    <tableColumn id="6" name="سعر الكيلو" dataDxfId="2344"/>
    <tableColumn id="7" name="سعر الشبك " dataDxfId="2363">
      <calculatedColumnFormula>BN92*$S$2/1000</calculatedColumnFormula>
    </tableColumn>
    <tableColumn id="8" name="اجمالي" totalsRowFunction="sum" dataDxfId="2349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2364"/>
    <tableColumn id="2" name="المعدل" dataDxfId="2364"/>
    <tableColumn id="3" name="الوحدة" dataDxfId="2364"/>
    <tableColumn id="4" name="Column4" dataDxfId="2346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2364"/>
    <tableColumn id="2" name="Column2" dataDxfId="2328"/>
    <tableColumn id="3" name="Column3" dataDxfId="2364"/>
    <tableColumn id="4" name="Column4" dataDxfId="2364"/>
    <tableColumn id="5" name="Column5" dataDxfId="2364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2319" totalsRowDxfId="2318"/>
    <tableColumn id="2" name="عدد" dataDxfId="2386" totalsRowDxfId="2318">
      <calculatedColumnFormula>IF((تسعير!$AU$14="بالتات"),0,BH119-2)</calculatedColumnFormula>
    </tableColumn>
    <tableColumn id="3" name="بيان" totalsRowLabel="Total" dataDxfId="2392" totalsRowDxfId="2318"/>
    <tableColumn id="5" name="اليومية / الاجرة" dataDxfId="2392" totalsRowDxfId="2318"/>
    <tableColumn id="6" name="بدل الوجبة" dataDxfId="2377" totalsRowDxfId="2318"/>
    <tableColumn id="11" name="موقع العمل" dataDxfId="2352" totalsRowDxfId="2318">
      <calculatedColumnFormula>تسعير!$BE$44</calculatedColumnFormula>
    </tableColumn>
    <tableColumn id="10" name="شيفت العمل" dataDxfId="2319" totalsRowDxfId="2318"/>
    <tableColumn id="12" name="Column12" totalsRowFunction="sum" dataDxfId="2371" totalsRowDxfId="2380">
      <calculatedColumnFormula>SUMIF(Table17697899110[Column1],Table1612677697108[[#This Row],[موقع العمل]],$AE$2:$AE$8)</calculatedColumnFormula>
    </tableColumn>
    <tableColumn id="4" name="عدد الايام" dataDxfId="1380" totalsRowDxfId="2318"/>
    <tableColumn id="7" name="اجمالي التكلفة للعامل" dataDxfId="1381" totalsRowDxfId="2373">
      <calculatedColumnFormula>Table1612677697108[[#This Row],[Column12]]</calculatedColumnFormula>
    </tableColumn>
    <tableColumn id="8" name="اجمالي" totalsRowFunction="sum" dataDxfId="2349" totalsRowDxfId="2374">
      <calculatedColumnFormula>BH122*BP122</calculatedColumnFormula>
    </tableColumn>
    <tableColumn id="9" name="%" totalsRowFunction="custom" totalsRowDxfId="2378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2352"/>
    <tableColumn id="2" name="عدد" dataDxfId="2386">
      <calculatedColumnFormula>IF((BL133="الاسكندرية"),0.25,0.1)</calculatedColumnFormula>
    </tableColumn>
    <tableColumn id="3" name="بيان" totalsRowLabel="Total" dataDxfId="2352"/>
    <tableColumn id="11" name="Column2" dataDxfId="2352"/>
    <tableColumn id="10" name="Column1" dataDxfId="2352"/>
    <tableColumn id="12" name="Column12" totalsRowFunction="sum" dataDxfId="2379"/>
    <tableColumn id="4" name="الوحده" dataDxfId="2331"/>
    <tableColumn id="5" name="الوزن" dataDxfId="2352"/>
    <tableColumn id="6" name="سعر الكيلو" dataDxfId="2352"/>
    <tableColumn id="7" name="سعر الشبك " dataDxfId="1379">
      <calculatedColumnFormula>BQ116</calculatedColumnFormula>
    </tableColumn>
    <tableColumn id="8" name="اجمالي" totalsRowFunction="sum" dataDxfId="2349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2364"/>
    <tableColumn id="2" name="خارجي" dataDxfId="2364"/>
    <tableColumn id="3" name="داخلي" dataDxfId="2364"/>
    <tableColumn id="4" name="بدل الوجبة" dataDxfId="2364"/>
    <tableColumn id="5" name="دبابة" dataDxfId="2364"/>
    <tableColumn id="6" name="جامبو" dataDxfId="2364"/>
    <tableColumn id="7" name="الاقامة" dataDxfId="2364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2352"/>
    <tableColumn id="4" name="Column22" dataDxfId="2352"/>
    <tableColumn id="5" name="Column23" dataDxfId="2352"/>
    <tableColumn id="3" name="Column3" dataDxfId="1382">
      <calculatedColumnFormula>IF((BL133="المقطم"),0.3,IF((BL133="التجمع"),0.3,IF((BL133="الشيخ زايد"),0.3,IF((BL133="الاسكندرية"),0.5,0.35))))</calculatedColumnFormula>
    </tableColumn>
    <tableColumn id="2" name="Column2" dataDxfId="2386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2319" totalsRowDxfId="2318"/>
    <tableColumn id="2" name="عدد" dataDxfId="2319" totalsRowDxfId="2318">
      <calculatedColumnFormula>IF(OR((BI69="B11"),(BI69="B12"),(BI69="B21"),(BI69="B22"),(BI69="B31"),(BI69="B32")),3,0)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المسطح" totalsRowFunction="sum" dataDxfId="2371" totalsRowDxfId="2380">
      <calculatedColumnFormula>(Table15880101112[[#This Row],[Column1]]+Table15880101112[[#This Row],[Column2]])*12*Table15880101112[[#This Row],[عدد]]</calculatedColumnFormula>
    </tableColumn>
    <tableColumn id="4" name="الوحده" dataDxfId="2319" totalsRowDxfId="2318"/>
    <tableColumn id="5" name="الوزن" totalsRowFunction="custom" totalsRowDxfId="2318">
      <totalsRowFormula>(BN76*BH76)+(BN77*BH77)+(BN78*BH78)+(BN79*BH79)</totalsRowFormula>
    </tableColumn>
    <tableColumn id="6" name="اجمالي المسطح" totalsRowFunction="sum" dataDxfId="2344" totalsRowDxfId="2318">
      <calculatedColumnFormula>Table15880101112[[#This Row],[المسطح]]*Table15880101112[[#This Row],[عدد]]</calculatedColumnFormula>
    </tableColumn>
    <tableColumn id="7" name="سعر الشبك " dataDxfId="2397" totalsRowDxfId="2373">
      <calculatedColumnFormula>BN76*$S$2/1000</calculatedColumnFormula>
    </tableColumn>
    <tableColumn id="8" name="اجمالي" totalsRowFunction="sum" dataDxfId="2349" totalsRowDxfId="2374">
      <calculatedColumnFormula>BH76*BP76</calculatedColumnFormula>
    </tableColumn>
    <tableColumn id="9" name="%" totalsRowFunction="custom" totalsRowDxfId="2378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2319"/>
    <tableColumn id="2" name="عدد" dataDxfId="1238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198"/>
    <tableColumn id="11" name="Column2" dataDxfId="1369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1370"/>
    <tableColumn id="7" name="سعر الشبك " dataDxfId="209">
      <calculatedColumnFormula>Sheet2!B31</calculatedColumnFormula>
    </tableColumn>
    <tableColumn id="8" name="اجمالي" totalsRowFunction="sum" dataDxfId="2329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2398" totalsRowDxfId="1399"/>
    <tableColumn id="2" name="عدد" totalsRowFunction="custom" totalsRowDxfId="1400">
      <totalsRowFormula>(Table80102113[[#Totals],[price]]*1.1)/(BA72*AY72/10000)</totalsRowFormula>
    </tableColumn>
    <tableColumn id="3" name="طول" dataDxfId="2395" totalsRowDxfId="1398"/>
    <tableColumn id="4" name="Column2" dataDxfId="2398" totalsRowDxfId="2399"/>
    <tableColumn id="5" name="wt/m" dataDxfId="2395" totalsRowDxfId="2396"/>
    <tableColumn id="6" name="price" totalsRowFunction="sum" dataDxfId="1397" totalsRowDxfId="2399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7" dataDxfId="134" totalsRowDxfId="145">
  <autoFilter ref="A2:F23"/>
  <tableColumns count="6">
    <tableColumn id="1" name="Column1" totalsRowLabel="Total" dataDxfId="1401" totalsRowDxfId="2400"/>
    <tableColumn id="2" name="عدد" totalsRowFunction="custom" dataDxfId="2401" totalsRowDxfId="2402">
      <totalsRowFormula>(Table80102114[[#Totals],[price]]*1.1)/(F1*D1/10000)</totalsRowFormula>
    </tableColumn>
    <tableColumn id="3" name="طول" dataDxfId="1401" totalsRowDxfId="2396"/>
    <tableColumn id="4" name="Column2" dataDxfId="1401" totalsRowDxfId="1398"/>
    <tableColumn id="5" name="wt/m" dataDxfId="2403" totalsRowDxfId="2404"/>
    <tableColumn id="6" name="price" totalsRowFunction="sum" dataDxfId="2401" totalsRowDxfId="2399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402" dataDxfId="2403" totalsRowDxfId="145">
  <autoFilter ref="A75:F96"/>
  <tableColumns count="6">
    <tableColumn id="1" name="Column1" totalsRowLabel="Total" dataDxfId="2401" totalsRowDxfId="1399"/>
    <tableColumn id="2" name="عدد" totalsRowFunction="custom" dataDxfId="1401" totalsRowDxfId="1400">
      <totalsRowFormula>(Table80102114115[[#Totals],[price]]*1.1)/(F74*D74/10000)</totalsRowFormula>
    </tableColumn>
    <tableColumn id="3" name="طول" dataDxfId="2405" totalsRowDxfId="2396"/>
    <tableColumn id="4" name="Column2" dataDxfId="2403" totalsRowDxfId="1398"/>
    <tableColumn id="5" name="wt/m" dataDxfId="2401" totalsRowDxfId="2406"/>
    <tableColumn id="6" name="price" totalsRowFunction="sum" dataDxfId="1401" totalsRowDxfId="2406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2319"/>
    <tableColumn id="2" name="عدد" dataDxfId="2319">
      <calculatedColumnFormula>IF((F74="الاسكندرية"),0.25,0.1)</calculatedColumnFormula>
    </tableColumn>
    <tableColumn id="3" name="بيان برجولا رويال" totalsRowLabel="Total" dataDxfId="2319"/>
    <tableColumn id="12" name="Column12" totalsRowFunction="sum" dataDxfId="1366"/>
    <tableColumn id="5" name="Column1" dataDxfId="2319"/>
    <tableColumn id="11" name="العرض" dataDxfId="2330"/>
    <tableColumn id="10" name="الامتداد" dataDxfId="2314"/>
    <tableColumn id="4" name="سعر المتر" dataDxfId="2331"/>
    <tableColumn id="6" name="Column2" dataDxfId="225"/>
    <tableColumn id="7" name="سعر البرجولا كاملة" dataDxfId="2332">
      <calculatedColumnFormula>(K57)</calculatedColumnFormula>
    </tableColumn>
    <tableColumn id="8" name="اجمالي" totalsRowFunction="sum" dataDxfId="2322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2319" totalsRowDxfId="2318"/>
    <tableColumn id="2" name="عدد" dataDxfId="196" totalsRowDxfId="2318">
      <calculatedColumnFormula>B60</calculatedColumnFormula>
    </tableColumn>
    <tableColumn id="3" name="بيان" totalsRowLabel="Total" dataDxfId="226" totalsRowDxfId="2318"/>
    <tableColumn id="5" name="اليومية / الاجرة" dataDxfId="1371" totalsRowDxfId="2318"/>
    <tableColumn id="6" name="بدل الوجبة" dataDxfId="1372" totalsRowDxfId="2318"/>
    <tableColumn id="11" name="موقع العمل" dataDxfId="1369" totalsRowDxfId="2318">
      <calculatedColumnFormula>تسعير!$T$4</calculatedColumnFormula>
    </tableColumn>
    <tableColumn id="10" name="شيفت العمل" dataDxfId="2319" totalsRowDxfId="2318"/>
    <tableColumn id="12" name="Column12" totalsRowFunction="sum" dataDxfId="1366" totalsRowDxfId="1367">
      <calculatedColumnFormula>SUMIF(Table17[Column1],Table1612[[#This Row],[موقع العمل]],$T$2:$T$20)</calculatedColumnFormula>
    </tableColumn>
    <tableColumn id="4" name="عدد الايام" dataDxfId="221" totalsRowDxfId="2318"/>
    <tableColumn id="7" name="اجمالي التكلفة للعامل" dataDxfId="220" totalsRowDxfId="1362">
      <calculatedColumnFormula>Table1612[[#This Row],[Column12]]</calculatedColumnFormula>
    </tableColumn>
    <tableColumn id="8" name="اجمالي" totalsRowFunction="sum" dataDxfId="2329" totalsRowDxfId="1364">
      <calculatedColumnFormula>B63*J63</calculatedColumnFormula>
    </tableColumn>
    <tableColumn id="9" name="%" totalsRowFunction="custom" totalsRowDxfId="1365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740"/>
    <tableColumn id="2" name="خارجي" dataDxfId="1373"/>
    <tableColumn id="3" name="داخلي" dataDxfId="2333"/>
    <tableColumn id="4" name="بدل الوجبة" dataDxfId="1373"/>
    <tableColumn id="5" name="دبابة" dataDxfId="1373"/>
    <tableColumn id="6" name="جامبو" dataDxfId="2334"/>
    <tableColumn id="7" name="الاقامة" dataDxfId="2333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369"/>
    <tableColumn id="4" name="Column22" dataDxfId="2335"/>
    <tableColumn id="5" name="Column23" dataDxfId="2330"/>
    <tableColumn id="3" name="Column3" dataDxfId="197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233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2319" totalsRowDxfId="2318"/>
    <tableColumn id="2" name="عدد" dataDxfId="2319" totalsRowDxfId="2318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المسطح" totalsRowFunction="sum" dataDxfId="2337" totalsRowDxfId="1367">
      <calculatedColumnFormula>(Table118[[#This Row],[Column1]]+Table118[[#This Row],[Column2]])*12*Table118[[#This Row],[عدد]]</calculatedColumnFormula>
    </tableColumn>
    <tableColumn id="4" name="الوحده" dataDxfId="2319" totalsRowDxfId="2318"/>
    <tableColumn id="5" name="الوزن" totalsRowFunction="custom" dataDxfId="2319" totalsRowDxfId="2318">
      <totalsRowFormula>H9*B9+B8*H8+H7*B7</totalsRowFormula>
    </tableColumn>
    <tableColumn id="6" name="اجمالي الميزان" totalsRowFunction="sum" dataDxfId="1358" totalsRowDxfId="2318">
      <calculatedColumnFormula>Table118[[#This Row],[الوزن]]*Table118[[#This Row],[عدد]]</calculatedColumnFormula>
    </tableColumn>
    <tableColumn id="7" name="سعر الشبك " dataDxfId="2321" totalsRowDxfId="2338">
      <calculatedColumnFormula>H6*$H$2/1000</calculatedColumnFormula>
    </tableColumn>
    <tableColumn id="8" name="اجمالي" totalsRowFunction="sum" dataDxfId="2322" totalsRowDxfId="2339">
      <calculatedColumnFormula>B6*J6</calculatedColumnFormula>
    </tableColumn>
    <tableColumn id="9" name="%" totalsRowFunction="custom" totalsRowDxfId="2340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2319" totalsRowDxfId="2318"/>
    <tableColumn id="2" name="عدد" dataDxfId="2341" totalsRowDxfId="2318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19" totalsRowDxfId="2318"/>
    <tableColumn id="4" name="الوحده" totalsRowLabel="total" dataDxfId="2319" totalsRowDxfId="2318"/>
    <tableColumn id="5" name="الوزن" dataDxfId="2320" totalsRowDxfId="2318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2319" totalsRowDxfId="2318">
      <calculatedColumnFormula>Sheet2!B7</calculatedColumnFormula>
    </tableColumn>
    <tableColumn id="7" name="سعر الشبك " dataDxfId="2332" totalsRowDxfId="2323"/>
    <tableColumn id="8" name="اجمالي" totalsRowFunction="sum" dataDxfId="1363" totalsRowDxfId="2324">
      <calculatedColumnFormula>B36*Table1319[[#This Row],[سعر الكيلو]]</calculatedColumnFormula>
    </tableColumn>
    <tableColumn id="9" name="%" totalsRowFunction="custom" totalsRowDxfId="2325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2319"/>
    <tableColumn id="2" name="عدد" dataDxfId="2319">
      <calculatedColumnFormula>IF((تسعير!X30&lt;800),0,IF(AND((تسعير!X30&gt;800),(600&gt;=تسعير!AA32)),1,0))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16">
      <calculatedColumnFormula>(Table1421[[#This Row],[Column1]]+Table1421[[#This Row],[Column2]])*12*Table1421[[#This Row],[عدد]]</calculatedColumnFormula>
    </tableColumn>
    <tableColumn id="4" name="الوحده" dataDxfId="2319"/>
    <tableColumn id="5" name="الوزن" dataDxfId="2319"/>
    <tableColumn id="6" name="سعر الكيلو" totalsRowFunction="sum" dataDxfId="2314">
      <calculatedColumnFormula>Table1421[[#This Row],[الوزن]]*Table1421[[#This Row],[عدد]]</calculatedColumnFormula>
    </tableColumn>
    <tableColumn id="7" name="سعر الشبك " dataDxfId="2321">
      <calculatedColumnFormula>H13*$I$2/1000</calculatedColumnFormula>
    </tableColumn>
    <tableColumn id="8" name="اجمالي" totalsRowFunction="sum" dataDxfId="2342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2319" totalsRowDxfId="2318"/>
    <tableColumn id="2" name="عدد" dataDxfId="2312" totalsRowDxfId="231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26" totalsRowDxfId="2343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1361" totalsRowDxfId="2338">
      <calculatedColumnFormula>Sheet2!B22</calculatedColumnFormula>
    </tableColumn>
    <tableColumn id="8" name="اجمالي" totalsRowFunction="sum" dataDxfId="2329" totalsRowDxfId="2339">
      <calculatedColumnFormula>B18*J18</calculatedColumnFormula>
    </tableColumn>
    <tableColumn id="9" name="%" totalsRowFunction="custom" totalsRowDxfId="2340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2319"/>
    <tableColumn id="2" name="عدد" totalsRowFunction="count" dataDxfId="1358">
      <calculatedColumnFormula>B30*4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37">
      <calculatedColumnFormula>(Table1624[[#This Row],[Column1]]*Table1624[[#This Row],[Column2]])*Table1624[[#This Row],[عدد]]</calculatedColumnFormula>
    </tableColumn>
    <tableColumn id="4" name="الوحده" dataDxfId="2319"/>
    <tableColumn id="5" name="الوزن" totalsRowFunction="custom">
      <totalsRowFormula>H31*B31+H32*B32</totalsRowFormula>
    </tableColumn>
    <tableColumn id="6" name="سعر الكيلو" dataDxfId="2344">
      <calculatedColumnFormula>$H$2/1000</calculatedColumnFormula>
    </tableColumn>
    <tableColumn id="7" name="سعر الشبك " dataDxfId="2345">
      <calculatedColumnFormula>H31*$H$2/1000</calculatedColumnFormula>
    </tableColumn>
    <tableColumn id="8" name="اجمالي" totalsRowFunction="sum" dataDxfId="2322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368"/>
    <tableColumn id="2" name="المعدل" dataDxfId="1368"/>
    <tableColumn id="3" name="الوحدة" dataDxfId="2346"/>
    <tableColumn id="4" name="Column4" dataDxfId="2328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2319"/>
    <tableColumn id="2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2335"/>
    <tableColumn id="11" name="Column2" dataDxfId="2330"/>
    <tableColumn id="10" name="Column1" dataDxfId="1370"/>
    <tableColumn id="12" name="Column12" totalsRowFunction="sum" dataDxfId="1095"/>
    <tableColumn id="4" name="الوحده" dataDxfId="1377"/>
    <tableColumn id="5" name="الوزن" dataDxfId="1378"/>
    <tableColumn id="6" name="سعر الكيلو" dataDxfId="1370"/>
    <tableColumn id="7" name="سعر الشبك " dataDxfId="1379">
      <calculatedColumnFormula>Sheet2!B31</calculatedColumnFormula>
    </tableColumn>
    <tableColumn id="8" name="اجمالي" totalsRowFunction="sum" dataDxfId="1363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2319"/>
    <tableColumn id="2" name="عدد" dataDxfId="2319">
      <calculatedColumnFormula>IF((F79="الاسكندرية"),0.25,0.1)</calculatedColumnFormula>
    </tableColumn>
    <tableColumn id="3" name="بيان برجولا رويال" totalsRowLabel="Total" dataDxfId="2319"/>
    <tableColumn id="12" name="Column12" totalsRowFunction="sum" dataDxfId="2326"/>
    <tableColumn id="5" name="Column1" dataDxfId="2319"/>
    <tableColumn id="11" name="العرض" dataDxfId="1369"/>
    <tableColumn id="10" name="الامتداد" dataDxfId="2344"/>
    <tableColumn id="4" name="سعر المتر" dataDxfId="2347"/>
    <tableColumn id="6" name="Column2" dataDxfId="2348"/>
    <tableColumn id="7" name="سعر البرجولا كاملة" dataDxfId="2332">
      <calculatedColumnFormula>K58</calculatedColumnFormula>
    </tableColumn>
    <tableColumn id="8" name="اجمالي" totalsRowFunction="sum" dataDxfId="2349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2319" totalsRowDxfId="2318"/>
    <tableColumn id="2" name="عدد" dataDxfId="2350" totalsRowDxfId="2318">
      <calculatedColumnFormula>B65</calculatedColumnFormula>
    </tableColumn>
    <tableColumn id="3" name="بيان" totalsRowLabel="Total" dataDxfId="2351" totalsRowDxfId="2318"/>
    <tableColumn id="5" name="اليومية / الاجرة" dataDxfId="120" totalsRowDxfId="2318"/>
    <tableColumn id="6" name="بدل الوجبة" dataDxfId="1372" totalsRowDxfId="2318"/>
    <tableColumn id="11" name="موقع العمل" dataDxfId="2336" totalsRowDxfId="2318">
      <calculatedColumnFormula>تسعير!$T$24</calculatedColumnFormula>
    </tableColumn>
    <tableColumn id="10" name="شيفت العمل" dataDxfId="2319" totalsRowDxfId="2318"/>
    <tableColumn id="12" name="Column12" totalsRowFunction="sum" dataDxfId="1366" totalsRowDxfId="2327">
      <calculatedColumnFormula>SUMIF(Table1731[Column1],Table161229[[#This Row],[موقع العمل]],$T$2:$T$26)</calculatedColumnFormula>
    </tableColumn>
    <tableColumn id="4" name="عدد الايام" dataDxfId="1380" totalsRowDxfId="2318"/>
    <tableColumn id="7" name="اجمالي التكلفة للعامل" dataDxfId="1381" totalsRowDxfId="2323">
      <calculatedColumnFormula>Table161229[[#This Row],[Column12]]</calculatedColumnFormula>
    </tableColumn>
    <tableColumn id="8" name="اجمالي" totalsRowFunction="sum" dataDxfId="2349" totalsRowDxfId="2324">
      <calculatedColumnFormula>B68*J68</calculatedColumnFormula>
    </tableColumn>
    <tableColumn id="9" name="%" totalsRowFunction="custom" totalsRowDxfId="2325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2335" totalsRowDxfId="2318"/>
    <tableColumn id="2" name="عدد" dataDxfId="2330" totalsRowDxfId="2318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2330" totalsRowDxfId="2318"/>
    <tableColumn id="11" name="Column2" dataDxfId="1369" totalsRowDxfId="2318"/>
    <tableColumn id="10" name="Column1" dataDxfId="2352" totalsRowDxfId="2318"/>
    <tableColumn id="12" name="Column12" totalsRowFunction="sum" dataDxfId="213" totalsRowDxfId="2343"/>
    <tableColumn id="4" name="الوحده" dataDxfId="2331" totalsRowDxfId="2318"/>
    <tableColumn id="5" name="الوزن" dataDxfId="2352" totalsRowDxfId="2318"/>
    <tableColumn id="6" name="سعر الكيلو" dataDxfId="2352" totalsRowDxfId="2318"/>
    <tableColumn id="7" name="سعر الشبك " dataDxfId="2353" totalsRowDxfId="1362"/>
    <tableColumn id="8" name="اجمالي" totalsRowFunction="sum" dataDxfId="2349" totalsRowDxfId="1364">
      <calculatedColumnFormula>B64*Table161330[[#This Row],[سعر الشبك ]]</calculatedColumnFormula>
    </tableColumn>
    <tableColumn id="9" name="%" totalsRowFunction="custom" totalsRowDxfId="104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2354"/>
    <tableColumn id="2" name="خارجي" dataDxfId="2346"/>
    <tableColumn id="3" name="داخلي" dataDxfId="2328"/>
    <tableColumn id="4" name="بدل الوجبة" dataDxfId="1368"/>
    <tableColumn id="5" name="دبابة" dataDxfId="2354"/>
    <tableColumn id="6" name="جامبو" dataDxfId="2346"/>
    <tableColumn id="7" name="الاقامة" dataDxfId="2328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2352"/>
    <tableColumn id="4" name="Column22" dataDxfId="2352"/>
    <tableColumn id="5" name="Column23" dataDxfId="2352"/>
    <tableColumn id="3" name="Column3" dataDxfId="1382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369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2334" totalsRowDxfId="887"/>
    <tableColumn id="6" name="الطول بالمتر" dataDxfId="2333" totalsRowDxfId="1383"/>
    <tableColumn id="5" name="وزن المتر " dataDxfId="1373" totalsRowDxfId="2355"/>
    <tableColumn id="4" name="سعر الكيلو" dataDxfId="2356" totalsRowDxfId="1383"/>
    <tableColumn id="3" name="اجمالي عدد " totalsRowFunction="custom" totalsRowDxfId="1383">
      <totalsRowFormula>Table8[[#Totals],[اجمالي التكلفة]]/B1</totalsRowFormula>
    </tableColumn>
    <tableColumn id="2" name="اجمالي التكلفة" totalsRowFunction="sum" dataDxfId="896" totalsRowDxfId="895">
      <calculatedColumnFormula>B3*D3</calculatedColumnFormula>
    </tableColumn>
    <tableColumn id="9" name="Column1" dataDxfId="2334" totalsRowDxfId="2357"/>
    <tableColumn id="10" name="Column2" dataDxfId="2333" totalsRowDxfId="2355"/>
    <tableColumn id="11" name="Column3" dataDxfId="1373" totalsRowDxfId="2357"/>
    <tableColumn id="12" name="Column4" dataDxfId="2358" totalsRowDxfId="235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19" totalsRowDxfId="2318"/>
    <tableColumn id="4" name="الوحده" totalsRowLabel="total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21" totalsRowDxfId="2359">
      <calculatedColumnFormula>Sheet2!B2</calculatedColumnFormula>
    </tableColumn>
    <tableColumn id="8" name="اجمالي" totalsRowFunction="sum" dataDxfId="2349" totalsRowDxfId="2360">
      <calculatedColumnFormula>M26*U26</calculatedColumnFormula>
    </tableColumn>
    <tableColumn id="9" name="%" totalsRowFunction="custom" totalsRowDxfId="1365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1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61" totalsRowDxfId="2327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1361" totalsRowDxfId="2338">
      <calculatedColumnFormula>Sheet2!B24</calculatedColumnFormula>
    </tableColumn>
    <tableColumn id="8" name="اجمالي" totalsRowFunction="sum" dataDxfId="2349" totalsRowDxfId="2339">
      <calculatedColumnFormula>M11*U11</calculatedColumnFormula>
    </tableColumn>
    <tableColumn id="9" name="%" totalsRowFunction="custom" totalsRowDxfId="2362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2319"/>
    <tableColumn id="2" name="عدد" totalsRowFunction="count" dataDxfId="2319">
      <calculatedColumnFormula>M20*4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37">
      <calculatedColumnFormula>(Table1662[[#This Row],[Column1]]*Table1662[[#This Row],[Column2]])*Table1662[[#This Row],[عدد]]</calculatedColumnFormula>
    </tableColumn>
    <tableColumn id="4" name="الوحده" dataDxfId="2319"/>
    <tableColumn id="5" name="الوزن" totalsRowFunction="custom">
      <totalsRowFormula>(S21*M21)+(M22*S22)</totalsRowFormula>
    </tableColumn>
    <tableColumn id="6" name="سعر الكيلو" dataDxfId="2344"/>
    <tableColumn id="7" name="سعر الشبك " dataDxfId="2363">
      <calculatedColumnFormula>S21*$S$2/1000</calculatedColumnFormula>
    </tableColumn>
    <tableColumn id="8" name="اجمالي" totalsRowFunction="sum" dataDxfId="2349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1368"/>
    <tableColumn id="2" name="المعدل" dataDxfId="2364"/>
    <tableColumn id="3" name="الوحدة" dataDxfId="2364"/>
    <tableColumn id="4" name="Column4" dataDxfId="2365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2364"/>
    <tableColumn id="2" name="Column2" dataDxfId="2328"/>
    <tableColumn id="3" name="Column3" dataDxfId="2364"/>
    <tableColumn id="4" name="Column4" dataDxfId="2364"/>
    <tableColumn id="5" name="Column5" dataDxfId="2364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2319" totalsRowDxfId="2318"/>
    <tableColumn id="2" name="عدد" dataDxfId="2336" totalsRowDxfId="2318">
      <calculatedColumnFormula>IF((تسعير!$AU$14="بالتات"),0,M52-2)</calculatedColumnFormula>
    </tableColumn>
    <tableColumn id="3" name="بيان" totalsRowLabel="Total" dataDxfId="1371" totalsRowDxfId="2318"/>
    <tableColumn id="5" name="اليومية / الاجرة" dataDxfId="1371" totalsRowDxfId="2318"/>
    <tableColumn id="6" name="بدل الوجبة" dataDxfId="1372" totalsRowDxfId="2318"/>
    <tableColumn id="11" name="موقع العمل" dataDxfId="2352" totalsRowDxfId="2318">
      <calculatedColumnFormula>تسعير!$AT$4</calculatedColumnFormula>
    </tableColumn>
    <tableColumn id="10" name="شيفت العمل" dataDxfId="2319" totalsRowDxfId="2318"/>
    <tableColumn id="12" name="Column12" totalsRowFunction="sum" dataDxfId="2326" totalsRowDxfId="1367">
      <calculatedColumnFormula>SUMIF(Table1769[Column1],Table161267[[#This Row],[موقع العمل]],$AE$2:$AE$8)</calculatedColumnFormula>
    </tableColumn>
    <tableColumn id="4" name="عدد الايام" dataDxfId="2366" totalsRowDxfId="2318"/>
    <tableColumn id="7" name="اجمالي التكلفة للعامل" dataDxfId="2367" totalsRowDxfId="2323">
      <calculatedColumnFormula>Table161267[[#This Row],[Column12]]</calculatedColumnFormula>
    </tableColumn>
    <tableColumn id="8" name="اجمالي" totalsRowFunction="sum" dataDxfId="2349" totalsRowDxfId="2324">
      <calculatedColumnFormula>M55*U55</calculatedColumnFormula>
    </tableColumn>
    <tableColumn id="9" name="%" totalsRowFunction="custom" totalsRowDxfId="2340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2352"/>
    <tableColumn id="2" name="عدد" dataDxfId="2335">
      <calculatedColumnFormula>IF((Q65="الاسكندرية"),0.25,0.1)</calculatedColumnFormula>
    </tableColumn>
    <tableColumn id="3" name="بيان" totalsRowLabel="Total" dataDxfId="2352"/>
    <tableColumn id="11" name="Column2" dataDxfId="2352"/>
    <tableColumn id="10" name="Column1" dataDxfId="2352"/>
    <tableColumn id="12" name="Column12" totalsRowFunction="sum" dataDxfId="1384"/>
    <tableColumn id="4" name="الوحده" dataDxfId="2347"/>
    <tableColumn id="5" name="الوزن" dataDxfId="2352"/>
    <tableColumn id="6" name="سعر الكيلو" dataDxfId="2352"/>
    <tableColumn id="7" name="سعر الشبك " dataDxfId="1379">
      <calculatedColumnFormula>V48</calculatedColumnFormula>
    </tableColumn>
    <tableColumn id="8" name="اجمالي" totalsRowFunction="sum" dataDxfId="2349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2364"/>
    <tableColumn id="2" name="خارجي" dataDxfId="2364"/>
    <tableColumn id="3" name="داخلي" dataDxfId="2364"/>
    <tableColumn id="4" name="بدل الوجبة" dataDxfId="2364"/>
    <tableColumn id="5" name="دبابة" dataDxfId="2364"/>
    <tableColumn id="6" name="جامبو" dataDxfId="2364"/>
    <tableColumn id="7" name="الاقامة" dataDxfId="2364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2352"/>
    <tableColumn id="4" name="Column22" dataDxfId="2352"/>
    <tableColumn id="5" name="Column23" dataDxfId="2352"/>
    <tableColumn id="3" name="Column3" dataDxfId="2368">
      <calculatedColumnFormula>IF((Q66="المقطم"),0.3,IF((Q66="التجمع"),0.3,IF((Q66="الشيخ زايد"),0.3,IF((Q66="الاسكندرية"),0.5,0.35))))</calculatedColumnFormula>
    </tableColumn>
    <tableColumn id="2" name="Column2" dataDxfId="1369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2319"/>
    <tableColumn id="2" name="عدد" dataDxfId="2319">
      <calculatedColumnFormula>IF((N2="A1"),2,IF((N2="A2"),3,IF((N2="B1"),2.5,IF((N2="B2"),3,0))))</calculatedColumnFormula>
    </tableColumn>
    <tableColumn id="3" name="بيان" totalsRowLabel="Total" dataDxfId="2319"/>
    <tableColumn id="11" name="Column2" dataDxfId="2319"/>
    <tableColumn id="10" name="Column1" dataDxfId="2319"/>
    <tableColumn id="12" name="المسطح" totalsRowFunction="sum" dataDxfId="1366">
      <calculatedColumnFormula>(Table158[[#This Row],[Column1]]+Table158[[#This Row],[Column2]])*12*Table158[[#This Row],[عدد]]</calculatedColumnFormula>
    </tableColumn>
    <tableColumn id="4" name="الوحده" dataDxfId="2319"/>
    <tableColumn id="5" name="الوزن" totalsRowFunction="custom">
      <totalsRowFormula>(S7*M7)</totalsRowFormula>
    </tableColumn>
    <tableColumn id="6" name="سعر الكيلو" totalsRowFunction="sum" dataDxfId="2344">
      <calculatedColumnFormula>Table158[[#This Row],[المسطح]]*Table158[[#This Row],[عدد]]</calculatedColumnFormula>
    </tableColumn>
    <tableColumn id="7" name="سعر الشبك " dataDxfId="178">
      <calculatedColumnFormula>S6*$S$2/1000</calculatedColumnFormula>
    </tableColumn>
    <tableColumn id="8" name="اجمالي" totalsRowFunction="sum" dataDxfId="2349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2358" totalsRowDxfId="1383"/>
    <tableColumn id="6" name="الطول بالمتر" dataDxfId="2358" totalsRowDxfId="2369"/>
    <tableColumn id="5" name="وزن المتر " dataDxfId="2358" totalsRowDxfId="2357"/>
    <tableColumn id="4" name="سعر الكيلو" dataDxfId="2358" totalsRowDxfId="2355"/>
    <tableColumn id="3" name="اجمالي عدد " totalsRowFunction="custom" totalsRowDxfId="1383">
      <totalsRowFormula>Table823[[#Totals],[اجمالي التكلفة]]/B1</totalsRowFormula>
    </tableColumn>
    <tableColumn id="2" name="اجمالي التكلفة" totalsRowFunction="sum" dataDxfId="1385" totalsRowDxfId="1386"/>
    <tableColumn id="9" name="Column1" dataDxfId="2358" totalsRowDxfId="2370"/>
    <tableColumn id="10" name="Column2" dataDxfId="2358" totalsRowDxfId="2370"/>
    <tableColumn id="11" name="Column3" dataDxfId="2358" totalsRowDxfId="2370"/>
    <tableColumn id="12" name="Column4" dataDxfId="2358" totalsRowDxfId="2370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9">
  <autoFilter ref="A11:B59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19" totalsRowDxfId="2318"/>
    <tableColumn id="4" name="الوحده" totalsRowLabel="total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1362">
      <calculatedColumnFormula>Sheet2!B2</calculatedColumnFormula>
    </tableColumn>
    <tableColumn id="8" name="اجمالي" totalsRowFunction="sum" dataDxfId="2349" totalsRowDxfId="1364">
      <calculatedColumnFormula>M26*U26</calculatedColumnFormula>
    </tableColumn>
    <tableColumn id="9" name="%" totalsRowFunction="custom" totalsRowDxfId="2325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71" totalsRowDxfId="2372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Sheet2!B24</calculatedColumnFormula>
    </tableColumn>
    <tableColumn id="8" name="اجمالي" totalsRowFunction="sum" dataDxfId="2349" totalsRowDxfId="2374">
      <calculatedColumnFormula>M11*U11</calculatedColumnFormula>
    </tableColumn>
    <tableColumn id="9" name="%" totalsRowFunction="custom" totalsRowDxfId="1365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2319"/>
    <tableColumn id="2" name="عدد" totalsRowFunction="count" dataDxfId="2319">
      <calculatedColumnFormula>M20*4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71">
      <calculatedColumnFormula>(Table166241[[#This Row],[Column1]]*Table166241[[#This Row],[Column2]])*Table166241[[#This Row],[عدد]]</calculatedColumnFormula>
    </tableColumn>
    <tableColumn id="4" name="الوحده" dataDxfId="2319"/>
    <tableColumn id="5" name="الوزن" totalsRowFunction="custom">
      <totalsRowFormula>(S21*M21)+(M22*S22)</totalsRowFormula>
    </tableColumn>
    <tableColumn id="6" name="سعر الكيلو" dataDxfId="2344"/>
    <tableColumn id="7" name="سعر الشبك " dataDxfId="2363">
      <calculatedColumnFormula>S21*$S$2/1000</calculatedColumnFormula>
    </tableColumn>
    <tableColumn id="8" name="اجمالي" totalsRowFunction="sum" dataDxfId="2349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2364"/>
    <tableColumn id="2" name="المعدل" dataDxfId="2364"/>
    <tableColumn id="3" name="الوحدة" dataDxfId="2364"/>
    <tableColumn id="4" name="Column4" dataDxfId="1368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2319" totalsRowDxfId="2318"/>
    <tableColumn id="2" name="عدد" dataDxfId="2375" totalsRowDxfId="2318">
      <calculatedColumnFormula>IF((تسعير!$BF$14="بالتات"),0,M52-2)</calculatedColumnFormula>
    </tableColumn>
    <tableColumn id="3" name="بيان" totalsRowLabel="Total" dataDxfId="2376" totalsRowDxfId="2318"/>
    <tableColumn id="5" name="اليومية / الاجرة" dataDxfId="2351" totalsRowDxfId="2318"/>
    <tableColumn id="6" name="بدل الوجبة" dataDxfId="2377" totalsRowDxfId="2318"/>
    <tableColumn id="11" name="موقع العمل" dataDxfId="2352" totalsRowDxfId="2318">
      <calculatedColumnFormula>تسعير!$BE$4</calculatedColumnFormula>
    </tableColumn>
    <tableColumn id="10" name="شيفت العمل" dataDxfId="2319" totalsRowDxfId="2318"/>
    <tableColumn id="12" name="Column12" totalsRowFunction="sum" dataDxfId="2371" totalsRowDxfId="2343"/>
    <tableColumn id="4" name="عدد الايام" dataDxfId="1380" totalsRowDxfId="2318"/>
    <tableColumn id="7" name="اجمالي التكلفة للعامل" dataDxfId="1381" totalsRowDxfId="2373">
      <calculatedColumnFormula>Table16126744[[#This Row],[Column12]]</calculatedColumnFormula>
    </tableColumn>
    <tableColumn id="8" name="اجمالي" totalsRowFunction="sum" dataDxfId="2349" totalsRowDxfId="2374">
      <calculatedColumnFormula>M55*U55</calculatedColumnFormula>
    </tableColumn>
    <tableColumn id="9" name="%" totalsRowFunction="custom" totalsRowDxfId="2378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2352"/>
    <tableColumn id="2" name="عدد" dataDxfId="2350">
      <calculatedColumnFormula>IF((Q65="الاسكندرية"),0.25,0.1)</calculatedColumnFormula>
    </tableColumn>
    <tableColumn id="3" name="بيان" totalsRowLabel="Total" dataDxfId="2352"/>
    <tableColumn id="11" name="Column2" dataDxfId="2352"/>
    <tableColumn id="10" name="Column1" dataDxfId="2352"/>
    <tableColumn id="12" name="Column12" totalsRowFunction="sum" dataDxfId="2379"/>
    <tableColumn id="4" name="الوحده" dataDxfId="2331"/>
    <tableColumn id="5" name="الوزن" dataDxfId="2352"/>
    <tableColumn id="6" name="سعر الكيلو" dataDxfId="2352"/>
    <tableColumn id="7" name="سعر الشبك " dataDxfId="1379">
      <calculatedColumnFormula>V48</calculatedColumnFormula>
    </tableColumn>
    <tableColumn id="8" name="اجمالي" totalsRowFunction="sum" dataDxfId="2349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2358"/>
    <tableColumn id="2" name="خارجي" dataDxfId="2358"/>
    <tableColumn id="3" name="داخلي" dataDxfId="2358"/>
    <tableColumn id="4" name="بدل الوجبة" dataDxfId="2358"/>
    <tableColumn id="5" name="دبابة" dataDxfId="2358"/>
    <tableColumn id="6" name="جامبو" dataDxfId="2358"/>
    <tableColumn id="7" name="الاقامة" dataDxfId="2358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2352"/>
    <tableColumn id="4" name="Column22" dataDxfId="2352"/>
    <tableColumn id="5" name="Column23" dataDxfId="2352"/>
    <tableColumn id="3" name="Column3" dataDxfId="1382">
      <calculatedColumnFormula>IF((Q66="المقطم"),0.3,IF((Q66="التجمع"),0.3,IF((Q66="الشيخ زايد"),0.3,IF((Q66="الاسكندرية"),0.5,0.35))))</calculatedColumnFormula>
    </tableColumn>
    <tableColumn id="2" name="Column2" dataDxfId="2336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2319"/>
    <tableColumn id="2" name="عدد" dataDxfId="2319">
      <calculatedColumnFormula>IF((N2="c1"),3,IF((N2="c2"),4,IF((N2="d1"),4,IF((N2="d2"),5,0))))</calculatedColumnFormula>
    </tableColumn>
    <tableColumn id="3" name="بيان" totalsRowLabel="Total" dataDxfId="2319"/>
    <tableColumn id="11" name="Column2" dataDxfId="2319"/>
    <tableColumn id="10" name="Column1" dataDxfId="2319"/>
    <tableColumn id="12" name="المسطح" totalsRowFunction="sum" dataDxfId="2371">
      <calculatedColumnFormula>(Table15855[[#This Row],[Column1]]+Table15855[[#This Row],[Column2]])*12*Table15855[[#This Row],[عدد]]</calculatedColumnFormula>
    </tableColumn>
    <tableColumn id="4" name="الوحده" dataDxfId="2319"/>
    <tableColumn id="5" name="الوزن" totalsRowFunction="custom">
      <totalsRowFormula>(S7*M7)</totalsRowFormula>
    </tableColumn>
    <tableColumn id="6" name="سعر الكيلو" dataDxfId="2344"/>
    <tableColumn id="7" name="سعر الشبك " dataDxfId="1387">
      <calculatedColumnFormula>S6*$S$2/1000</calculatedColumnFormula>
    </tableColumn>
    <tableColumn id="8" name="اجمالي" totalsRowFunction="sum" dataDxfId="2349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2358"/>
    <tableColumn id="2" name="المقاس" dataDxfId="2358"/>
    <tableColumn id="4" name="ميزان" dataDxfId="756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183" totalsRowDxfId="17"/>
    <tableColumn id="2" name="عدد" dataDxfId="1358" totalsRowDxfId="1359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2312" totalsRowDxfId="2313"/>
    <tableColumn id="11" name="Column2" dataDxfId="1358" totalsRowDxfId="1359"/>
    <tableColumn id="10" name="Column1" dataDxfId="1358" totalsRowDxfId="1359"/>
    <tableColumn id="12" name="المسطح" totalsRowFunction="sum" dataDxfId="185" totalsRowDxfId="18">
      <calculatedColumnFormula>(Table1[[#This Row],[Column1]]+Table1[[#This Row],[Column2]])*12*Table1[[#This Row],[عدد]]</calculatedColumnFormula>
    </tableColumn>
    <tableColumn id="4" name="الوحده" dataDxfId="2314" totalsRowDxfId="2315"/>
    <tableColumn id="5" name="الوزن" totalsRowFunction="custom" totalsRowDxfId="2313">
      <totalsRowFormula>(H6*B6)+(H8*B8)+(H7*B7)</totalsRowFormula>
    </tableColumn>
    <tableColumn id="6" name="مسطح" dataDxfId="180" totalsRowDxfId="2315"/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755"/>
    <tableColumn id="2" name="Column2" dataDxfId="2358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2358" totalsRowDxfId="775"/>
    <tableColumn id="2" name="عدد/الشمسية" dataDxfId="774" totalsRowDxfId="771"/>
    <tableColumn id="3" name="سعر الوحدة" dataDxfId="2358" totalsRowDxfId="1388"/>
    <tableColumn id="4" name="قيمة" totalsRowFunction="sum" dataDxfId="2358" totalsRowDxfId="769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2358"/>
    <tableColumn id="2" name="امتار عادية" dataDxfId="2358"/>
    <tableColumn id="4" name="امتار single" dataDxfId="2358"/>
    <tableColumn id="6" name="امتار douple" dataDxfId="2358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2358"/>
    <tableColumn id="2" name="Column2" dataDxfId="2358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758"/>
    <tableColumn id="2" name="الناتج" dataDxfId="759"/>
    <tableColumn id="3" name="Column1" dataDxfId="1389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757"/>
    <tableColumn id="4" name="ميزان" dataDxfId="2356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391"/>
    <tableColumn id="2" name="Column2" dataDxfId="2358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2358" totalsRowDxfId="2327"/>
    <tableColumn id="2" name="عدد/الشمسية" dataDxfId="751" totalsRowDxfId="1367"/>
    <tableColumn id="3" name="سعر الوحدة" dataDxfId="2358" totalsRowDxfId="2380"/>
    <tableColumn id="4" name="قيمة" totalsRowFunction="sum" dataDxfId="2358" totalsRowDxfId="2380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2358"/>
    <tableColumn id="2" name="امتار عادية" dataDxfId="2358"/>
    <tableColumn id="4" name="امتار single" dataDxfId="2358"/>
    <tableColumn id="6" name="امتار douple" dataDxfId="2358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2312" totalsRowDxfId="2313"/>
    <tableColumn id="2" name="عدد" dataDxfId="2316" totalsRowDxfId="1359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2314" totalsRowDxfId="2317"/>
    <tableColumn id="11" name="Column2" dataDxfId="2312" totalsRowDxfId="2315"/>
    <tableColumn id="10" name="Column1" dataDxfId="1358" totalsRowDxfId="2313"/>
    <tableColumn id="12" name="Column12" dataDxfId="2316" totalsRowDxfId="1359"/>
    <tableColumn id="4" name="الوحده" totalsRowLabel="total" dataDxfId="2314" totalsRowDxfId="2318"/>
    <tableColumn id="5" name="الوزن" dataDxfId="2312" totalsRowDxfId="2318"/>
    <tableColumn id="6" name="سعر الكيلو" dataDxfId="1358" totalsRowDxfId="2318"/>
    <tableColumn id="7" name="سعر الشبك " dataDxfId="1361" totalsRowDxfId="1362">
      <calculatedColumnFormula>Sheet2!B8</calculatedColumnFormula>
    </tableColumn>
    <tableColumn id="8" name="اجمالي" totalsRowFunction="sum" dataDxfId="1363" totalsRowDxfId="1364">
      <calculatedColumnFormula>B35*J35</calculatedColumnFormula>
    </tableColumn>
    <tableColumn id="9" name="%" totalsRowFunction="custom" totalsRowDxfId="1365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2358"/>
    <tableColumn id="2" name="Column2" dataDxfId="2358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735"/>
    <tableColumn id="2" name="Column2" dataDxfId="1392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2381"/>
    <tableColumn id="2" name="الناتج" dataDxfId="736"/>
    <tableColumn id="3" name="Column1" dataDxfId="1392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713" totalsRowDxfId="6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Table12[[#This Row],[سعر]]*Table12[[#This Row],[ميزان]]*Table12[[#This Row],[عدد]]</calculatedColumnFormula>
    </tableColumn>
    <tableColumn id="6" name="Column6" totalsRowFunction="custom" totalsRowDxfId="238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2335" totalsRowDxfId="2318">
      <calculatedColumnFormula>I28</calculatedColumnFormula>
    </tableColumn>
    <tableColumn id="3" name="بيان" totalsRowLabel="Total" dataDxfId="706" totalsRowDxfId="2318"/>
    <tableColumn id="5" name="اليومية / الاجرة" dataDxfId="2376" totalsRowDxfId="2318"/>
    <tableColumn id="6" name="بدل الوجبة" dataDxfId="2348" totalsRowDxfId="2318"/>
    <tableColumn id="11" name="موقع العمل" dataDxfId="2352" totalsRowDxfId="2318">
      <calculatedColumnFormula>تسعير!$T$45</calculatedColumnFormula>
    </tableColumn>
    <tableColumn id="10" name="شيفت العمل" dataDxfId="2319" totalsRowDxfId="2318"/>
    <tableColumn id="12" name="Column12" totalsRowFunction="sum" dataDxfId="2371" totalsRowDxfId="2380">
      <calculatedColumnFormula>SUMIF(Table17[Column1],Table161243[[#This Row],[موقع العمل]],Table17[الاقامة])</calculatedColumnFormula>
    </tableColumn>
    <tableColumn id="4" name="عدد الايام" dataDxfId="1380" totalsRowDxfId="2318"/>
    <tableColumn id="7" name="اجمالي التكلفة للعامل" dataDxfId="1381" totalsRowDxfId="2373">
      <calculatedColumnFormula>Table161243[[#This Row],[Column12]]</calculatedColumnFormula>
    </tableColumn>
    <tableColumn id="8" name="اجمالي" totalsRowFunction="sum" dataDxfId="2349" totalsRowDxfId="2374">
      <calculatedColumnFormula>I31*Q31</calculatedColumnFormula>
    </tableColumn>
    <tableColumn id="9" name="%" totalsRowFunction="custom" totalsRowDxfId="2378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2352"/>
    <tableColumn id="4" name="Column22" dataDxfId="2352"/>
    <tableColumn id="5" name="Column23" dataDxfId="2352"/>
    <tableColumn id="3" name="Column3" dataDxfId="1382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233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713" totalsRowDxfId="6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2382">
      <calculatedColumnFormula>Table1257[[#This Row],[سعر]]*Table1257[[#This Row],[ميزان]]*Table1257[[#This Row],[عدد]]</calculatedColumnFormula>
    </tableColumn>
    <tableColumn id="6" name="Column6" totalsRowFunction="custom" totalsRowDxfId="1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369" totalsRowDxfId="2318">
      <calculatedColumnFormula>I61</calculatedColumnFormula>
    </tableColumn>
    <tableColumn id="3" name="بيان" totalsRowLabel="Total" dataDxfId="1396" totalsRowDxfId="2318"/>
    <tableColumn id="5" name="اليومية / الاجرة" dataDxfId="2351" totalsRowDxfId="2318"/>
    <tableColumn id="6" name="بدل الوجبة" dataDxfId="2377" totalsRowDxfId="2318"/>
    <tableColumn id="11" name="موقع العمل" dataDxfId="2352" totalsRowDxfId="2318">
      <calculatedColumnFormula>تسعير!$T$63</calculatedColumnFormula>
    </tableColumn>
    <tableColumn id="10" name="شيفت العمل" dataDxfId="2319" totalsRowDxfId="2318"/>
    <tableColumn id="12" name="Column12" totalsRowFunction="sum" dataDxfId="2371" totalsRowDxfId="2380">
      <calculatedColumnFormula>SUMIF(Table17[Column1],Table16124360[[#This Row],[موقع العمل]],Table17[الاقامة])</calculatedColumnFormula>
    </tableColumn>
    <tableColumn id="4" name="عدد الايام" dataDxfId="2383" totalsRowDxfId="2318"/>
    <tableColumn id="7" name="اجمالي التكلفة للعامل" dataDxfId="2384" totalsRowDxfId="2373">
      <calculatedColumnFormula>Table16124360[[#This Row],[Column12]]</calculatedColumnFormula>
    </tableColumn>
    <tableColumn id="8" name="اجمالي" totalsRowFunction="sum" dataDxfId="2349" totalsRowDxfId="2374">
      <calculatedColumnFormula>I64*Q64</calculatedColumnFormula>
    </tableColumn>
    <tableColumn id="9" name="%" totalsRowFunction="custom" totalsRowDxfId="2378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2352"/>
    <tableColumn id="4" name="Column22" dataDxfId="2352"/>
    <tableColumn id="5" name="Column23" dataDxfId="2352"/>
    <tableColumn id="3" name="Column3" dataDxfId="2385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2386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19" totalsRowDxfId="2318"/>
    <tableColumn id="4" name="الوحده" totalsRowLabel="total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Sheet2!B6</calculatedColumnFormula>
    </tableColumn>
    <tableColumn id="8" name="اجمالي" totalsRowFunction="sum" dataDxfId="2349" totalsRowDxfId="2374">
      <calculatedColumnFormula>M28*U28</calculatedColumnFormula>
    </tableColumn>
    <tableColumn id="9" name="%" totalsRowFunction="custom" totalsRowDxfId="2378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2319"/>
    <tableColumn id="2" name="عدد" dataDxfId="2319">
      <calculatedColumnFormula>IF((تسعير!X7&lt;800),0,IF(AND((تسعير!X7&gt;800),(600&gt;=تسعير!AA9)),1,0))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20">
      <calculatedColumnFormula>(Table14[[#This Row],[Column1]]+Table14[[#This Row],[Column2]])*12*Table14[[#This Row],[عدد]]</calculatedColumnFormula>
    </tableColumn>
    <tableColumn id="4" name="الوحده" dataDxfId="2319"/>
    <tableColumn id="5" name="الوزن" totalsRowFunction="custom">
      <totalsRowFormula>H12*B12+H13*B13</totalsRowFormula>
    </tableColumn>
    <tableColumn id="6" name="مسطح" dataDxfId="2312">
      <calculatedColumnFormula>Table14[[#This Row],[Column12]]*Table14[[#This Row],[عدد]]</calculatedColumnFormula>
    </tableColumn>
    <tableColumn id="7" name="سعر الشبك " dataDxfId="2321">
      <calculatedColumnFormula>H12*$I$2/1000</calculatedColumnFormula>
    </tableColumn>
    <tableColumn id="8" name="اجمالي" totalsRowFunction="sum" dataDxfId="2322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71" totalsRowDxfId="2380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Sheet2!B26</calculatedColumnFormula>
    </tableColumn>
    <tableColumn id="8" name="اجمالي" totalsRowFunction="sum" dataDxfId="2349" totalsRowDxfId="2374">
      <calculatedColumnFormula>M14*U14</calculatedColumnFormula>
    </tableColumn>
    <tableColumn id="9" name="%" totalsRowFunction="custom" totalsRowDxfId="2378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2319"/>
    <tableColumn id="2" name="عدد" totalsRowFunction="count" dataDxfId="2319">
      <calculatedColumnFormula>M20*4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71">
      <calculatedColumnFormula>(Table166273[[#This Row],[Column1]]*Table166273[[#This Row],[Column2]])*Table166273[[#This Row],[عدد]]</calculatedColumnFormula>
    </tableColumn>
    <tableColumn id="4" name="الوحده" dataDxfId="2319"/>
    <tableColumn id="5" name="الوزن" totalsRowFunction="custom">
      <totalsRowFormula>(S23*M23)+(M24*S24)</totalsRowFormula>
    </tableColumn>
    <tableColumn id="6" name="سعر الكيلو" dataDxfId="2344"/>
    <tableColumn id="7" name="سعر الشبك " dataDxfId="2363">
      <calculatedColumnFormula>S22*$S$2/1000</calculatedColumnFormula>
    </tableColumn>
    <tableColumn id="8" name="اجمالي" totalsRowFunction="sum" dataDxfId="2349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2364"/>
    <tableColumn id="2" name="المعدل" dataDxfId="2364"/>
    <tableColumn id="3" name="الوحدة" dataDxfId="2364"/>
    <tableColumn id="4" name="Column4" dataDxfId="2354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2364"/>
    <tableColumn id="2" name="Column2" dataDxfId="2346"/>
    <tableColumn id="3" name="Column3" dataDxfId="2364"/>
    <tableColumn id="4" name="Column4" dataDxfId="2364"/>
    <tableColumn id="5" name="Column5" dataDxfId="2364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2319" totalsRowDxfId="2318"/>
    <tableColumn id="2" name="عدد" dataDxfId="2386" totalsRowDxfId="2318">
      <calculatedColumnFormula>IF((تسعير!$AU$14="بالتات"),0,M49-2)</calculatedColumnFormula>
    </tableColumn>
    <tableColumn id="3" name="بيان" totalsRowLabel="Total" dataDxfId="1371" totalsRowDxfId="2318"/>
    <tableColumn id="5" name="اليومية / الاجرة" dataDxfId="2387" totalsRowDxfId="2318"/>
    <tableColumn id="6" name="بدل الوجبة" dataDxfId="2348" totalsRowDxfId="2318"/>
    <tableColumn id="11" name="موقع العمل" dataDxfId="2352" totalsRowDxfId="2318">
      <calculatedColumnFormula>تسعير!$AT$24</calculatedColumnFormula>
    </tableColumn>
    <tableColumn id="10" name="شيفت العمل" dataDxfId="2319" totalsRowDxfId="2318"/>
    <tableColumn id="12" name="Column12" totalsRowFunction="sum" dataDxfId="2371" totalsRowDxfId="2380">
      <calculatedColumnFormula>SUMIF(Table176978[Column1],Table16126776[[#This Row],[موقع العمل]],$AE$2:$AE$8)</calculatedColumnFormula>
    </tableColumn>
    <tableColumn id="4" name="عدد الايام" dataDxfId="2366" totalsRowDxfId="2318"/>
    <tableColumn id="7" name="اجمالي التكلفة للعامل" dataDxfId="2367" totalsRowDxfId="2373">
      <calculatedColumnFormula>Table16126776[[#This Row],[Column12]]</calculatedColumnFormula>
    </tableColumn>
    <tableColumn id="8" name="اجمالي" totalsRowFunction="sum" dataDxfId="2349" totalsRowDxfId="2374">
      <calculatedColumnFormula>M52*U52</calculatedColumnFormula>
    </tableColumn>
    <tableColumn id="9" name="%" totalsRowFunction="custom" totalsRowDxfId="2378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2352" totalsRowDxfId="2318"/>
    <tableColumn id="2" name="عدد" dataDxfId="2386" totalsRowDxfId="2318">
      <calculatedColumnFormula>IF((Q63="الاسكندرية"),0.25,0.1)</calculatedColumnFormula>
    </tableColumn>
    <tableColumn id="3" name="بيان" totalsRowLabel="Total" dataDxfId="2352" totalsRowDxfId="2318"/>
    <tableColumn id="11" name="Column2" dataDxfId="2352" totalsRowDxfId="2318"/>
    <tableColumn id="10" name="Column1" dataDxfId="2352" totalsRowDxfId="2318"/>
    <tableColumn id="12" name="Column12" totalsRowFunction="sum" dataDxfId="1384" totalsRowDxfId="2380"/>
    <tableColumn id="4" name="الوحده" dataDxfId="1370" totalsRowDxfId="2318"/>
    <tableColumn id="5" name="الوزن" dataDxfId="2352" totalsRowDxfId="2318"/>
    <tableColumn id="6" name="سعر الكيلو" dataDxfId="2352" totalsRowDxfId="2318"/>
    <tableColumn id="7" name="سعر الشبك " dataDxfId="2388" totalsRowDxfId="2373">
      <calculatedColumnFormula>Table80102114[[#Totals],[price]]</calculatedColumnFormula>
    </tableColumn>
    <tableColumn id="8" name="اجمالي" totalsRowFunction="sum" dataDxfId="2349" totalsRowDxfId="2374">
      <calculatedColumnFormula>M47*Table16136877[[#This Row],[سعر الشبك ]]</calculatedColumnFormula>
    </tableColumn>
    <tableColumn id="9" name="%" totalsRowFunction="custom" totalsRowDxfId="2378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2364"/>
    <tableColumn id="2" name="خارجي" dataDxfId="2364"/>
    <tableColumn id="3" name="داخلي" dataDxfId="2364"/>
    <tableColumn id="4" name="بدل الوجبة" dataDxfId="2364"/>
    <tableColumn id="5" name="دبابة" dataDxfId="2364"/>
    <tableColumn id="6" name="جامبو" dataDxfId="2364"/>
    <tableColumn id="7" name="الاقامة" dataDxfId="2364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2352"/>
    <tableColumn id="4" name="Column22" dataDxfId="2352"/>
    <tableColumn id="5" name="Column23" dataDxfId="2352"/>
    <tableColumn id="3" name="Column3" dataDxfId="2368">
      <calculatedColumnFormula>IF((Q63="المقطم"),0.3,IF((Q63="التجمع"),0.3,IF((Q63="الشيخ زايد"),0.3,IF((Q63="الاسكندرية"),0.5,0.35))))</calculatedColumnFormula>
    </tableColumn>
    <tableColumn id="2" name="Column2" dataDxfId="2386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2319" totalsRowDxfId="2318"/>
    <tableColumn id="2" name="عدد" dataDxfId="2319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المسطح" totalsRowFunction="sum" dataDxfId="2371" totalsRowDxfId="2380">
      <calculatedColumnFormula>(Table15880[[#This Row],[Column1]]+Table15880[[#This Row],[Column2]])*12*Table15880[[#This Row],[عدد]]</calculatedColumnFormula>
    </tableColumn>
    <tableColumn id="4" name="الوحده" dataDxfId="2319" totalsRowDxfId="2318"/>
    <tableColumn id="5" name="الوزن" totalsRowFunction="custom" totalsRowDxfId="2318">
      <totalsRowFormula>(S6*M6)+(S7*M7)+(M8*S8)+(S9*M9)</totalsRowFormula>
    </tableColumn>
    <tableColumn id="6" name="اجمالي المسطح" totalsRowFunction="sum" dataDxfId="2344" totalsRowDxfId="2318">
      <calculatedColumnFormula>Table15880[[#This Row],[المسطح]]*Table15880[[#This Row],[عدد]]</calculatedColumnFormula>
    </tableColumn>
    <tableColumn id="7" name="سعر الشبك " dataDxfId="2389" totalsRowDxfId="2373">
      <calculatedColumnFormula>S6*$S$2/1000</calculatedColumnFormula>
    </tableColumn>
    <tableColumn id="8" name="اجمالي" totalsRowFunction="sum" dataDxfId="2349" totalsRowDxfId="2374">
      <calculatedColumnFormula>M6*U6</calculatedColumnFormula>
    </tableColumn>
    <tableColumn id="9" name="%" totalsRowFunction="custom" totalsRowDxfId="2378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2319" totalsRowDxfId="2318"/>
    <tableColumn id="2" name="عدد" dataDxfId="2344" totalsRowDxfId="2318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19" totalsRowDxfId="2318"/>
    <tableColumn id="4" name="الوحده" totalsRowLabel="total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Sheet2!B6</calculatedColumnFormula>
    </tableColumn>
    <tableColumn id="8" name="اجمالي" totalsRowFunction="sum" dataDxfId="2349" totalsRowDxfId="2374">
      <calculatedColumnFormula>M99*U100</calculatedColumnFormula>
    </tableColumn>
    <tableColumn id="9" name="%" totalsRowFunction="custom" totalsRowDxfId="2378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2319" totalsRowDxfId="2318"/>
    <tableColumn id="2" name="عدد" dataDxfId="1358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1366" totalsRowDxfId="1367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1361" totalsRowDxfId="2323">
      <calculatedColumnFormula>Sheet2!B22</calculatedColumnFormula>
    </tableColumn>
    <tableColumn id="8" name="اجمالي" totalsRowFunction="sum" dataDxfId="1363" totalsRowDxfId="2324">
      <calculatedColumnFormula>B17*J17</calculatedColumnFormula>
    </tableColumn>
    <tableColumn id="9" name="%" totalsRowFunction="custom" totalsRowDxfId="2325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2319" totalsRowDxfId="2318"/>
    <tableColumn id="2" name="عدد" dataDxfId="2344" totalsRowDxfId="2318">
      <calculatedColumnFormula>IF((I70="بالتات"),0,4)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71" totalsRowDxfId="2380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Sheet2!B26</calculatedColumnFormula>
    </tableColumn>
    <tableColumn id="8" name="اجمالي" totalsRowFunction="sum" dataDxfId="2349" totalsRowDxfId="2374">
      <calculatedColumnFormula>M85*U85</calculatedColumnFormula>
    </tableColumn>
    <tableColumn id="9" name="%" totalsRowFunction="custom" totalsRowDxfId="2378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2319"/>
    <tableColumn id="2" name="عدد" totalsRowFunction="sum" dataDxfId="2319">
      <calculatedColumnFormula>M91*4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71">
      <calculatedColumnFormula>(Table16627394[[#This Row],[Column1]]*Table16627394[[#This Row],[Column2]])*Table16627394[[#This Row],[عدد]]</calculatedColumnFormula>
    </tableColumn>
    <tableColumn id="4" name="الوحده" dataDxfId="2319"/>
    <tableColumn id="5" name="الوزن" totalsRowFunction="custom">
      <totalsRowFormula>(S94*M94)+(M95*S95)</totalsRowFormula>
    </tableColumn>
    <tableColumn id="6" name="سعر الكيلو" dataDxfId="2344"/>
    <tableColumn id="7" name="سعر الشبك " dataDxfId="2363">
      <calculatedColumnFormula>S93*$S$2/1000</calculatedColumnFormula>
    </tableColumn>
    <tableColumn id="8" name="اجمالي" totalsRowFunction="sum" dataDxfId="2349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2364"/>
    <tableColumn id="2" name="المعدل" dataDxfId="2364"/>
    <tableColumn id="3" name="الوحدة" dataDxfId="2364"/>
    <tableColumn id="4" name="Column4" dataDxfId="1368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2364"/>
    <tableColumn id="2" name="Column2" dataDxfId="2390"/>
    <tableColumn id="3" name="Column3" dataDxfId="2364"/>
    <tableColumn id="4" name="Column4" dataDxfId="2364"/>
    <tableColumn id="5" name="Column5" dataDxfId="2364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2319" totalsRowDxfId="2318"/>
    <tableColumn id="2" name="عدد" dataDxfId="2386" totalsRowDxfId="2318">
      <calculatedColumnFormula>IF((تسعير!$AU$14="بالتات"),0,M120-2)</calculatedColumnFormula>
    </tableColumn>
    <tableColumn id="3" name="بيان" totalsRowLabel="Total" dataDxfId="2376" totalsRowDxfId="2318"/>
    <tableColumn id="5" name="اليومية / الاجرة" dataDxfId="2351" totalsRowDxfId="2318"/>
    <tableColumn id="6" name="بدل الوجبة" dataDxfId="1372" totalsRowDxfId="2318"/>
    <tableColumn id="11" name="موقع العمل" dataDxfId="2352" totalsRowDxfId="2318">
      <calculatedColumnFormula>تسعير!$AT$44</calculatedColumnFormula>
    </tableColumn>
    <tableColumn id="10" name="شيفت العمل" dataDxfId="2319" totalsRowDxfId="2318"/>
    <tableColumn id="12" name="Column12" totalsRowFunction="sum" dataDxfId="2371" totalsRowDxfId="2380">
      <calculatedColumnFormula>SUMIF(Table17697899[Column1],Table1612677697[[#This Row],[موقع العمل]],$AE$2:$AE$8)</calculatedColumnFormula>
    </tableColumn>
    <tableColumn id="4" name="عدد الايام" dataDxfId="2383" totalsRowDxfId="2318"/>
    <tableColumn id="7" name="اجمالي التكلفة للعامل" dataDxfId="2384" totalsRowDxfId="2373">
      <calculatedColumnFormula>Table1612677697[[#This Row],[Column12]]</calculatedColumnFormula>
    </tableColumn>
    <tableColumn id="8" name="اجمالي" totalsRowFunction="sum" dataDxfId="2349" totalsRowDxfId="2374">
      <calculatedColumnFormula>M123*U123</calculatedColumnFormula>
    </tableColumn>
    <tableColumn id="9" name="%" totalsRowFunction="custom" totalsRowDxfId="2378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2352" totalsRowDxfId="2318"/>
    <tableColumn id="2" name="عدد" dataDxfId="2386" totalsRowDxfId="2318">
      <calculatedColumnFormula>IF((Q134="الاسكندرية"),0.25,0.1)</calculatedColumnFormula>
    </tableColumn>
    <tableColumn id="3" name="بيان" totalsRowLabel="Total" dataDxfId="2352" totalsRowDxfId="2318"/>
    <tableColumn id="11" name="Column2" dataDxfId="2352" totalsRowDxfId="2318"/>
    <tableColumn id="10" name="Column1" dataDxfId="2352" totalsRowDxfId="2318"/>
    <tableColumn id="12" name="Column12" totalsRowFunction="sum" dataDxfId="1384" totalsRowDxfId="2380"/>
    <tableColumn id="4" name="الوحده" dataDxfId="2391" totalsRowDxfId="2318"/>
    <tableColumn id="5" name="الوزن" dataDxfId="2352" totalsRowDxfId="2318"/>
    <tableColumn id="6" name="سعر الكيلو" dataDxfId="2352" totalsRowDxfId="2318"/>
    <tableColumn id="7" name="سعر الشبك " dataDxfId="2353" totalsRowDxfId="2373">
      <calculatedColumnFormula>F96</calculatedColumnFormula>
    </tableColumn>
    <tableColumn id="8" name="اجمالي" totalsRowFunction="sum" dataDxfId="2349" totalsRowDxfId="2374">
      <calculatedColumnFormula>M118*Table1613687798[[#This Row],[سعر الشبك ]]</calculatedColumnFormula>
    </tableColumn>
    <tableColumn id="9" name="%" totalsRowFunction="custom" totalsRowDxfId="2378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2364"/>
    <tableColumn id="2" name="خارجي" dataDxfId="2364"/>
    <tableColumn id="3" name="داخلي" dataDxfId="2364"/>
    <tableColumn id="4" name="بدل الوجبة" dataDxfId="2364"/>
    <tableColumn id="5" name="دبابة" dataDxfId="2364"/>
    <tableColumn id="6" name="جامبو" dataDxfId="2364"/>
    <tableColumn id="7" name="الاقامة" dataDxfId="2364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2352"/>
    <tableColumn id="4" name="Column22" dataDxfId="2352"/>
    <tableColumn id="5" name="Column23" dataDxfId="2352"/>
    <tableColumn id="3" name="Column3" dataDxfId="2385">
      <calculatedColumnFormula>IF((Q134="المقطم"),0.3,IF((Q134="التجمع"),0.3,IF((Q134="الشيخ زايد"),0.3,IF((Q134="الاسكندرية"),0.5,0.35))))</calculatedColumnFormula>
    </tableColumn>
    <tableColumn id="2" name="Column2" dataDxfId="2386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2319" totalsRowDxfId="2318"/>
    <tableColumn id="2" name="عدد" dataDxfId="2319" totalsRowDxfId="2318">
      <calculatedColumnFormula>IF(OR((N70="B11"),(N70="B12"),(N70="B21"),(N70="B22"),(N70="B31"),(N70="B32")),3,0)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المسطح" totalsRowFunction="sum" dataDxfId="2371" totalsRowDxfId="2380">
      <calculatedColumnFormula>(Table15880101[[#This Row],[Column1]]+Table15880101[[#This Row],[Column2]])*12*Table15880101[[#This Row],[عدد]]</calculatedColumnFormula>
    </tableColumn>
    <tableColumn id="4" name="الوحده" dataDxfId="2319" totalsRowDxfId="2318"/>
    <tableColumn id="5" name="الوزن" totalsRowFunction="custom" totalsRowDxfId="2318">
      <totalsRowFormula>(S77*M77)+(S78*M78)+(M79*S79)+(S80*M80)</totalsRowFormula>
    </tableColumn>
    <tableColumn id="6" name="اجمالي المسطح" totalsRowFunction="sum" dataDxfId="2344" totalsRowDxfId="2318">
      <calculatedColumnFormula>Table15880101[[#This Row],[المسطح]]*Table15880101[[#This Row],[عدد]]</calculatedColumnFormula>
    </tableColumn>
    <tableColumn id="7" name="سعر الشبك " dataDxfId="1387" totalsRowDxfId="2373">
      <calculatedColumnFormula>S77*$S$2/1000</calculatedColumnFormula>
    </tableColumn>
    <tableColumn id="8" name="اجمالي" totalsRowFunction="sum" dataDxfId="2349" totalsRowDxfId="2374">
      <calculatedColumnFormula>M77*U77</calculatedColumnFormula>
    </tableColumn>
    <tableColumn id="9" name="%" totalsRowFunction="custom" totalsRowDxfId="2378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19" totalsRowDxfId="2318"/>
    <tableColumn id="4" name="الوحده" totalsRowLabel="total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Sheet2!AW6</calculatedColumnFormula>
    </tableColumn>
    <tableColumn id="8" name="اجمالي" totalsRowFunction="sum" dataDxfId="2349" totalsRowDxfId="2374">
      <calculatedColumnFormula>BH28*BP28</calculatedColumnFormula>
    </tableColumn>
    <tableColumn id="9" name="%" totalsRowFunction="custom" totalsRowDxfId="2378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2319" totalsRowDxfId="2318"/>
    <tableColumn id="2" name="عدد" totalsRowFunction="count" dataDxfId="2319" totalsRowDxfId="2318">
      <calculatedColumnFormula>B29*4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totalsRowFunction="sum" dataDxfId="2326" totalsRowDxfId="2327">
      <calculatedColumnFormula>(Table16[[#This Row],[Column1]]*Table16[[#This Row],[Column2]])*Table16[[#This Row],[عدد]]</calculatedColumnFormula>
    </tableColumn>
    <tableColumn id="4" name="الوحده" dataDxfId="2319" totalsRowDxfId="2318"/>
    <tableColumn id="5" name="الوزن" totalsRowFunction="custom" totalsRowDxfId="2318">
      <totalsRowFormula>H30*B30+H31*B31</totalsRowFormula>
    </tableColumn>
    <tableColumn id="6" name="Column3" dataDxfId="2316" totalsRowDxfId="2318"/>
    <tableColumn id="7" name="سعر الشبك " dataDxfId="1361" totalsRowDxfId="1362">
      <calculatedColumnFormula>H30*$H$2/1000</calculatedColumnFormula>
    </tableColumn>
    <tableColumn id="8" name="اجمالي" totalsRowFunction="sum" dataDxfId="1363" totalsRowDxfId="1364">
      <calculatedColumnFormula>B30*J30</calculatedColumnFormula>
    </tableColumn>
    <tableColumn id="9" name="%" totalsRowFunction="custom" totalsRowDxfId="1365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71" totalsRowDxfId="2380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Sheet2!AW26</calculatedColumnFormula>
    </tableColumn>
    <tableColumn id="8" name="اجمالي" totalsRowFunction="sum" dataDxfId="2349" totalsRowDxfId="2374">
      <calculatedColumnFormula>BH14*BP14</calculatedColumnFormula>
    </tableColumn>
    <tableColumn id="9" name="%" totalsRowFunction="custom" totalsRowDxfId="2378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2319"/>
    <tableColumn id="2" name="عدد" totalsRowFunction="count" dataDxfId="2319">
      <calculatedColumnFormula>BH20*4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71">
      <calculatedColumnFormula>(Table16627383[[#This Row],[Column1]]*Table16627383[[#This Row],[Column2]])*Table16627383[[#This Row],[عدد]]</calculatedColumnFormula>
    </tableColumn>
    <tableColumn id="4" name="الوحده" dataDxfId="2319"/>
    <tableColumn id="5" name="الوزن" totalsRowFunction="custom">
      <totalsRowFormula>(BN23*BH23)+(BH24*BN24)</totalsRowFormula>
    </tableColumn>
    <tableColumn id="6" name="سعر الكيلو" dataDxfId="2344"/>
    <tableColumn id="7" name="سعر الشبك " dataDxfId="2363">
      <calculatedColumnFormula>BN22*$S$2/1000</calculatedColumnFormula>
    </tableColumn>
    <tableColumn id="8" name="اجمالي" totalsRowFunction="sum" dataDxfId="2349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2364"/>
    <tableColumn id="2" name="المعدل" dataDxfId="2364"/>
    <tableColumn id="3" name="الوحدة" dataDxfId="2364"/>
    <tableColumn id="4" name="Column4" dataDxfId="2365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2364"/>
    <tableColumn id="2" name="Column2" dataDxfId="2354"/>
    <tableColumn id="3" name="Column3" dataDxfId="2364"/>
    <tableColumn id="4" name="Column4" dataDxfId="2364"/>
    <tableColumn id="5" name="Column5" dataDxfId="2364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2319" totalsRowDxfId="2318"/>
    <tableColumn id="2" name="عدد" dataDxfId="2386" totalsRowDxfId="2318">
      <calculatedColumnFormula>IF((تسعير!$AU$14="بالتات"),0,BH48-2)</calculatedColumnFormula>
    </tableColumn>
    <tableColumn id="3" name="بيان" totalsRowLabel="Total" dataDxfId="1371" totalsRowDxfId="2318"/>
    <tableColumn id="5" name="اليومية / الاجرة" dataDxfId="2392" totalsRowDxfId="2318"/>
    <tableColumn id="6" name="بدل الوجبة" dataDxfId="2393" totalsRowDxfId="2318"/>
    <tableColumn id="11" name="موقع العمل" dataDxfId="2352" totalsRowDxfId="2318">
      <calculatedColumnFormula>تسعير!$AT$44</calculatedColumnFormula>
    </tableColumn>
    <tableColumn id="10" name="شيفت العمل" dataDxfId="2319" totalsRowDxfId="2318"/>
    <tableColumn id="12" name="Column12" totalsRowFunction="sum" dataDxfId="2371" totalsRowDxfId="2380">
      <calculatedColumnFormula>SUMIF(Table17697888[Column1],Table1612677686[[#This Row],[موقع العمل]],$AE$2:$AE$8)</calculatedColumnFormula>
    </tableColumn>
    <tableColumn id="4" name="عدد الايام" dataDxfId="2366" totalsRowDxfId="2318"/>
    <tableColumn id="7" name="اجمالي التكلفة للعامل" dataDxfId="2367" totalsRowDxfId="2373">
      <calculatedColumnFormula>Table1612677686[[#This Row],[Column12]]</calculatedColumnFormula>
    </tableColumn>
    <tableColumn id="8" name="اجمالي" totalsRowFunction="sum" dataDxfId="2349" totalsRowDxfId="2374">
      <calculatedColumnFormula>BH51*BP51</calculatedColumnFormula>
    </tableColumn>
    <tableColumn id="9" name="%" totalsRowFunction="custom" totalsRowDxfId="2378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2352"/>
    <tableColumn id="2" name="عدد" dataDxfId="2386">
      <calculatedColumnFormula>IF((BL62="الاسكندرية"),0.25,0.1)</calculatedColumnFormula>
    </tableColumn>
    <tableColumn id="3" name="بيان" totalsRowLabel="Total" dataDxfId="2352"/>
    <tableColumn id="11" name="Column2" dataDxfId="2352"/>
    <tableColumn id="10" name="Column1" dataDxfId="2352"/>
    <tableColumn id="12" name="Column12" totalsRowFunction="sum" dataDxfId="2394"/>
    <tableColumn id="4" name="الوحده" dataDxfId="2347"/>
    <tableColumn id="5" name="الوزن" dataDxfId="2352"/>
    <tableColumn id="6" name="سعر الكيلو" dataDxfId="2352"/>
    <tableColumn id="7" name="سعر الشبك " dataDxfId="2388">
      <calculatedColumnFormula>BQ45</calculatedColumnFormula>
    </tableColumn>
    <tableColumn id="8" name="اجمالي" totalsRowFunction="sum" dataDxfId="2349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2364"/>
    <tableColumn id="2" name="خارجي" dataDxfId="2364"/>
    <tableColumn id="3" name="داخلي" dataDxfId="2364"/>
    <tableColumn id="4" name="بدل الوجبة" dataDxfId="2364"/>
    <tableColumn id="5" name="دبابة" dataDxfId="2364"/>
    <tableColumn id="6" name="جامبو" dataDxfId="2364"/>
    <tableColumn id="7" name="الاقامة" dataDxfId="2364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2352"/>
    <tableColumn id="4" name="Column22" dataDxfId="2352"/>
    <tableColumn id="5" name="Column23" dataDxfId="2352"/>
    <tableColumn id="3" name="Column3" dataDxfId="2368">
      <calculatedColumnFormula>IF((BL62="المقطم"),0.3,IF((BL62="التجمع"),0.3,IF((BL62="الشيخ زايد"),0.3,IF((BL62="الاسكندرية"),0.5,0.35))))</calculatedColumnFormula>
    </tableColumn>
    <tableColumn id="2" name="Column2" dataDxfId="2386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2319" totalsRowDxfId="2318"/>
    <tableColumn id="2" name="عدد" dataDxfId="2319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المسطح" totalsRowFunction="sum" dataDxfId="2371" totalsRowDxfId="2380">
      <calculatedColumnFormula>(Table1588090[[#This Row],[Column1]]+Table1588090[[#This Row],[Column2]])*12*Table1588090[[#This Row],[عدد]]</calculatedColumnFormula>
    </tableColumn>
    <tableColumn id="4" name="الوحده" dataDxfId="2319" totalsRowDxfId="2318"/>
    <tableColumn id="5" name="الوزن" totalsRowFunction="custom" totalsRowDxfId="2318">
      <totalsRowFormula>(BN6*BH6)+(BN7*BG7)+(BN8*BG8)+(BN9*BG9)</totalsRowFormula>
    </tableColumn>
    <tableColumn id="6" name="اجمالي المسطح" totalsRowFunction="sum" dataDxfId="2344" totalsRowDxfId="2318">
      <calculatedColumnFormula>Table1588090[[#This Row],[المسطح]]*Table1588090[[#This Row],[عدد]]</calculatedColumnFormula>
    </tableColumn>
    <tableColumn id="7" name="سعر الشبك " dataDxfId="1387" totalsRowDxfId="2373">
      <calculatedColumnFormula>BN6*$S$2/1000</calculatedColumnFormula>
    </tableColumn>
    <tableColumn id="8" name="اجمالي" totalsRowFunction="sum" dataDxfId="2349" totalsRowDxfId="2374">
      <calculatedColumnFormula>BH6*BP6</calculatedColumnFormula>
    </tableColumn>
    <tableColumn id="9" name="%" totalsRowFunction="custom" totalsRowDxfId="2378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164" totalsRowDxfId="143"/>
    <tableColumn id="2" name="عدد" totalsRowFunction="custom" totalsRowDxfId="141">
      <totalsRowFormula>(Table8091[[#Totals],[price]]*1.1)/(BA1*AY1/10000)</totalsRowFormula>
    </tableColumn>
    <tableColumn id="3" name="طول" dataDxfId="1397" totalsRowDxfId="133"/>
    <tableColumn id="4" name="Column2" dataDxfId="2395" totalsRowDxfId="1398"/>
    <tableColumn id="5" name="wt/m" dataDxfId="1397" totalsRowDxfId="2396"/>
    <tableColumn id="6" name="price" totalsRowFunction="sum" dataDxfId="1397" totalsRowDxfId="1398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9"/>
  <sheetViews>
    <sheetView rightToLeft="1" topLeftCell="A16" zoomScale="85" zoomScaleNormal="85" zoomScaleSheetLayoutView="70" workbookViewId="0">
      <selection activeCell="B60" sqref="B60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1" customFormat="1">
      <c r="A1" s="361" t="s">
        <v>184</v>
      </c>
      <c r="B1" s="361" t="s">
        <v>165</v>
      </c>
      <c r="C1" s="361" t="s">
        <v>167</v>
      </c>
      <c r="D1" s="361" t="s">
        <v>154</v>
      </c>
      <c r="E1" s="492"/>
      <c r="F1" s="493"/>
      <c r="G1" s="577" t="s">
        <v>218</v>
      </c>
      <c r="H1" s="577"/>
      <c r="I1" s="577"/>
      <c r="J1" s="506"/>
    </row>
    <row r="2" ht="21">
      <c r="A2" s="494" t="s">
        <v>185</v>
      </c>
      <c r="B2" s="550" t="s">
        <v>197</v>
      </c>
      <c r="C2" s="495" t="s">
        <v>168</v>
      </c>
      <c r="D2" s="496" t="s">
        <v>192</v>
      </c>
      <c r="E2" s="492"/>
      <c r="F2" s="497"/>
      <c r="G2" s="233" t="s">
        <v>9</v>
      </c>
      <c r="H2" s="233" t="s">
        <v>30</v>
      </c>
      <c r="I2" s="233" t="s">
        <v>154</v>
      </c>
      <c r="J2" s="507"/>
    </row>
    <row r="3" ht="21">
      <c r="A3" s="498"/>
      <c r="B3" s="551" t="s">
        <v>166</v>
      </c>
      <c r="C3" s="499" t="s">
        <v>176</v>
      </c>
      <c r="D3" s="500" t="s">
        <v>191</v>
      </c>
      <c r="E3" s="492"/>
      <c r="F3" s="49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17642.5</v>
      </c>
      <c r="J3" s="507"/>
    </row>
    <row r="4" ht="21">
      <c r="A4" s="501"/>
      <c r="B4" s="502"/>
      <c r="C4" s="502"/>
      <c r="D4" s="503"/>
      <c r="E4" s="492"/>
      <c r="F4" s="497"/>
      <c r="G4" s="578" t="s">
        <v>219</v>
      </c>
      <c r="H4" s="578"/>
      <c r="I4" s="578"/>
      <c r="J4" s="507"/>
    </row>
    <row r="5" ht="21">
      <c r="A5" s="494" t="s">
        <v>185</v>
      </c>
      <c r="B5" s="550" t="s">
        <v>197</v>
      </c>
      <c r="C5" s="495" t="s">
        <v>168</v>
      </c>
      <c r="D5" s="496" t="s">
        <v>192</v>
      </c>
      <c r="E5" s="492"/>
      <c r="F5" s="497"/>
      <c r="G5" s="233" t="s">
        <v>9</v>
      </c>
      <c r="H5" s="233" t="s">
        <v>30</v>
      </c>
      <c r="I5" s="233" t="s">
        <v>154</v>
      </c>
      <c r="J5" s="507"/>
    </row>
    <row r="6" ht="21" customHeight="1">
      <c r="A6" s="498" t="s">
        <v>205</v>
      </c>
      <c r="B6" s="551" t="s">
        <v>166</v>
      </c>
      <c r="C6" s="499" t="s">
        <v>176</v>
      </c>
      <c r="D6" s="500" t="s">
        <v>191</v>
      </c>
      <c r="E6" s="492"/>
      <c r="F6" s="49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08">
        <f>Table118[[#Totals],[اجمالي]]+Table1421[[#Totals],[اجمالي]]+Table1522[[#Totals],[اجمالي]]+Table1624[[#Totals],[اجمالي]]+Table1319[[#Totals],[اجمالي]]+Table161027[[#Totals],[اجمالي]]</f>
        <v>107627.5</v>
      </c>
      <c r="J6" s="507"/>
    </row>
    <row r="7" ht="21" customHeight="1">
      <c r="A7" s="504"/>
      <c r="B7" s="502"/>
      <c r="C7" s="502"/>
      <c r="D7" s="503"/>
      <c r="E7" s="492"/>
      <c r="F7" s="504"/>
      <c r="G7" s="505"/>
      <c r="H7" s="505"/>
      <c r="I7" s="505"/>
      <c r="J7" s="509"/>
    </row>
    <row r="10" ht="21">
      <c r="A10" s="579" t="s">
        <v>220</v>
      </c>
      <c r="B10" s="579"/>
    </row>
    <row r="11">
      <c r="A11" s="233" t="s">
        <v>221</v>
      </c>
      <c r="B11" s="233" t="s">
        <v>222</v>
      </c>
    </row>
    <row r="12">
      <c r="A12" s="233" t="s">
        <v>223</v>
      </c>
      <c r="B12" s="559">
        <v>40000</v>
      </c>
    </row>
    <row r="13">
      <c r="A13" s="233" t="s">
        <v>224</v>
      </c>
      <c r="B13" s="559">
        <v>45000</v>
      </c>
    </row>
    <row r="14">
      <c r="A14" s="549" t="s">
        <v>225</v>
      </c>
      <c r="B14" s="559">
        <v>210000</v>
      </c>
    </row>
    <row r="15">
      <c r="A15" s="233" t="s">
        <v>226</v>
      </c>
      <c r="B15" s="559">
        <v>60000</v>
      </c>
    </row>
    <row r="16">
      <c r="A16" s="233" t="s">
        <v>227</v>
      </c>
      <c r="B16" s="559">
        <v>275</v>
      </c>
    </row>
    <row r="17">
      <c r="A17" s="233" t="s">
        <v>228</v>
      </c>
      <c r="B17" s="559">
        <v>175</v>
      </c>
    </row>
    <row r="18">
      <c r="A18" s="233" t="s">
        <v>62</v>
      </c>
      <c r="B18" s="559">
        <v>475</v>
      </c>
    </row>
    <row r="19">
      <c r="A19" s="233" t="s">
        <v>66</v>
      </c>
      <c r="B19" s="559">
        <v>250</v>
      </c>
    </row>
    <row r="20">
      <c r="A20" s="233" t="s">
        <v>70</v>
      </c>
      <c r="B20" s="559">
        <v>525</v>
      </c>
    </row>
    <row r="21">
      <c r="A21" s="233" t="s">
        <v>73</v>
      </c>
      <c r="B21" s="559">
        <v>575</v>
      </c>
    </row>
    <row r="22">
      <c r="A22" s="233" t="s">
        <v>78</v>
      </c>
      <c r="B22" s="559">
        <v>190</v>
      </c>
    </row>
    <row r="23">
      <c r="A23" s="233" t="s">
        <v>80</v>
      </c>
      <c r="B23" s="559">
        <v>190</v>
      </c>
    </row>
    <row r="24">
      <c r="A24" s="233" t="s">
        <v>103</v>
      </c>
      <c r="B24" s="559">
        <v>400</v>
      </c>
    </row>
    <row r="25">
      <c r="A25" s="233" t="s">
        <v>45</v>
      </c>
      <c r="B25" s="559">
        <v>100</v>
      </c>
    </row>
    <row r="26">
      <c r="A26" s="233" t="s">
        <v>106</v>
      </c>
      <c r="B26" s="559">
        <v>220</v>
      </c>
    </row>
    <row r="27">
      <c r="A27" s="233" t="s">
        <v>107</v>
      </c>
      <c r="B27" s="559">
        <v>510</v>
      </c>
    </row>
    <row r="28">
      <c r="A28" s="233" t="s">
        <v>81</v>
      </c>
      <c r="B28" s="559">
        <v>400</v>
      </c>
    </row>
    <row r="29">
      <c r="A29" s="233" t="s">
        <v>94</v>
      </c>
      <c r="B29" s="559">
        <v>700</v>
      </c>
    </row>
    <row r="30">
      <c r="A30" s="233" t="s">
        <v>97</v>
      </c>
      <c r="B30" s="559">
        <v>1200</v>
      </c>
    </row>
    <row r="31">
      <c r="A31" s="233" t="s">
        <v>98</v>
      </c>
      <c r="B31" s="559">
        <v>450</v>
      </c>
    </row>
    <row r="32">
      <c r="A32" s="233" t="s">
        <v>121</v>
      </c>
      <c r="B32" s="559">
        <v>7000</v>
      </c>
    </row>
    <row r="33">
      <c r="A33" s="528" t="s">
        <v>229</v>
      </c>
      <c r="B33" s="559">
        <v>11000</v>
      </c>
    </row>
    <row r="34">
      <c r="A34" s="233" t="s">
        <v>230</v>
      </c>
      <c r="B34" s="559">
        <v>2000</v>
      </c>
    </row>
    <row r="35">
      <c r="A35" s="233" t="s">
        <v>231</v>
      </c>
      <c r="B35" s="559">
        <v>750</v>
      </c>
    </row>
    <row r="36">
      <c r="A36" s="233" t="s">
        <v>232</v>
      </c>
      <c r="B36" s="559">
        <v>750</v>
      </c>
    </row>
    <row r="37">
      <c r="A37" s="233" t="s">
        <v>233</v>
      </c>
      <c r="B37" s="559">
        <v>5000</v>
      </c>
    </row>
    <row r="38">
      <c r="A38" s="233" t="s">
        <v>234</v>
      </c>
      <c r="B38" s="559">
        <v>800</v>
      </c>
    </row>
    <row r="39">
      <c r="A39" s="233" t="s">
        <v>235</v>
      </c>
      <c r="B39" s="559">
        <v>130</v>
      </c>
    </row>
    <row r="40">
      <c r="A40" s="233" t="s">
        <v>236</v>
      </c>
      <c r="B40" s="559">
        <v>90</v>
      </c>
    </row>
    <row r="41">
      <c r="A41" s="233" t="s">
        <v>237</v>
      </c>
      <c r="B41" s="559">
        <v>25</v>
      </c>
    </row>
    <row r="42" ht="18.75">
      <c r="A42" s="323" t="s">
        <v>238</v>
      </c>
      <c r="B42" s="559">
        <v>450</v>
      </c>
    </row>
    <row r="43" ht="18.75">
      <c r="A43" s="323" t="s">
        <v>239</v>
      </c>
      <c r="B43" s="559">
        <v>130</v>
      </c>
    </row>
    <row r="44" ht="18.75">
      <c r="A44" s="323" t="s">
        <v>240</v>
      </c>
      <c r="B44" s="559">
        <v>175</v>
      </c>
    </row>
    <row r="45">
      <c r="A45" s="549" t="s">
        <v>241</v>
      </c>
      <c r="B45" s="559">
        <v>4000</v>
      </c>
    </row>
    <row r="46">
      <c r="A46" s="549" t="s">
        <v>242</v>
      </c>
      <c r="B46" s="559">
        <v>3000</v>
      </c>
    </row>
    <row r="47">
      <c r="A47" s="233" t="s">
        <v>243</v>
      </c>
      <c r="B47" s="559">
        <v>130</v>
      </c>
    </row>
    <row r="48">
      <c r="A48" s="233" t="s">
        <v>244</v>
      </c>
      <c r="B48" s="559">
        <v>25</v>
      </c>
    </row>
    <row r="49">
      <c r="A49" s="233" t="s">
        <v>245</v>
      </c>
      <c r="B49" s="559">
        <v>1200</v>
      </c>
    </row>
    <row r="50">
      <c r="A50" s="233" t="s">
        <v>246</v>
      </c>
      <c r="B50" s="559">
        <v>150</v>
      </c>
    </row>
    <row r="51">
      <c r="A51" s="233" t="s">
        <v>247</v>
      </c>
      <c r="B51" s="559">
        <v>150</v>
      </c>
    </row>
    <row r="52">
      <c r="A52" s="233" t="s">
        <v>248</v>
      </c>
      <c r="B52" s="559">
        <v>250</v>
      </c>
    </row>
    <row r="53">
      <c r="A53" s="233" t="s">
        <v>249</v>
      </c>
      <c r="B53" s="559">
        <v>80</v>
      </c>
    </row>
    <row r="54">
      <c r="A54" s="549" t="s">
        <v>250</v>
      </c>
      <c r="B54" s="559">
        <v>1200</v>
      </c>
    </row>
    <row r="55">
      <c r="A55" s="528" t="s">
        <v>251</v>
      </c>
      <c r="B55" s="559">
        <v>23000</v>
      </c>
    </row>
    <row r="56">
      <c r="A56" s="528" t="s">
        <v>252</v>
      </c>
      <c r="B56" s="559">
        <v>5000</v>
      </c>
    </row>
    <row r="57">
      <c r="A57" s="558" t="s">
        <v>253</v>
      </c>
      <c r="B57" s="559">
        <v>9000</v>
      </c>
    </row>
    <row r="58">
      <c r="A58" s="233" t="s">
        <v>254</v>
      </c>
      <c r="B58" s="233">
        <v>250</v>
      </c>
    </row>
    <row r="59">
      <c r="A59" s="576" t="s">
        <v>255</v>
      </c>
      <c r="B59" s="576">
        <v>450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T1:V1" location="Royal!A1" display="مثبتة علي الحائط"/>
    <hyperlink ref="U1:W1" location="Royal!A1" display="مثبتة علي الحائط"/>
    <hyperlink ref="V1:X1" location="Royal!A1" display="مثبتة علي الحائط"/>
    <hyperlink ref="W1:Y1" location="Royal!A1" display="مثبتة علي الحائط"/>
    <hyperlink ref="X1:Z1" location="Royal!A1" display="مثبتة علي الحائط"/>
    <hyperlink ref="Y1:AA1" location="Royal!A1" display="مثبتة علي الحائط"/>
    <hyperlink ref="Z1:AB1" location="Royal!A1" display="مثبتة علي الحائط"/>
    <hyperlink ref="AA1:AC1" location="Royal!A1" display="مثبتة علي الحائط"/>
    <hyperlink ref="AB1:AD1" location="Royal!A1" display="مثبتة علي الحائط"/>
    <hyperlink ref="AC1:AE1" location="Royal!A1" display="مثبتة علي الحائط"/>
    <hyperlink ref="AD1:AF1" location="Royal!A1" display="مثبتة علي الحائط"/>
    <hyperlink ref="AE1:AG1" location="Royal!A1" display="مثبتة علي الحائط"/>
    <hyperlink ref="AF1:AH1" location="Royal!A1" display="مثبتة علي الحائط"/>
    <hyperlink ref="AG1:AI1" location="Royal!A1" display="مثبتة علي الحائط"/>
    <hyperlink ref="AH1:AJ1" location="Royal!A1" display="مثبتة علي الحائط"/>
    <hyperlink ref="AI1:AK1" location="Royal!A1" display="مثبتة علي الحائط"/>
    <hyperlink ref="AJ1:AL1" location="Royal!A1" display="مثبتة علي الحائط"/>
    <hyperlink ref="AK1:A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T4:V4" location="Royal2!A1" display="مثبتة غير علي الحائط"/>
    <hyperlink ref="U4:W4" location="Royal2!A1" display="مثبتة غير علي الحائط"/>
    <hyperlink ref="V4:X4" location="Royal2!A1" display="مثبتة غير علي الحائط"/>
    <hyperlink ref="W4:Y4" location="Royal2!A1" display="مثبتة غير علي الحائط"/>
    <hyperlink ref="X4:Z4" location="Royal2!A1" display="مثبتة غير علي الحائط"/>
    <hyperlink ref="Y4:AA4" location="Royal2!A1" display="مثبتة غير علي الحائط"/>
    <hyperlink ref="Z4:AB4" location="Royal2!A1" display="مثبتة غير علي الحائط"/>
    <hyperlink ref="AA4:AC4" location="Royal2!A1" display="مثبتة غير علي الحائط"/>
    <hyperlink ref="AB4:AD4" location="Royal2!A1" display="مثبتة غير علي الحائط"/>
    <hyperlink ref="AC4:AE4" location="Royal2!A1" display="مثبتة غير علي الحائط"/>
    <hyperlink ref="AD4:AF4" location="Royal2!A1" display="مثبتة غير علي الحائط"/>
    <hyperlink ref="AE4:AG4" location="Royal2!A1" display="مثبتة غير علي الحائط"/>
    <hyperlink ref="AF4:AH4" location="Royal2!A1" display="مثبتة غير علي الحائط"/>
    <hyperlink ref="AG4:AI4" location="Royal2!A1" display="مثبتة غير علي الحائط"/>
    <hyperlink ref="AH4:AJ4" location="Royal2!A1" display="مثبتة غير علي الحائط"/>
    <hyperlink ref="AI4:AK4" location="Royal2!A1" display="مثبتة غير علي الحائط"/>
    <hyperlink ref="AJ4:AL4" location="Royal2!A1" display="مثبتة غير علي الحائط"/>
    <hyperlink ref="AK4:A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597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IF(تسعير!T6="سادة",Royal!J2+20000,IF(تسعير!T6="خشبي",Royal!J2+40000,0))</f>
        <v>230000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230000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تسجيل1!C7</f>
        <v>300</v>
      </c>
      <c r="L6" s="759"/>
      <c r="M6" s="94" t="s">
        <v>366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21</v>
      </c>
      <c r="L7" s="732"/>
      <c r="M7" s="732"/>
      <c r="N7" s="98" t="s">
        <v>368</v>
      </c>
      <c r="O7" s="99">
        <f>AA41/K7</f>
        <v>2793.3200375938513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299</v>
      </c>
      <c r="L8" s="736"/>
      <c r="M8" s="100" t="s">
        <v>371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58659.720789470877</v>
      </c>
      <c r="P8" s="103"/>
      <c r="Q8" s="103"/>
      <c r="R8" s="103"/>
      <c r="S8" s="103">
        <f>Sheet2!B16</f>
        <v>275</v>
      </c>
      <c r="T8" s="137">
        <f>((K8*N8)/10000)*1.2</f>
        <v>24.11136</v>
      </c>
      <c r="U8" s="138">
        <f>T8*S8</f>
        <v>6630.6240000000007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2</v>
      </c>
      <c r="H11" s="743"/>
      <c r="I11" s="744">
        <f>'Format διαστασης οδηγου'!F8</f>
        <v>665</v>
      </c>
      <c r="J11" s="744"/>
      <c r="K11" s="106"/>
      <c r="L11" s="739">
        <f>IF(Format!A7=1,تسجيل1!H27,IF(Format!A7=2,تسجيل1!H27,IF(Format!A7=3,تسجيل1!H27,IF(Format!A7=4,تسجيل1!H27,IF(Format!A7=5,تسجيل1!H27,"-------")))))</f>
        <v>2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14349.212121212135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2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9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2572.0265780730865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 t="str">
        <f>IF(L11&lt;=3,"0",(L11-3)*2)</f>
        <v>0</v>
      </c>
      <c r="H13" s="718"/>
      <c r="I13" s="719">
        <f>IF(G13="-------","-------",L17-5)</f>
        <v>286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10</v>
      </c>
      <c r="H14" s="718"/>
      <c r="I14" s="719">
        <f>I12</f>
        <v>299</v>
      </c>
      <c r="J14" s="719"/>
      <c r="K14" s="106"/>
      <c r="L14" s="109">
        <f>تسجيل1!H28</f>
        <v>10</v>
      </c>
      <c r="M14" s="110" t="s">
        <v>287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7256.8965517241077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str">
        <f>IF(L11&lt;=3,"0",(L11-3)*L14)</f>
        <v>0</v>
      </c>
      <c r="H15" s="718"/>
      <c r="I15" s="719">
        <f>IF(G15="-------","---------",I13)</f>
        <v>286</v>
      </c>
      <c r="J15" s="719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962.46153846154186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 t="str">
        <f>IF(L11=2,"0",1)</f>
        <v>0</v>
      </c>
      <c r="H17" s="718"/>
      <c r="I17" s="719">
        <f>IF(G17="-------","-------",IF(Format!A7=1,(L17+3),IF(Format!A7=2,(L17+3.5),IF(Format!A7=3,(L17+3),IF(Format!A7=4,(L17+4.25),IF(Format!A7=5,(L17+5),"--------"))))))</f>
        <v>294.5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291</v>
      </c>
      <c r="M17" s="727"/>
      <c r="N17" s="727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 t="str">
        <f>IF(L11&lt;=3,"0",(L11-3))</f>
        <v>0</v>
      </c>
      <c r="H18" s="718"/>
      <c r="I18" s="719">
        <f>IF(G18="-------","-------",L17)</f>
        <v>291</v>
      </c>
      <c r="J18" s="719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297.5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1</v>
      </c>
      <c r="H20" s="724"/>
      <c r="I20" s="719">
        <f>L17-7</f>
        <v>284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1138.5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2</v>
      </c>
      <c r="H21" s="710"/>
      <c r="I21" s="711">
        <f>(I11*2)+45</f>
        <v>1375</v>
      </c>
      <c r="J21" s="711"/>
      <c r="K21" s="106"/>
      <c r="L21" s="112">
        <f>IF(Format!E7=1,"-------",IF(Format!E7=5,"-------",تسجيل1!H30))</f>
        <v>2</v>
      </c>
      <c r="M21" s="712" t="str">
        <f>IF(L21="-------","-------",تسجيل1!D11)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29953.096789470874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2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11000</v>
      </c>
      <c r="Z24" s="151"/>
      <c r="AA24" s="60">
        <f>V24*F24</f>
        <v>260</v>
      </c>
      <c r="AB24" s="60">
        <f>Y24*M24</f>
        <v>11000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2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1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10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4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11"/>
        <v>1500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20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40</v>
      </c>
      <c r="AB30" s="60">
        <f t="shared" si="11"/>
        <v>1500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24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24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6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6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 t="str">
        <f>IF(L11&gt;2,(L11-2)*2,"0")</f>
        <v>0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str">
        <f>IF(L11&gt;2,(L11-2)*L14,"0")</f>
        <v>0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1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2600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22076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58659.720789470877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682">
        <f>N8</f>
        <v>672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2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تسعير!AA33</f>
        <v>1200</v>
      </c>
      <c r="D7" s="182" t="s">
        <v>428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 (2)'!B9</f>
        <v>5</v>
      </c>
    </row>
    <row r="19" ht="18" customHeight="1">
      <c r="A19" s="648" t="s">
        <v>435</v>
      </c>
      <c r="B19" s="649"/>
      <c r="C19" s="14">
        <f>'Format Φωτισμου (2)'!B12</f>
        <v>35</v>
      </c>
    </row>
    <row r="20" ht="18" customHeight="1">
      <c r="A20" s="648" t="s">
        <v>436</v>
      </c>
      <c r="B20" s="649"/>
      <c r="C20" s="14">
        <f>C19/C18</f>
        <v>7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4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312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358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IF(تسعير!T26="سادة",Royal2!J2+20000,IF(تسعير!T26="خشبي",Royal2!J2+40000,0))</f>
        <v>230000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230000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تسجيل2!C7</f>
        <v>1200</v>
      </c>
      <c r="L6" s="759"/>
      <c r="M6" s="94" t="s">
        <v>366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96</v>
      </c>
      <c r="L7" s="732"/>
      <c r="M7" s="732"/>
      <c r="N7" s="98" t="s">
        <v>368</v>
      </c>
      <c r="O7" s="99">
        <f>AA41/K7</f>
        <v>2015.0737400897231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1199</v>
      </c>
      <c r="L8" s="736"/>
      <c r="M8" s="100" t="s">
        <v>371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193447.07904861341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4</v>
      </c>
      <c r="H11" s="743"/>
      <c r="I11" s="744">
        <f>'Format διαστασης οδηγου (2)'!F8</f>
        <v>765</v>
      </c>
      <c r="J11" s="744"/>
      <c r="K11" s="106"/>
      <c r="L11" s="739">
        <f>IF(Format!A7=1,تسجيل2!H27,IF(Format!A7=2,تسجيل2!H27,IF(Format!A7=3,تسجيل2!H27,IF(Format!A7=4,تسجيل2!H27,IF(Format!A7=5,تسجيل2!H27,"-------")))))</f>
        <v>4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32798.199134199167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4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19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6858.73754152823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>
        <f>IF(L11&lt;=3,"0",(L11-3)*2)</f>
        <v>2</v>
      </c>
      <c r="H13" s="718"/>
      <c r="I13" s="719">
        <f>IF(G13="-------","-------",L17-5)</f>
        <v>392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3429.3687707641152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24</v>
      </c>
      <c r="H14" s="718"/>
      <c r="I14" s="719">
        <f>I12</f>
        <v>398.5</v>
      </c>
      <c r="J14" s="719"/>
      <c r="K14" s="106"/>
      <c r="L14" s="109">
        <f>تسجيل2!H28</f>
        <v>12</v>
      </c>
      <c r="M14" s="110" t="s">
        <v>287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23222.068965517145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>
        <f>IF(L11&lt;=3,"0",(L11-3)*L14)</f>
        <v>12</v>
      </c>
      <c r="H15" s="718"/>
      <c r="I15" s="719">
        <f>IF(G15="-------","---------",I13)</f>
        <v>392</v>
      </c>
      <c r="J15" s="719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11611.034482758572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1283.2820512820558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>
        <f>IF(L11=2,"0",1)</f>
        <v>1</v>
      </c>
      <c r="H17" s="718"/>
      <c r="I17" s="719">
        <f>IF(G17="-------","-------",IF(Format!A7=1,(L17+3),IF(Format!A7=2,(L17+3.5),IF(Format!A7=3,(L17+3),IF(Format!A7=4,(L17+4.25),IF(Format!A7=5,(L17+5),"--------"))))))</f>
        <v>400.5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397</v>
      </c>
      <c r="M17" s="727"/>
      <c r="N17" s="727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1283.2820512820558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>
        <f>IF(L11&lt;=3,"0",(L11-3))</f>
        <v>1</v>
      </c>
      <c r="H18" s="718"/>
      <c r="I18" s="719">
        <f>IF(G18="-------","-------",L17)</f>
        <v>397</v>
      </c>
      <c r="J18" s="719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1283.2820512820558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1197.5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3</v>
      </c>
      <c r="H20" s="724"/>
      <c r="I20" s="719">
        <f>L17-7</f>
        <v>390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4554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4</v>
      </c>
      <c r="H21" s="710"/>
      <c r="I21" s="711">
        <f>(I11*2)+45</f>
        <v>1575</v>
      </c>
      <c r="J21" s="711"/>
      <c r="K21" s="106"/>
      <c r="L21" s="112">
        <f>IF(Format!E7=1,"-------",IF(Format!E7=5,"-------",تسجيل2!H30))</f>
        <v>4</v>
      </c>
      <c r="M21" s="712" t="str">
        <f>IF(L21="-------","-------",تسجيل2!D11)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92794.255048613413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4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4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2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12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8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1"/>
        <v>16</v>
      </c>
      <c r="AB29" s="60">
        <f t="shared" si="10"/>
        <v>3000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48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750</v>
      </c>
      <c r="Z30" s="151"/>
      <c r="AA30" s="60">
        <f t="shared" si="11"/>
        <v>96</v>
      </c>
      <c r="AB30" s="60">
        <f t="shared" si="10"/>
        <v>3000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28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28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12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12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>
        <f>IF(L11&gt;2,(L11-2)*2,"0")</f>
        <v>4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>
        <f>IF(L11&gt;2,(L11-2)*L14,"0")</f>
        <v>24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2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2600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70107.1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193447.07904861341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682">
        <f>N8</f>
        <v>772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تسجيل2!C7</f>
        <v>1200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800</v>
      </c>
      <c r="D31" s="34" t="s">
        <v>347</v>
      </c>
      <c r="E31" s="36">
        <f>H34</f>
        <v>12</v>
      </c>
      <c r="F31" s="34"/>
      <c r="G31" s="34"/>
      <c r="H31" s="35"/>
      <c r="I31" s="764" t="s">
        <v>346</v>
      </c>
      <c r="J31" s="765"/>
      <c r="K31" s="36">
        <f>B19</f>
        <v>800</v>
      </c>
      <c r="L31" s="34" t="s">
        <v>347</v>
      </c>
      <c r="M31" s="36">
        <f>P34</f>
        <v>10</v>
      </c>
      <c r="N31" s="15"/>
      <c r="O31" s="34"/>
      <c r="P31" s="35"/>
      <c r="Q31" s="766" t="s">
        <v>346</v>
      </c>
      <c r="R31" s="767"/>
      <c r="S31" s="57">
        <f>B19</f>
        <v>800</v>
      </c>
      <c r="T31" s="47" t="s">
        <v>348</v>
      </c>
      <c r="U31" s="57">
        <f>INT((S31-4)/25)+1</f>
        <v>32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81"/>
      <c r="B3" s="782"/>
      <c r="C3" s="10" t="s">
        <v>273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277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83"/>
      <c r="B7" s="784"/>
      <c r="C7" s="19" t="s">
        <v>278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87"/>
      <c r="B12" s="788"/>
      <c r="C12" s="10" t="s">
        <v>273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87"/>
      <c r="B15" s="788"/>
      <c r="C15" s="10" t="s">
        <v>276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93"/>
      <c r="B21" s="794"/>
      <c r="C21" s="10" t="s">
        <v>273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93"/>
      <c r="B24" s="794"/>
      <c r="C24" s="10" t="s">
        <v>276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95"/>
      <c r="B25" s="796"/>
      <c r="C25" s="19" t="s">
        <v>278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تسجيل2!C7</f>
        <v>1200</v>
      </c>
      <c r="J4" s="15">
        <v>4</v>
      </c>
      <c r="K4" s="15">
        <v>2</v>
      </c>
    </row>
    <row r="5">
      <c r="A5" s="1" t="s">
        <v>257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283</v>
      </c>
      <c r="B6" s="1">
        <f>'Cutting Ro-2'!L14</f>
        <v>12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288</v>
      </c>
      <c r="B9" s="1">
        <f>O8</f>
        <v>5</v>
      </c>
      <c r="J9" s="15">
        <v>9</v>
      </c>
      <c r="K9" s="15">
        <v>4</v>
      </c>
    </row>
    <row r="10">
      <c r="A10" s="12" t="s">
        <v>289</v>
      </c>
      <c r="B10" s="13">
        <f>(((B4-(تسجيل2!C22*2))/200)+1)*B9</f>
        <v>32.5</v>
      </c>
      <c r="C10" s="647" t="s">
        <v>290</v>
      </c>
      <c r="D10" s="647"/>
      <c r="E10" s="14">
        <f>ROUND(B10,0)</f>
        <v>33</v>
      </c>
      <c r="J10" s="15">
        <v>10</v>
      </c>
      <c r="K10" s="15">
        <v>4</v>
      </c>
    </row>
    <row r="11">
      <c r="A11" s="12" t="s">
        <v>291</v>
      </c>
      <c r="B11" s="13">
        <f>E10/B9</f>
        <v>6.6</v>
      </c>
      <c r="C11" s="647" t="s">
        <v>290</v>
      </c>
      <c r="D11" s="647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292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260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97"/>
      <c r="I8" s="797"/>
      <c r="J8" s="797"/>
      <c r="K8" s="798"/>
    </row>
    <row r="9">
      <c r="A9" s="4" t="s">
        <v>263</v>
      </c>
      <c r="C9" s="1" t="str">
        <f>IF('Format (2)'!N8=5,'Format διαστασης οδηγου (2)'!B2-35,IF('Format (2)'!N8=6,'Format διαστασης οδηγου (2)'!B2-31,"-------"))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260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97"/>
      <c r="I16" s="797"/>
      <c r="J16" s="797"/>
      <c r="K16" s="798"/>
    </row>
    <row r="17">
      <c r="A17" s="4" t="s">
        <v>263</v>
      </c>
      <c r="C17" s="1" t="str">
        <f>IF('Format (2)'!N8=5,'Format διαστασης οδηγου (2)'!B2-6,IF('Format (2)'!N8=6,'Format διαστασης οδηγου (2)'!B2-2,"-------"))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تسجيل1!C7</f>
        <v>300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700</v>
      </c>
      <c r="D31" s="34" t="s">
        <v>347</v>
      </c>
      <c r="E31" s="36">
        <f>H34</f>
        <v>10</v>
      </c>
      <c r="F31" s="34"/>
      <c r="G31" s="34"/>
      <c r="H31" s="35"/>
      <c r="I31" s="764" t="s">
        <v>346</v>
      </c>
      <c r="J31" s="765"/>
      <c r="K31" s="36">
        <f>B19</f>
        <v>700</v>
      </c>
      <c r="L31" s="34" t="s">
        <v>347</v>
      </c>
      <c r="M31" s="36">
        <f>P34</f>
        <v>9</v>
      </c>
      <c r="N31" s="15"/>
      <c r="O31" s="34"/>
      <c r="P31" s="35"/>
      <c r="Q31" s="766" t="s">
        <v>346</v>
      </c>
      <c r="R31" s="767"/>
      <c r="S31" s="57">
        <f>B19</f>
        <v>700</v>
      </c>
      <c r="T31" s="47" t="s">
        <v>348</v>
      </c>
      <c r="U31" s="57">
        <f>INT((S31-4)/25)+1</f>
        <v>28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81"/>
      <c r="B3" s="782"/>
      <c r="C3" s="10" t="s">
        <v>273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277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83"/>
      <c r="B7" s="784"/>
      <c r="C7" s="19" t="s">
        <v>278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87"/>
      <c r="B12" s="788"/>
      <c r="C12" s="10" t="s">
        <v>273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87"/>
      <c r="B15" s="788"/>
      <c r="C15" s="10" t="s">
        <v>276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793"/>
      <c r="B21" s="794"/>
      <c r="C21" s="10" t="s">
        <v>273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793"/>
      <c r="B24" s="794"/>
      <c r="C24" s="10" t="s">
        <v>276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795"/>
      <c r="B25" s="796"/>
      <c r="C25" s="19" t="s">
        <v>278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تسجيل1!C7</f>
        <v>300</v>
      </c>
      <c r="J4" s="15">
        <v>4</v>
      </c>
      <c r="K4" s="15">
        <v>2</v>
      </c>
    </row>
    <row r="5">
      <c r="A5" s="1" t="s">
        <v>257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283</v>
      </c>
      <c r="B6" s="1">
        <f>'Cutting Ro-1'!L14</f>
        <v>10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288</v>
      </c>
      <c r="B9" s="1">
        <f>O8</f>
        <v>4</v>
      </c>
      <c r="J9" s="15">
        <v>9</v>
      </c>
      <c r="K9" s="15">
        <v>4</v>
      </c>
    </row>
    <row r="10">
      <c r="A10" s="12" t="s">
        <v>289</v>
      </c>
      <c r="B10" s="13">
        <f>(((B4-(تسجيل1!C22*2))/200)+1)*B9</f>
        <v>8</v>
      </c>
      <c r="C10" s="647" t="s">
        <v>290</v>
      </c>
      <c r="D10" s="647"/>
      <c r="E10" s="14">
        <f>ROUND(B10,0)</f>
        <v>8</v>
      </c>
      <c r="J10" s="15">
        <v>10</v>
      </c>
      <c r="K10" s="15">
        <v>4</v>
      </c>
    </row>
    <row r="11">
      <c r="A11" s="12" t="s">
        <v>291</v>
      </c>
      <c r="B11" s="13">
        <f>E10/B9</f>
        <v>2</v>
      </c>
      <c r="C11" s="647" t="s">
        <v>290</v>
      </c>
      <c r="D11" s="647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292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zoomScale="25" zoomScaleNormal="25" zoomScaleSheetLayoutView="70" zoomScalePageLayoutView="25" workbookViewId="0">
      <selection activeCell="A21" sqref="A21:Q37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05"/>
    <col min="13" max="13" width="5.140625" customWidth="1" style="405"/>
    <col min="14" max="16" width="20.5703125" customWidth="1" style="405"/>
    <col min="17" max="17" width="6.140625" customWidth="1" style="405"/>
    <col min="18" max="18" width="61.5703125" customWidth="1" style="40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06"/>
    <col min="56" max="66" width="24.5703125" customWidth="1"/>
  </cols>
  <sheetData>
    <row r="1" ht="45.75" customHeight="1">
      <c r="A1" s="584"/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611"/>
      <c r="S1" s="408" t="s">
        <v>160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161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162</v>
      </c>
      <c r="BE1" s="408"/>
      <c r="BF1" s="624"/>
      <c r="BG1" s="624"/>
      <c r="BH1" s="624"/>
      <c r="BI1" s="624"/>
      <c r="BJ1" s="624"/>
      <c r="BK1" s="624"/>
      <c r="BL1" s="624"/>
      <c r="BM1" s="624"/>
      <c r="BN1" s="624"/>
    </row>
    <row r="2" ht="45" customHeight="1">
      <c r="A2" s="584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611"/>
      <c r="S2" s="410" t="s">
        <v>163</v>
      </c>
      <c r="T2" s="411">
        <f>IF((V14="ok"),Royal!G80,"R")</f>
        <v>179703.83493946967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12" t="s">
        <v>163</v>
      </c>
      <c r="AG2" s="606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20535.625</v>
      </c>
      <c r="AH2" s="606"/>
      <c r="AI2" s="414"/>
      <c r="AJ2" s="414"/>
      <c r="AK2" s="414"/>
      <c r="AR2" s="406"/>
      <c r="AS2" s="464" t="s">
        <v>163</v>
      </c>
      <c r="AT2" s="465">
        <f>IF((AV14="OK"),wavy1!R72,"R")</f>
        <v>83515.771710526315</v>
      </c>
      <c r="AU2" s="412"/>
      <c r="AV2" s="407"/>
      <c r="AW2" s="407"/>
      <c r="AX2" s="407"/>
      <c r="AY2" s="407"/>
      <c r="AZ2" s="407"/>
      <c r="BA2" s="407"/>
      <c r="BB2" s="407"/>
      <c r="BD2" s="479" t="s">
        <v>163</v>
      </c>
      <c r="BE2" s="479">
        <f>IF((BG14="OK"),wavy2!R72,"R")</f>
        <v>99310.747877192989</v>
      </c>
      <c r="BF2" s="624"/>
      <c r="BG2" s="624"/>
      <c r="BH2" s="624"/>
      <c r="BI2" s="624"/>
      <c r="BJ2" s="624"/>
      <c r="BK2" s="624"/>
      <c r="BL2" s="624"/>
      <c r="BM2" s="624"/>
      <c r="BN2" s="624"/>
    </row>
    <row r="3" ht="54.75" customHeight="1">
      <c r="A3" s="584"/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4"/>
      <c r="R3" s="611"/>
      <c r="S3" s="519" t="s">
        <v>127</v>
      </c>
      <c r="T3" s="413">
        <f>T2/(AA10*X8)*10000</f>
        <v>8557.32547330808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12"/>
      <c r="AG3" s="606"/>
      <c r="AH3" s="606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6681.2617368421061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>
        <f>BE2/(BG10*BL12)*10000</f>
        <v>2837.4499393483711</v>
      </c>
      <c r="BF3" s="624"/>
      <c r="BG3" s="624"/>
      <c r="BH3" s="624"/>
      <c r="BI3" s="624"/>
      <c r="BJ3" s="624"/>
      <c r="BK3" s="624"/>
      <c r="BL3" s="624"/>
      <c r="BM3" s="624"/>
      <c r="BN3" s="624"/>
    </row>
    <row r="4" ht="55.5" customHeight="1">
      <c r="A4" s="584"/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  <c r="P4" s="584"/>
      <c r="Q4" s="584"/>
      <c r="R4" s="611"/>
      <c r="S4" s="521" t="s">
        <v>164</v>
      </c>
      <c r="T4" s="522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12"/>
      <c r="AG4" s="606"/>
      <c r="AH4" s="606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164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164</v>
      </c>
      <c r="BE4" s="487" t="s">
        <v>38</v>
      </c>
      <c r="BF4" s="625"/>
      <c r="BG4" s="626"/>
      <c r="BH4" s="626"/>
      <c r="BI4" s="626"/>
      <c r="BJ4" s="626"/>
      <c r="BK4" s="626"/>
      <c r="BL4" s="626"/>
      <c r="BM4" s="626"/>
      <c r="BN4" s="623"/>
    </row>
    <row r="5" ht="55.5" customHeight="1">
      <c r="A5" s="584"/>
      <c r="B5" s="584"/>
      <c r="C5" s="584"/>
      <c r="D5" s="584"/>
      <c r="E5" s="584"/>
      <c r="F5" s="584"/>
      <c r="G5" s="584"/>
      <c r="H5" s="584"/>
      <c r="I5" s="584"/>
      <c r="J5" s="584"/>
      <c r="K5" s="584"/>
      <c r="L5" s="584"/>
      <c r="M5" s="584"/>
      <c r="N5" s="584"/>
      <c r="O5" s="584"/>
      <c r="P5" s="584"/>
      <c r="Q5" s="584"/>
      <c r="R5" s="611"/>
      <c r="S5" s="521" t="s">
        <v>165</v>
      </c>
      <c r="T5" s="523" t="s">
        <v>166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165</v>
      </c>
      <c r="AT5" s="533" t="s">
        <v>166</v>
      </c>
      <c r="AU5" s="417"/>
      <c r="AV5" s="417"/>
      <c r="AW5" s="417"/>
      <c r="AX5" s="417"/>
      <c r="AY5" s="417"/>
      <c r="AZ5" s="417"/>
      <c r="BA5" s="417"/>
      <c r="BB5" s="405"/>
      <c r="BD5" s="482" t="s">
        <v>165</v>
      </c>
      <c r="BE5" s="534" t="s">
        <v>166</v>
      </c>
      <c r="BF5" s="625"/>
      <c r="BG5" s="626"/>
      <c r="BH5" s="626"/>
      <c r="BI5" s="626"/>
      <c r="BJ5" s="626"/>
      <c r="BK5" s="626"/>
      <c r="BL5" s="626"/>
      <c r="BM5" s="626"/>
      <c r="BN5" s="623"/>
    </row>
    <row r="6" ht="55.5" customHeight="1">
      <c r="A6" s="584"/>
      <c r="B6" s="584"/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  <c r="P6" s="584"/>
      <c r="Q6" s="584"/>
      <c r="R6" s="611"/>
      <c r="S6" s="521" t="s">
        <v>167</v>
      </c>
      <c r="T6" s="522" t="s">
        <v>168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169</v>
      </c>
      <c r="AJ6" s="458" t="s">
        <v>170</v>
      </c>
      <c r="AK6" s="459" t="s">
        <v>171</v>
      </c>
      <c r="AL6" s="458" t="s">
        <v>172</v>
      </c>
      <c r="AM6" s="458" t="s">
        <v>173</v>
      </c>
      <c r="AN6" s="460" t="s">
        <v>174</v>
      </c>
      <c r="AO6" s="627" t="s">
        <v>175</v>
      </c>
      <c r="AP6" s="628"/>
      <c r="AQ6" s="407"/>
      <c r="AR6" s="406"/>
      <c r="AS6" s="420" t="s">
        <v>167</v>
      </c>
      <c r="AT6" s="421" t="s">
        <v>168</v>
      </c>
      <c r="AU6" s="467"/>
      <c r="AV6" s="467"/>
      <c r="AW6" s="467"/>
      <c r="AX6" s="467"/>
      <c r="AY6" s="467"/>
      <c r="AZ6" s="467"/>
      <c r="BA6" s="467"/>
      <c r="BB6" s="467"/>
      <c r="BD6" s="482" t="s">
        <v>167</v>
      </c>
      <c r="BE6" s="487" t="s">
        <v>176</v>
      </c>
      <c r="BF6" s="467"/>
      <c r="BG6" s="467"/>
      <c r="BH6" s="467"/>
      <c r="BI6" s="467"/>
      <c r="BJ6" s="467"/>
      <c r="BK6" s="467"/>
      <c r="BL6" s="467"/>
      <c r="BM6" s="467"/>
      <c r="BN6" s="623"/>
    </row>
    <row r="7" ht="18.75" customHeight="1">
      <c r="A7" s="584"/>
      <c r="B7" s="584"/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584"/>
      <c r="P7" s="584"/>
      <c r="Q7" s="584"/>
      <c r="R7" s="611"/>
      <c r="S7" s="517"/>
      <c r="T7" s="518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3"/>
    </row>
    <row r="8" ht="55.5" customHeight="1">
      <c r="A8" s="407"/>
      <c r="B8" s="594" t="s">
        <v>177</v>
      </c>
      <c r="C8" s="594"/>
      <c r="D8" s="594"/>
      <c r="E8" s="407"/>
      <c r="F8" s="596"/>
      <c r="G8" s="596"/>
      <c r="H8" s="596"/>
      <c r="I8" s="584"/>
      <c r="J8" s="585"/>
      <c r="K8" s="585"/>
      <c r="L8" s="585"/>
      <c r="M8" s="584"/>
      <c r="N8" s="595"/>
      <c r="O8" s="595"/>
      <c r="P8" s="595"/>
      <c r="Q8" s="407"/>
      <c r="R8" s="611"/>
      <c r="S8" s="581"/>
      <c r="T8" s="581"/>
      <c r="U8" s="405"/>
      <c r="V8" s="405"/>
      <c r="W8" s="405"/>
      <c r="X8" s="426">
        <v>700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178</v>
      </c>
      <c r="AJ8" s="462" t="s">
        <v>179</v>
      </c>
      <c r="AK8" s="462">
        <v>3</v>
      </c>
      <c r="AL8" s="462" t="s">
        <v>168</v>
      </c>
      <c r="AM8" s="462" t="s">
        <v>180</v>
      </c>
      <c r="AN8" s="463" t="s">
        <v>181</v>
      </c>
      <c r="AO8" s="629"/>
      <c r="AP8" s="630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3"/>
    </row>
    <row r="9" ht="55.5" customHeight="1">
      <c r="A9" s="407"/>
      <c r="B9" s="594"/>
      <c r="C9" s="594"/>
      <c r="D9" s="594"/>
      <c r="E9" s="407"/>
      <c r="F9" s="596"/>
      <c r="G9" s="596"/>
      <c r="H9" s="596"/>
      <c r="I9" s="584"/>
      <c r="J9" s="585"/>
      <c r="K9" s="585"/>
      <c r="L9" s="585"/>
      <c r="M9" s="584"/>
      <c r="N9" s="595"/>
      <c r="O9" s="595"/>
      <c r="P9" s="595"/>
      <c r="Q9" s="407"/>
      <c r="R9" s="611"/>
      <c r="S9" s="582"/>
      <c r="T9" s="58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182</v>
      </c>
      <c r="AT9" s="416" t="s">
        <v>183</v>
      </c>
      <c r="AU9" s="467"/>
      <c r="AV9" s="467"/>
      <c r="AW9" s="467"/>
      <c r="AX9" s="467"/>
      <c r="AY9" s="467"/>
      <c r="AZ9" s="467"/>
      <c r="BA9" s="467"/>
      <c r="BB9" s="467"/>
      <c r="BD9" s="415" t="s">
        <v>182</v>
      </c>
      <c r="BE9" s="416" t="s">
        <v>183</v>
      </c>
      <c r="BF9" s="467"/>
      <c r="BG9" s="467"/>
      <c r="BH9" s="467"/>
      <c r="BI9" s="467"/>
      <c r="BJ9" s="467"/>
      <c r="BK9" s="467"/>
      <c r="BL9" s="467"/>
      <c r="BM9" s="467"/>
      <c r="BN9" s="623"/>
    </row>
    <row r="10" ht="55.5" customHeight="1">
      <c r="A10" s="407"/>
      <c r="B10" s="594"/>
      <c r="C10" s="594"/>
      <c r="D10" s="594"/>
      <c r="E10" s="407"/>
      <c r="F10" s="596"/>
      <c r="G10" s="596"/>
      <c r="H10" s="596"/>
      <c r="I10" s="584"/>
      <c r="J10" s="585"/>
      <c r="K10" s="585"/>
      <c r="L10" s="585"/>
      <c r="M10" s="584"/>
      <c r="N10" s="595"/>
      <c r="O10" s="595"/>
      <c r="P10" s="595"/>
      <c r="Q10" s="407"/>
      <c r="R10" s="611"/>
      <c r="S10" s="520" t="s">
        <v>184</v>
      </c>
      <c r="T10" s="416" t="s">
        <v>185</v>
      </c>
      <c r="U10" s="405"/>
      <c r="V10" s="427"/>
      <c r="W10" s="427"/>
      <c r="X10" s="427"/>
      <c r="Y10" s="427"/>
      <c r="Z10" s="427"/>
      <c r="AA10" s="426">
        <v>300</v>
      </c>
      <c r="AB10" s="405"/>
      <c r="AC10" s="407"/>
      <c r="AD10" s="406"/>
      <c r="AE10" s="583" t="s">
        <v>186</v>
      </c>
      <c r="AF10" s="583"/>
      <c r="AG10" s="583"/>
      <c r="AH10" s="583"/>
      <c r="AI10" s="583"/>
      <c r="AJ10" s="583"/>
      <c r="AK10" s="583"/>
      <c r="AL10" s="583"/>
      <c r="AM10" s="583"/>
      <c r="AN10" s="583"/>
      <c r="AO10" s="583"/>
      <c r="AP10" s="583"/>
      <c r="AQ10" s="583"/>
      <c r="AR10" s="406"/>
      <c r="AS10" s="415" t="s">
        <v>184</v>
      </c>
      <c r="AT10" s="416" t="s">
        <v>185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184</v>
      </c>
      <c r="BE10" s="416" t="s">
        <v>185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1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3"/>
      <c r="AF11" s="583"/>
      <c r="AG11" s="583"/>
      <c r="AH11" s="583"/>
      <c r="AI11" s="583"/>
      <c r="AJ11" s="583"/>
      <c r="AK11" s="583"/>
      <c r="AL11" s="583"/>
      <c r="AM11" s="583"/>
      <c r="AN11" s="583"/>
      <c r="AO11" s="583"/>
      <c r="AP11" s="583"/>
      <c r="AQ11" s="583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3"/>
    </row>
    <row r="12" ht="55.5" customHeight="1" s="405" customFormat="1">
      <c r="A12" s="407"/>
      <c r="B12" s="585"/>
      <c r="C12" s="585"/>
      <c r="D12" s="585"/>
      <c r="E12" s="407"/>
      <c r="F12" s="587"/>
      <c r="G12" s="587"/>
      <c r="H12" s="587"/>
      <c r="I12" s="584"/>
      <c r="J12" s="585"/>
      <c r="K12" s="585"/>
      <c r="L12" s="585"/>
      <c r="M12" s="584"/>
      <c r="N12" s="586"/>
      <c r="O12" s="586"/>
      <c r="P12" s="586"/>
      <c r="Q12" s="407"/>
      <c r="R12" s="611"/>
      <c r="S12" s="521" t="s">
        <v>187</v>
      </c>
      <c r="T12" s="524"/>
      <c r="AC12" s="407"/>
      <c r="AD12" s="406"/>
      <c r="AE12" s="583"/>
      <c r="AF12" s="583"/>
      <c r="AG12" s="583"/>
      <c r="AH12" s="583"/>
      <c r="AI12" s="583"/>
      <c r="AJ12" s="583"/>
      <c r="AK12" s="583"/>
      <c r="AL12" s="583"/>
      <c r="AM12" s="583"/>
      <c r="AN12" s="583"/>
      <c r="AO12" s="583"/>
      <c r="AP12" s="583"/>
      <c r="AQ12" s="583"/>
      <c r="AR12" s="406"/>
      <c r="AS12" s="430" t="s">
        <v>187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187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3"/>
    </row>
    <row r="13" ht="55.5" customHeight="1" s="405" customFormat="1">
      <c r="A13" s="407"/>
      <c r="B13" s="585"/>
      <c r="C13" s="585"/>
      <c r="D13" s="585"/>
      <c r="E13" s="407"/>
      <c r="F13" s="587"/>
      <c r="G13" s="587"/>
      <c r="H13" s="587"/>
      <c r="I13" s="584"/>
      <c r="J13" s="585"/>
      <c r="K13" s="585"/>
      <c r="L13" s="585"/>
      <c r="M13" s="584"/>
      <c r="N13" s="586"/>
      <c r="O13" s="586"/>
      <c r="P13" s="586"/>
      <c r="Q13" s="407"/>
      <c r="R13" s="611"/>
      <c r="S13" s="526" t="s">
        <v>188</v>
      </c>
      <c r="T13" s="488"/>
      <c r="AC13" s="407"/>
      <c r="AD13" s="406"/>
      <c r="AE13" s="583"/>
      <c r="AF13" s="583"/>
      <c r="AG13" s="583"/>
      <c r="AH13" s="583"/>
      <c r="AI13" s="583"/>
      <c r="AJ13" s="583"/>
      <c r="AK13" s="583"/>
      <c r="AL13" s="583"/>
      <c r="AM13" s="583"/>
      <c r="AN13" s="583"/>
      <c r="AO13" s="583"/>
      <c r="AP13" s="583"/>
      <c r="AQ13" s="583"/>
      <c r="AR13" s="406"/>
      <c r="AS13" s="430" t="s">
        <v>188</v>
      </c>
      <c r="AT13" s="430"/>
      <c r="AU13" s="467"/>
      <c r="AV13" s="467"/>
      <c r="AW13" s="467"/>
      <c r="AX13" s="467"/>
      <c r="AY13" s="467"/>
      <c r="AZ13" s="467"/>
      <c r="BA13" s="467" t="s">
        <v>189</v>
      </c>
      <c r="BB13" s="467"/>
      <c r="BC13" s="406"/>
      <c r="BD13" s="484" t="s">
        <v>188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3"/>
    </row>
    <row r="14" ht="55.5" customHeight="1" s="405" customFormat="1">
      <c r="A14" s="407"/>
      <c r="B14" s="585"/>
      <c r="C14" s="585"/>
      <c r="D14" s="585"/>
      <c r="E14" s="407"/>
      <c r="F14" s="587"/>
      <c r="G14" s="587"/>
      <c r="H14" s="587"/>
      <c r="I14" s="584"/>
      <c r="J14" s="585"/>
      <c r="K14" s="585"/>
      <c r="L14" s="585"/>
      <c r="M14" s="584"/>
      <c r="N14" s="586"/>
      <c r="O14" s="586"/>
      <c r="P14" s="586"/>
      <c r="Q14" s="407"/>
      <c r="R14" s="611"/>
      <c r="S14" s="527" t="s">
        <v>190</v>
      </c>
      <c r="T14" s="525"/>
      <c r="U14" s="489" t="s">
        <v>191</v>
      </c>
      <c r="V14" s="61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17"/>
      <c r="X14" s="617"/>
      <c r="Y14" s="617"/>
      <c r="Z14" s="617"/>
      <c r="AA14" s="617"/>
      <c r="AB14" s="617"/>
      <c r="AC14" s="617"/>
      <c r="AD14" s="406"/>
      <c r="AE14" s="583"/>
      <c r="AF14" s="583"/>
      <c r="AG14" s="583"/>
      <c r="AH14" s="583"/>
      <c r="AI14" s="583"/>
      <c r="AJ14" s="583"/>
      <c r="AK14" s="583"/>
      <c r="AL14" s="583"/>
      <c r="AM14" s="583"/>
      <c r="AN14" s="583"/>
      <c r="AO14" s="583"/>
      <c r="AP14" s="583"/>
      <c r="AQ14" s="583"/>
      <c r="AR14" s="406"/>
      <c r="AS14" s="430" t="s">
        <v>190</v>
      </c>
      <c r="AT14" s="430"/>
      <c r="AU14" s="426" t="s">
        <v>191</v>
      </c>
      <c r="AV14" s="61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17"/>
      <c r="AX14" s="617"/>
      <c r="AY14" s="617"/>
      <c r="AZ14" s="617"/>
      <c r="BA14" s="617"/>
      <c r="BB14" s="617"/>
      <c r="BC14" s="406"/>
      <c r="BD14" s="484" t="s">
        <v>190</v>
      </c>
      <c r="BE14" s="484"/>
      <c r="BF14" s="489" t="s">
        <v>192</v>
      </c>
      <c r="BG14" s="61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17"/>
      <c r="BI14" s="617"/>
      <c r="BJ14" s="617"/>
      <c r="BK14" s="617"/>
      <c r="BL14" s="617"/>
      <c r="BM14" s="617"/>
      <c r="BN14" s="532"/>
    </row>
    <row r="15" ht="18.75" customHeight="1" s="405" customFormat="1">
      <c r="A15" s="407"/>
      <c r="B15" s="584"/>
      <c r="C15" s="584"/>
      <c r="D15" s="584"/>
      <c r="E15" s="584"/>
      <c r="F15" s="584"/>
      <c r="G15" s="584"/>
      <c r="H15" s="584"/>
      <c r="I15" s="584"/>
      <c r="J15" s="584"/>
      <c r="K15" s="584"/>
      <c r="L15" s="584"/>
      <c r="M15" s="584"/>
      <c r="N15" s="584"/>
      <c r="O15" s="584"/>
      <c r="P15" s="584"/>
      <c r="Q15" s="407"/>
      <c r="R15" s="61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583"/>
      <c r="AF15" s="583"/>
      <c r="AG15" s="583"/>
      <c r="AH15" s="583"/>
      <c r="AI15" s="583"/>
      <c r="AJ15" s="583"/>
      <c r="AK15" s="583"/>
      <c r="AL15" s="583"/>
      <c r="AM15" s="583"/>
      <c r="AN15" s="583"/>
      <c r="AO15" s="583"/>
      <c r="AP15" s="583"/>
      <c r="AQ15" s="583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584"/>
      <c r="B16" s="584"/>
      <c r="C16" s="584"/>
      <c r="D16" s="584"/>
      <c r="E16" s="584"/>
      <c r="F16" s="584"/>
      <c r="G16" s="584"/>
      <c r="H16" s="584"/>
      <c r="I16" s="584"/>
      <c r="J16" s="584"/>
      <c r="K16" s="584"/>
      <c r="L16" s="584"/>
      <c r="M16" s="584"/>
      <c r="N16" s="584"/>
      <c r="O16" s="584"/>
      <c r="P16" s="584"/>
      <c r="Q16" s="584"/>
      <c r="R16" s="61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583"/>
      <c r="AF16" s="583"/>
      <c r="AG16" s="583"/>
      <c r="AH16" s="583"/>
      <c r="AI16" s="583"/>
      <c r="AJ16" s="583"/>
      <c r="AK16" s="583"/>
      <c r="AL16" s="583"/>
      <c r="AM16" s="583"/>
      <c r="AN16" s="583"/>
      <c r="AO16" s="583"/>
      <c r="AP16" s="583"/>
      <c r="AQ16" s="583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584"/>
      <c r="B17" s="584"/>
      <c r="C17" s="584"/>
      <c r="D17" s="584"/>
      <c r="E17" s="584"/>
      <c r="F17" s="584"/>
      <c r="G17" s="584"/>
      <c r="H17" s="584"/>
      <c r="I17" s="584"/>
      <c r="J17" s="584"/>
      <c r="K17" s="584"/>
      <c r="L17" s="584"/>
      <c r="M17" s="584"/>
      <c r="N17" s="584"/>
      <c r="O17" s="584"/>
      <c r="P17" s="584"/>
      <c r="Q17" s="584"/>
      <c r="R17" s="61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584"/>
      <c r="B18" s="584"/>
      <c r="C18" s="584"/>
      <c r="D18" s="584"/>
      <c r="E18" s="584"/>
      <c r="F18" s="584"/>
      <c r="G18" s="584"/>
      <c r="H18" s="584"/>
      <c r="I18" s="584"/>
      <c r="J18" s="584"/>
      <c r="K18" s="584"/>
      <c r="L18" s="584"/>
      <c r="M18" s="584"/>
      <c r="N18" s="584"/>
      <c r="O18" s="584"/>
      <c r="P18" s="584"/>
      <c r="Q18" s="584"/>
      <c r="R18" s="61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584"/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  <c r="M19" s="584"/>
      <c r="N19" s="584"/>
      <c r="O19" s="584"/>
      <c r="P19" s="584"/>
      <c r="Q19" s="584"/>
      <c r="R19" s="61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584"/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61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407"/>
      <c r="AF20" s="407"/>
      <c r="AG20" s="407"/>
      <c r="AH20" s="407"/>
      <c r="AI20" s="407"/>
      <c r="AJ20" s="407"/>
      <c r="AK20" s="407"/>
      <c r="AL20" s="407"/>
      <c r="AM20" s="407"/>
      <c r="AN20" s="407"/>
      <c r="AO20" s="407"/>
      <c r="AP20" s="407"/>
      <c r="AQ20" s="40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00" t="s">
        <v>193</v>
      </c>
      <c r="B21" s="600"/>
      <c r="C21" s="600"/>
      <c r="D21" s="600"/>
      <c r="E21" s="600"/>
      <c r="F21" s="600"/>
      <c r="G21" s="600"/>
      <c r="H21" s="600"/>
      <c r="I21" s="600"/>
      <c r="J21" s="600"/>
      <c r="K21" s="600"/>
      <c r="L21" s="600"/>
      <c r="M21" s="600"/>
      <c r="N21" s="600"/>
      <c r="O21" s="600"/>
      <c r="P21" s="600"/>
      <c r="Q21" s="600"/>
      <c r="R21" s="611"/>
      <c r="S21" s="607" t="s">
        <v>194</v>
      </c>
      <c r="T21" s="608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407"/>
      <c r="AF21" s="407"/>
      <c r="AG21" s="407"/>
      <c r="AH21" s="407"/>
      <c r="AI21" s="407"/>
      <c r="AJ21" s="407"/>
      <c r="AK21" s="407"/>
      <c r="AL21" s="407"/>
      <c r="AM21" s="407"/>
      <c r="AN21" s="407"/>
      <c r="AO21" s="407"/>
      <c r="AP21" s="407"/>
      <c r="AQ21" s="407"/>
      <c r="AR21" s="406"/>
      <c r="AS21" s="408" t="s">
        <v>195</v>
      </c>
      <c r="AT21" s="408"/>
      <c r="AU21" s="471"/>
      <c r="AW21" s="477"/>
      <c r="BC21" s="406"/>
      <c r="BD21" s="408" t="s">
        <v>196</v>
      </c>
      <c r="BE21" s="408"/>
      <c r="BF21" s="471"/>
      <c r="BH21" s="477"/>
      <c r="BN21" s="407"/>
    </row>
    <row r="22" ht="39.75" customHeight="1" s="405" customFormat="1">
      <c r="A22" s="600"/>
      <c r="B22" s="600"/>
      <c r="C22" s="600"/>
      <c r="D22" s="600"/>
      <c r="E22" s="600"/>
      <c r="F22" s="600"/>
      <c r="G22" s="600"/>
      <c r="H22" s="600"/>
      <c r="I22" s="600"/>
      <c r="J22" s="600"/>
      <c r="K22" s="600"/>
      <c r="L22" s="600"/>
      <c r="M22" s="600"/>
      <c r="N22" s="600"/>
      <c r="O22" s="600"/>
      <c r="P22" s="600"/>
      <c r="Q22" s="600"/>
      <c r="R22" s="611"/>
      <c r="S22" s="434" t="s">
        <v>163</v>
      </c>
      <c r="T22" s="435">
        <f>Royal2!G85</f>
        <v>498051.82303951716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406"/>
      <c r="AE22" s="605" t="s">
        <v>163</v>
      </c>
      <c r="AF22" s="605"/>
      <c r="AG22" s="606">
        <f>'شماسي و كانتليفر'!AE12</f>
        <v>22927.125</v>
      </c>
      <c r="AH22" s="606"/>
      <c r="AI22" s="407"/>
      <c r="AJ22" s="407"/>
      <c r="AK22" s="407"/>
      <c r="AL22" s="407"/>
      <c r="AM22" s="407"/>
      <c r="AN22" s="407"/>
      <c r="AO22" s="407"/>
      <c r="AP22" s="407"/>
      <c r="AQ22" s="407"/>
      <c r="AR22" s="406"/>
      <c r="AS22" s="464" t="s">
        <v>163</v>
      </c>
      <c r="AT22" s="465" t="e">
        <f>'بيرسا و لوفرز'!R69</f>
        <v>#DIV/0!</v>
      </c>
      <c r="AU22" s="472"/>
      <c r="BC22" s="406"/>
      <c r="BD22" s="464" t="s">
        <v>163</v>
      </c>
      <c r="BE22" s="465">
        <f>'بيرسا و لوفرز'!R140</f>
        <v>330274.10000000003</v>
      </c>
      <c r="BF22" s="472"/>
      <c r="BN22" s="407"/>
    </row>
    <row r="23" ht="39.75" customHeight="1" s="405" customFormat="1">
      <c r="A23" s="600"/>
      <c r="B23" s="600"/>
      <c r="C23" s="600"/>
      <c r="D23" s="600"/>
      <c r="E23" s="600"/>
      <c r="F23" s="600"/>
      <c r="G23" s="600"/>
      <c r="H23" s="600"/>
      <c r="I23" s="600"/>
      <c r="J23" s="600"/>
      <c r="K23" s="600"/>
      <c r="L23" s="600"/>
      <c r="M23" s="600"/>
      <c r="N23" s="600"/>
      <c r="O23" s="600"/>
      <c r="P23" s="600"/>
      <c r="Q23" s="600"/>
      <c r="R23" s="611"/>
      <c r="S23" s="436" t="s">
        <v>127</v>
      </c>
      <c r="T23" s="435">
        <f>T22/(AA33*X31)*10000</f>
        <v>5188.0398233283031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05"/>
      <c r="AF23" s="605"/>
      <c r="AG23" s="606"/>
      <c r="AH23" s="606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 t="e">
        <f>AT22/(AT33*AT34/10000)</f>
        <v>#DIV/0!</v>
      </c>
      <c r="AU23" s="472"/>
      <c r="AV23" s="473"/>
      <c r="BC23" s="406"/>
      <c r="BD23" s="464" t="s">
        <v>127</v>
      </c>
      <c r="BE23" s="466">
        <f>BE22/(BE33*BE34/10000)</f>
        <v>16513.705</v>
      </c>
      <c r="BF23" s="472"/>
      <c r="BG23" s="473"/>
      <c r="BN23" s="407"/>
    </row>
    <row r="24" ht="39.75" customHeight="1" s="405" customFormat="1">
      <c r="A24" s="600"/>
      <c r="B24" s="600"/>
      <c r="C24" s="600"/>
      <c r="D24" s="600"/>
      <c r="E24" s="600"/>
      <c r="F24" s="600"/>
      <c r="G24" s="600"/>
      <c r="H24" s="600"/>
      <c r="I24" s="600"/>
      <c r="J24" s="600"/>
      <c r="K24" s="600"/>
      <c r="L24" s="600"/>
      <c r="M24" s="600"/>
      <c r="N24" s="600"/>
      <c r="O24" s="600"/>
      <c r="P24" s="600"/>
      <c r="Q24" s="600"/>
      <c r="R24" s="611"/>
      <c r="S24" s="432" t="s">
        <v>164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453"/>
      <c r="AF24" s="454"/>
      <c r="AG24" s="454"/>
      <c r="AH24" s="414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164</v>
      </c>
      <c r="AT24" s="416" t="s">
        <v>38</v>
      </c>
      <c r="BC24" s="406"/>
      <c r="BD24" s="418" t="s">
        <v>164</v>
      </c>
      <c r="BE24" s="416" t="s">
        <v>38</v>
      </c>
      <c r="BN24" s="407"/>
    </row>
    <row r="25" ht="39.75" customHeight="1">
      <c r="A25" s="600"/>
      <c r="B25" s="600"/>
      <c r="C25" s="600"/>
      <c r="D25" s="600"/>
      <c r="E25" s="600"/>
      <c r="F25" s="600"/>
      <c r="G25" s="600"/>
      <c r="H25" s="600"/>
      <c r="I25" s="600"/>
      <c r="J25" s="600"/>
      <c r="K25" s="600"/>
      <c r="L25" s="600"/>
      <c r="M25" s="600"/>
      <c r="N25" s="600"/>
      <c r="O25" s="600"/>
      <c r="P25" s="600"/>
      <c r="Q25" s="600"/>
      <c r="R25" s="611"/>
      <c r="S25" s="437" t="s">
        <v>165</v>
      </c>
      <c r="T25" s="438" t="s">
        <v>166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07"/>
      <c r="AI25" s="407"/>
      <c r="AJ25" s="407"/>
      <c r="AK25" s="407"/>
      <c r="AL25" s="407"/>
      <c r="AM25" s="407"/>
      <c r="AN25" s="407"/>
      <c r="AO25" s="407"/>
      <c r="AP25" s="407"/>
      <c r="AQ25" s="407"/>
      <c r="AR25" s="406"/>
      <c r="AS25" s="418" t="s">
        <v>165</v>
      </c>
      <c r="AT25" s="419" t="s">
        <v>197</v>
      </c>
      <c r="AW25" s="485">
        <f>AT34</f>
        <v>310</v>
      </c>
      <c r="BD25" s="418" t="s">
        <v>165</v>
      </c>
      <c r="BE25" s="419" t="s">
        <v>197</v>
      </c>
      <c r="BH25" s="485">
        <f>BE34</f>
        <v>400</v>
      </c>
      <c r="BN25" s="407"/>
    </row>
    <row r="26" ht="39.75" customHeight="1">
      <c r="A26" s="600"/>
      <c r="B26" s="600"/>
      <c r="C26" s="600"/>
      <c r="D26" s="600"/>
      <c r="E26" s="600"/>
      <c r="F26" s="600"/>
      <c r="G26" s="600"/>
      <c r="H26" s="600"/>
      <c r="I26" s="600"/>
      <c r="J26" s="600"/>
      <c r="K26" s="600"/>
      <c r="L26" s="600"/>
      <c r="M26" s="600"/>
      <c r="N26" s="600"/>
      <c r="O26" s="600"/>
      <c r="P26" s="600"/>
      <c r="Q26" s="600"/>
      <c r="R26" s="611"/>
      <c r="S26" s="432" t="s">
        <v>167</v>
      </c>
      <c r="T26" s="439" t="s">
        <v>168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592" t="s">
        <v>169</v>
      </c>
      <c r="AH26" s="613" t="s">
        <v>198</v>
      </c>
      <c r="AI26" s="592" t="s">
        <v>172</v>
      </c>
      <c r="AJ26" s="592" t="s">
        <v>173</v>
      </c>
      <c r="AK26" s="592" t="s">
        <v>174</v>
      </c>
      <c r="AL26" s="603" t="s">
        <v>175</v>
      </c>
      <c r="AM26" s="603"/>
      <c r="AN26" s="407"/>
      <c r="AO26" s="407"/>
      <c r="AP26" s="407"/>
      <c r="AQ26" s="407"/>
      <c r="AR26" s="406"/>
      <c r="AS26" s="420" t="s">
        <v>167</v>
      </c>
      <c r="AT26" s="421" t="s">
        <v>176</v>
      </c>
      <c r="BD26" s="420" t="s">
        <v>167</v>
      </c>
      <c r="BE26" s="421" t="s">
        <v>176</v>
      </c>
      <c r="BN26" s="407"/>
    </row>
    <row r="27" ht="39.75" customHeight="1">
      <c r="A27" s="600"/>
      <c r="B27" s="600"/>
      <c r="C27" s="600"/>
      <c r="D27" s="600"/>
      <c r="E27" s="600"/>
      <c r="F27" s="600"/>
      <c r="G27" s="600"/>
      <c r="H27" s="600"/>
      <c r="I27" s="600"/>
      <c r="J27" s="600"/>
      <c r="K27" s="600"/>
      <c r="L27" s="600"/>
      <c r="M27" s="600"/>
      <c r="N27" s="600"/>
      <c r="O27" s="600"/>
      <c r="P27" s="600"/>
      <c r="Q27" s="600"/>
      <c r="R27" s="61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593"/>
      <c r="AH27" s="614"/>
      <c r="AI27" s="593"/>
      <c r="AJ27" s="593"/>
      <c r="AK27" s="593"/>
      <c r="AL27" s="604"/>
      <c r="AM27" s="60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00"/>
      <c r="B28" s="600"/>
      <c r="C28" s="600"/>
      <c r="D28" s="600"/>
      <c r="E28" s="600"/>
      <c r="F28" s="600"/>
      <c r="G28" s="600"/>
      <c r="H28" s="600"/>
      <c r="I28" s="600"/>
      <c r="J28" s="600"/>
      <c r="K28" s="600"/>
      <c r="L28" s="600"/>
      <c r="M28" s="600"/>
      <c r="N28" s="600"/>
      <c r="O28" s="600"/>
      <c r="P28" s="600"/>
      <c r="Q28" s="600"/>
      <c r="R28" s="61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590" t="s">
        <v>199</v>
      </c>
      <c r="AH28" s="590" t="s">
        <v>200</v>
      </c>
      <c r="AI28" s="590" t="s">
        <v>168</v>
      </c>
      <c r="AJ28" s="590" t="s">
        <v>201</v>
      </c>
      <c r="AK28" s="590" t="s">
        <v>181</v>
      </c>
      <c r="AL28" s="601"/>
      <c r="AM28" s="60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00"/>
      <c r="B29" s="600"/>
      <c r="C29" s="600"/>
      <c r="D29" s="600"/>
      <c r="E29" s="600"/>
      <c r="F29" s="600"/>
      <c r="G29" s="600"/>
      <c r="H29" s="600"/>
      <c r="I29" s="600"/>
      <c r="J29" s="600"/>
      <c r="K29" s="600"/>
      <c r="L29" s="600"/>
      <c r="M29" s="600"/>
      <c r="N29" s="600"/>
      <c r="O29" s="600"/>
      <c r="P29" s="600"/>
      <c r="Q29" s="600"/>
      <c r="R29" s="61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591"/>
      <c r="AH29" s="591"/>
      <c r="AI29" s="591"/>
      <c r="AJ29" s="591"/>
      <c r="AK29" s="591"/>
      <c r="AL29" s="602"/>
      <c r="AM29" s="602"/>
      <c r="AN29" s="407"/>
      <c r="AO29" s="407"/>
      <c r="AP29" s="407"/>
      <c r="AQ29" s="407"/>
      <c r="AR29" s="406"/>
      <c r="AS29" s="415" t="s">
        <v>182</v>
      </c>
      <c r="AT29" s="475" t="s">
        <v>183</v>
      </c>
      <c r="BD29" s="415" t="s">
        <v>182</v>
      </c>
      <c r="BE29" s="475" t="s">
        <v>183</v>
      </c>
      <c r="BN29" s="407"/>
    </row>
    <row r="30" ht="39.75" customHeight="1">
      <c r="A30" s="600"/>
      <c r="B30" s="600"/>
      <c r="C30" s="600"/>
      <c r="D30" s="600"/>
      <c r="E30" s="600"/>
      <c r="F30" s="600"/>
      <c r="G30" s="600"/>
      <c r="H30" s="600"/>
      <c r="I30" s="600"/>
      <c r="J30" s="600"/>
      <c r="K30" s="600"/>
      <c r="L30" s="600"/>
      <c r="M30" s="600"/>
      <c r="N30" s="600"/>
      <c r="O30" s="600"/>
      <c r="P30" s="600"/>
      <c r="Q30" s="600"/>
      <c r="R30" s="611"/>
      <c r="S30" s="432" t="s">
        <v>202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184</v>
      </c>
      <c r="AT30" s="475" t="s">
        <v>185</v>
      </c>
      <c r="AV30" s="476"/>
      <c r="AW30" s="477"/>
      <c r="AX30" s="477"/>
      <c r="AY30" s="477"/>
      <c r="AZ30" s="477"/>
      <c r="BD30" s="415" t="s">
        <v>184</v>
      </c>
      <c r="BE30" s="475" t="s">
        <v>185</v>
      </c>
      <c r="BG30" s="476"/>
      <c r="BH30" s="477"/>
      <c r="BI30" s="477"/>
      <c r="BJ30" s="477"/>
      <c r="BK30" s="477"/>
      <c r="BN30" s="407"/>
    </row>
    <row r="31" ht="39.75" customHeight="1">
      <c r="A31" s="600"/>
      <c r="B31" s="600"/>
      <c r="C31" s="600"/>
      <c r="D31" s="600"/>
      <c r="E31" s="600"/>
      <c r="F31" s="600"/>
      <c r="G31" s="600"/>
      <c r="H31" s="600"/>
      <c r="I31" s="600"/>
      <c r="J31" s="600"/>
      <c r="K31" s="600"/>
      <c r="L31" s="600"/>
      <c r="M31" s="600"/>
      <c r="N31" s="600"/>
      <c r="O31" s="600"/>
      <c r="P31" s="600"/>
      <c r="Q31" s="600"/>
      <c r="R31" s="611"/>
      <c r="S31" s="432" t="s">
        <v>203</v>
      </c>
      <c r="T31" s="442"/>
      <c r="U31" s="443" t="s">
        <v>185</v>
      </c>
      <c r="V31" s="405"/>
      <c r="W31" s="405"/>
      <c r="X31" s="444">
        <v>800</v>
      </c>
      <c r="Y31" s="405"/>
      <c r="Z31" s="405"/>
      <c r="AA31" s="405"/>
      <c r="AB31" s="405"/>
      <c r="AC31" s="405"/>
      <c r="AD31" s="406"/>
      <c r="AE31" s="588" t="s">
        <v>204</v>
      </c>
      <c r="AF31" s="588"/>
      <c r="AG31" s="588"/>
      <c r="AH31" s="588"/>
      <c r="AI31" s="588"/>
      <c r="AJ31" s="588"/>
      <c r="AK31" s="588"/>
      <c r="AL31" s="588"/>
      <c r="AM31" s="588"/>
      <c r="AN31" s="588"/>
      <c r="AO31" s="588"/>
      <c r="AP31" s="58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00"/>
      <c r="B32" s="600"/>
      <c r="C32" s="600"/>
      <c r="D32" s="600"/>
      <c r="E32" s="600"/>
      <c r="F32" s="600"/>
      <c r="G32" s="600"/>
      <c r="H32" s="600"/>
      <c r="I32" s="600"/>
      <c r="J32" s="600"/>
      <c r="K32" s="600"/>
      <c r="L32" s="600"/>
      <c r="M32" s="600"/>
      <c r="N32" s="600"/>
      <c r="O32" s="600"/>
      <c r="P32" s="600"/>
      <c r="Q32" s="600"/>
      <c r="R32" s="611"/>
      <c r="S32" s="432" t="s">
        <v>187</v>
      </c>
      <c r="T32" s="445" t="s">
        <v>192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187</v>
      </c>
      <c r="AT32" s="426" t="s">
        <v>191</v>
      </c>
      <c r="BA32" s="476"/>
      <c r="BD32" s="430" t="s">
        <v>187</v>
      </c>
      <c r="BE32" s="426" t="s">
        <v>192</v>
      </c>
      <c r="BL32" s="476"/>
      <c r="BN32" s="407"/>
    </row>
    <row r="33" ht="39.75" customHeight="1">
      <c r="A33" s="600"/>
      <c r="B33" s="600"/>
      <c r="C33" s="600"/>
      <c r="D33" s="600"/>
      <c r="E33" s="600"/>
      <c r="F33" s="600"/>
      <c r="G33" s="600"/>
      <c r="H33" s="600"/>
      <c r="I33" s="600"/>
      <c r="J33" s="600"/>
      <c r="K33" s="600"/>
      <c r="L33" s="600"/>
      <c r="M33" s="600"/>
      <c r="N33" s="600"/>
      <c r="O33" s="600"/>
      <c r="P33" s="600"/>
      <c r="Q33" s="600"/>
      <c r="R33" s="611"/>
      <c r="S33" s="432" t="s">
        <v>188</v>
      </c>
      <c r="T33" s="447"/>
      <c r="U33" s="446"/>
      <c r="V33" s="589"/>
      <c r="W33" s="589"/>
      <c r="X33" s="448"/>
      <c r="Y33" s="446"/>
      <c r="Z33" s="446"/>
      <c r="AA33" s="445">
        <v>1200</v>
      </c>
      <c r="AB33" s="446"/>
      <c r="AC33" s="446"/>
      <c r="AD33" s="406"/>
      <c r="AE33" s="586"/>
      <c r="AF33" s="586"/>
      <c r="AG33" s="586"/>
      <c r="AH33" s="586"/>
      <c r="AI33" s="586"/>
      <c r="AJ33" s="586"/>
      <c r="AK33" s="586"/>
      <c r="AL33" s="586"/>
      <c r="AM33" s="586"/>
      <c r="AN33" s="586"/>
      <c r="AO33" s="586"/>
      <c r="AP33" s="586"/>
      <c r="AQ33" s="586"/>
      <c r="AR33" s="406"/>
      <c r="AS33" s="430" t="s">
        <v>188</v>
      </c>
      <c r="AT33" s="430">
        <v>690</v>
      </c>
      <c r="BA33" s="0" t="s">
        <v>189</v>
      </c>
      <c r="BD33" s="430" t="s">
        <v>188</v>
      </c>
      <c r="BE33" s="430">
        <v>500</v>
      </c>
      <c r="BL33" s="0" t="s">
        <v>189</v>
      </c>
      <c r="BN33" s="407"/>
    </row>
    <row r="34" ht="40.5" customHeight="1">
      <c r="A34" s="600"/>
      <c r="B34" s="600"/>
      <c r="C34" s="600"/>
      <c r="D34" s="600"/>
      <c r="E34" s="600"/>
      <c r="F34" s="600"/>
      <c r="G34" s="600"/>
      <c r="H34" s="600"/>
      <c r="I34" s="600"/>
      <c r="J34" s="600"/>
      <c r="K34" s="600"/>
      <c r="L34" s="600"/>
      <c r="M34" s="600"/>
      <c r="N34" s="600"/>
      <c r="O34" s="600"/>
      <c r="P34" s="600"/>
      <c r="Q34" s="600"/>
      <c r="R34" s="611"/>
      <c r="S34" s="432" t="s">
        <v>190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E34" s="586"/>
      <c r="AF34" s="586"/>
      <c r="AG34" s="586"/>
      <c r="AH34" s="586"/>
      <c r="AI34" s="586"/>
      <c r="AJ34" s="586"/>
      <c r="AK34" s="586"/>
      <c r="AL34" s="586"/>
      <c r="AM34" s="586"/>
      <c r="AN34" s="586"/>
      <c r="AO34" s="586"/>
      <c r="AP34" s="586"/>
      <c r="AQ34" s="586"/>
      <c r="AR34" s="406"/>
      <c r="AS34" s="430" t="s">
        <v>190</v>
      </c>
      <c r="AT34" s="430">
        <v>310</v>
      </c>
      <c r="AU34" s="478"/>
      <c r="AZ34" s="615"/>
      <c r="BA34" s="615"/>
      <c r="BB34" s="615"/>
      <c r="BD34" s="430" t="s">
        <v>190</v>
      </c>
      <c r="BE34" s="430">
        <v>400</v>
      </c>
      <c r="BF34" s="478"/>
      <c r="BK34" s="615"/>
      <c r="BL34" s="615"/>
      <c r="BM34" s="615"/>
      <c r="BN34" s="407"/>
    </row>
    <row r="35" ht="41.25" customHeight="1">
      <c r="A35" s="600"/>
      <c r="B35" s="600"/>
      <c r="C35" s="600"/>
      <c r="D35" s="600"/>
      <c r="E35" s="600"/>
      <c r="F35" s="600"/>
      <c r="G35" s="600"/>
      <c r="H35" s="600"/>
      <c r="I35" s="600"/>
      <c r="J35" s="600"/>
      <c r="K35" s="600"/>
      <c r="L35" s="600"/>
      <c r="M35" s="600"/>
      <c r="N35" s="600"/>
      <c r="O35" s="600"/>
      <c r="P35" s="600"/>
      <c r="Q35" s="600"/>
      <c r="R35" s="61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E35" s="586"/>
      <c r="AF35" s="586"/>
      <c r="AG35" s="586"/>
      <c r="AH35" s="586"/>
      <c r="AI35" s="586"/>
      <c r="AJ35" s="586"/>
      <c r="AK35" s="586"/>
      <c r="AL35" s="586"/>
      <c r="AM35" s="586"/>
      <c r="AN35" s="586"/>
      <c r="AO35" s="586"/>
      <c r="AP35" s="586"/>
      <c r="AQ35" s="586"/>
      <c r="AR35" s="406"/>
      <c r="AS35" s="407"/>
      <c r="AT35" s="407"/>
      <c r="BD35" s="407"/>
      <c r="BE35" s="407"/>
      <c r="BN35" s="407"/>
    </row>
    <row r="36" ht="41.25" customHeight="1">
      <c r="A36" s="600"/>
      <c r="B36" s="600"/>
      <c r="C36" s="600"/>
      <c r="D36" s="600"/>
      <c r="E36" s="600"/>
      <c r="F36" s="600"/>
      <c r="G36" s="600"/>
      <c r="H36" s="600"/>
      <c r="I36" s="600"/>
      <c r="J36" s="600"/>
      <c r="K36" s="600"/>
      <c r="L36" s="600"/>
      <c r="M36" s="600"/>
      <c r="N36" s="600"/>
      <c r="O36" s="600"/>
      <c r="P36" s="600"/>
      <c r="Q36" s="600"/>
      <c r="R36" s="61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205</v>
      </c>
      <c r="AD36" s="406"/>
      <c r="AE36" s="586"/>
      <c r="AF36" s="586"/>
      <c r="AG36" s="586"/>
      <c r="AH36" s="586"/>
      <c r="AI36" s="586"/>
      <c r="AJ36" s="586"/>
      <c r="AK36" s="586"/>
      <c r="AL36" s="586"/>
      <c r="AM36" s="586"/>
      <c r="AN36" s="586"/>
      <c r="AO36" s="586"/>
      <c r="AP36" s="586"/>
      <c r="AQ36" s="586"/>
      <c r="AR36" s="406"/>
      <c r="AS36" s="407"/>
      <c r="AT36" s="407"/>
      <c r="BA36" s="485">
        <f>AT33</f>
        <v>690</v>
      </c>
      <c r="BD36" s="407"/>
      <c r="BE36" s="407"/>
      <c r="BN36" s="407"/>
    </row>
    <row r="37" ht="41.25" customHeight="1">
      <c r="A37" s="600"/>
      <c r="B37" s="600"/>
      <c r="C37" s="600"/>
      <c r="D37" s="600"/>
      <c r="E37" s="600"/>
      <c r="F37" s="600"/>
      <c r="G37" s="600"/>
      <c r="H37" s="600"/>
      <c r="I37" s="600"/>
      <c r="J37" s="600"/>
      <c r="K37" s="600"/>
      <c r="L37" s="600"/>
      <c r="M37" s="600"/>
      <c r="N37" s="600"/>
      <c r="O37" s="600"/>
      <c r="P37" s="600"/>
      <c r="Q37" s="600"/>
      <c r="R37" s="611"/>
      <c r="S37" s="407"/>
      <c r="T37" s="407"/>
      <c r="U37" s="580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580"/>
      <c r="W37" s="580"/>
      <c r="X37" s="580"/>
      <c r="Y37" s="580"/>
      <c r="Z37" s="580"/>
      <c r="AA37" s="580"/>
      <c r="AB37" s="580"/>
      <c r="AC37" s="580"/>
      <c r="AD37" s="406"/>
      <c r="AE37" s="586"/>
      <c r="AF37" s="586"/>
      <c r="AG37" s="586"/>
      <c r="AH37" s="586"/>
      <c r="AI37" s="586"/>
      <c r="AJ37" s="586"/>
      <c r="AK37" s="586"/>
      <c r="AL37" s="586"/>
      <c r="AM37" s="586"/>
      <c r="AN37" s="586"/>
      <c r="AO37" s="586"/>
      <c r="AP37" s="586"/>
      <c r="AQ37" s="586"/>
      <c r="AR37" s="406"/>
      <c r="AS37" s="620" t="e">
        <f>('بيرسا و لوفرز'!F24+'بيرسا و لوفرز'!V55+'بيرسا و لوفرز'!V63)*1.35</f>
        <v>#DIV/0!</v>
      </c>
      <c r="AT37" s="621"/>
      <c r="BD37" s="620">
        <f>('بيرسا و لوفرز'!F97+'بيرسا و لوفرز'!V126+'بيرسا و لوفرز'!V134)*1.35</f>
        <v>209209.5</v>
      </c>
      <c r="BE37" s="621"/>
      <c r="BN37" s="407"/>
    </row>
    <row r="38" ht="41.25" customHeight="1">
      <c r="A38" s="584"/>
      <c r="B38" s="584"/>
      <c r="C38" s="584"/>
      <c r="D38" s="584"/>
      <c r="E38" s="584"/>
      <c r="F38" s="584"/>
      <c r="G38" s="584"/>
      <c r="H38" s="584"/>
      <c r="I38" s="584"/>
      <c r="J38" s="584"/>
      <c r="K38" s="584"/>
      <c r="L38" s="584"/>
      <c r="M38" s="584"/>
      <c r="N38" s="584"/>
      <c r="O38" s="584"/>
      <c r="P38" s="584"/>
      <c r="Q38" s="584"/>
      <c r="R38" s="61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E38" s="586"/>
      <c r="AF38" s="586"/>
      <c r="AG38" s="586"/>
      <c r="AH38" s="586"/>
      <c r="AI38" s="586"/>
      <c r="AJ38" s="586"/>
      <c r="AK38" s="586"/>
      <c r="AL38" s="586"/>
      <c r="AM38" s="586"/>
      <c r="AN38" s="586"/>
      <c r="AO38" s="586"/>
      <c r="AP38" s="586"/>
      <c r="AQ38" s="586"/>
      <c r="AR38" s="406"/>
      <c r="AS38" s="620" t="e">
        <f>AS37/(AT34*AT33/10000)</f>
        <v>#DIV/0!</v>
      </c>
      <c r="AT38" s="621"/>
      <c r="BD38" s="620">
        <f>BD37/(BE33*BE34/10000)</f>
        <v>10460.475</v>
      </c>
      <c r="BE38" s="621"/>
      <c r="BK38" s="485">
        <f>BE33</f>
        <v>500</v>
      </c>
      <c r="BN38" s="407"/>
    </row>
    <row r="39" ht="41.25" customHeight="1">
      <c r="A39" s="584"/>
      <c r="B39" s="584"/>
      <c r="C39" s="584"/>
      <c r="D39" s="584"/>
      <c r="E39" s="584"/>
      <c r="F39" s="584"/>
      <c r="G39" s="584"/>
      <c r="H39" s="584"/>
      <c r="I39" s="584"/>
      <c r="J39" s="584"/>
      <c r="K39" s="584"/>
      <c r="L39" s="584"/>
      <c r="M39" s="584"/>
      <c r="N39" s="584"/>
      <c r="O39" s="584"/>
      <c r="P39" s="584"/>
      <c r="Q39" s="584"/>
      <c r="R39" s="611"/>
      <c r="S39" s="584"/>
      <c r="T39" s="584"/>
      <c r="U39" s="584"/>
      <c r="V39" s="584"/>
      <c r="W39" s="584"/>
      <c r="X39" s="584"/>
      <c r="Y39" s="584"/>
      <c r="Z39" s="584"/>
      <c r="AA39" s="584"/>
      <c r="AB39" s="584"/>
      <c r="AC39" s="584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584"/>
      <c r="B40" s="584"/>
      <c r="C40" s="584"/>
      <c r="D40" s="584"/>
      <c r="E40" s="584"/>
      <c r="F40" s="584"/>
      <c r="G40" s="584"/>
      <c r="H40" s="584"/>
      <c r="I40" s="584"/>
      <c r="J40" s="584"/>
      <c r="K40" s="584"/>
      <c r="L40" s="584"/>
      <c r="M40" s="584"/>
      <c r="N40" s="584"/>
      <c r="O40" s="584"/>
      <c r="P40" s="584"/>
      <c r="Q40" s="584"/>
      <c r="R40" s="611"/>
      <c r="S40" s="584"/>
      <c r="T40" s="584"/>
      <c r="U40" s="584"/>
      <c r="V40" s="584"/>
      <c r="W40" s="584"/>
      <c r="X40" s="584"/>
      <c r="Y40" s="584"/>
      <c r="Z40" s="584"/>
      <c r="AA40" s="584"/>
      <c r="AB40" s="584"/>
      <c r="AC40" s="584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584"/>
      <c r="B41" s="584"/>
      <c r="C41" s="584"/>
      <c r="D41" s="584"/>
      <c r="E41" s="584"/>
      <c r="F41" s="584"/>
      <c r="G41" s="584"/>
      <c r="H41" s="584"/>
      <c r="I41" s="584"/>
      <c r="J41" s="584"/>
      <c r="K41" s="584"/>
      <c r="L41" s="584"/>
      <c r="M41" s="584"/>
      <c r="N41" s="584"/>
      <c r="O41" s="584"/>
      <c r="P41" s="584"/>
      <c r="Q41" s="584"/>
      <c r="R41" s="611"/>
      <c r="S41" s="584"/>
      <c r="T41" s="584"/>
      <c r="U41" s="584"/>
      <c r="V41" s="584"/>
      <c r="W41" s="584"/>
      <c r="X41" s="584"/>
      <c r="Y41" s="584"/>
      <c r="Z41" s="584"/>
      <c r="AA41" s="584"/>
      <c r="AB41" s="584"/>
      <c r="AC41" s="584"/>
      <c r="AD41" s="406"/>
      <c r="AE41" s="598" t="s">
        <v>206</v>
      </c>
      <c r="AF41" s="598"/>
      <c r="AG41" s="598"/>
      <c r="AH41" s="598"/>
      <c r="AI41" s="598"/>
      <c r="AJ41" s="598"/>
      <c r="AK41" s="598"/>
      <c r="AL41" s="598"/>
      <c r="AM41" s="598"/>
      <c r="AN41" s="598"/>
      <c r="AO41" s="598"/>
      <c r="AP41" s="598"/>
      <c r="AQ41" s="598"/>
      <c r="AR41" s="406"/>
      <c r="AS41" s="622" t="s">
        <v>207</v>
      </c>
      <c r="AT41" s="622"/>
      <c r="AU41" s="622"/>
      <c r="AW41" s="477"/>
      <c r="BD41" s="408" t="s">
        <v>208</v>
      </c>
      <c r="BE41" s="408"/>
      <c r="BF41" s="408"/>
      <c r="BH41" s="477"/>
      <c r="BN41" s="407"/>
    </row>
    <row r="42" ht="42" customHeight="1">
      <c r="A42" s="584"/>
      <c r="B42" s="584"/>
      <c r="C42" s="584"/>
      <c r="D42" s="584"/>
      <c r="E42" s="584"/>
      <c r="F42" s="584"/>
      <c r="G42" s="584"/>
      <c r="H42" s="584"/>
      <c r="I42" s="584"/>
      <c r="J42" s="584"/>
      <c r="K42" s="584"/>
      <c r="L42" s="584"/>
      <c r="M42" s="584"/>
      <c r="N42" s="584"/>
      <c r="O42" s="584"/>
      <c r="P42" s="584"/>
      <c r="Q42" s="584"/>
      <c r="R42" s="611"/>
      <c r="S42" s="607" t="s">
        <v>209</v>
      </c>
      <c r="T42" s="608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598"/>
      <c r="AF42" s="598"/>
      <c r="AG42" s="598"/>
      <c r="AH42" s="598"/>
      <c r="AI42" s="598"/>
      <c r="AJ42" s="598"/>
      <c r="AK42" s="598"/>
      <c r="AL42" s="598"/>
      <c r="AM42" s="598"/>
      <c r="AN42" s="598"/>
      <c r="AO42" s="598"/>
      <c r="AP42" s="598"/>
      <c r="AQ42" s="598"/>
      <c r="AR42" s="406"/>
      <c r="AS42" s="464" t="s">
        <v>163</v>
      </c>
      <c r="AT42" s="465">
        <f>'بيرسا و لوفرز'!BM68</f>
        <v>217441.445</v>
      </c>
      <c r="AU42" s="472"/>
      <c r="BD42" s="464" t="s">
        <v>163</v>
      </c>
      <c r="BE42" s="465">
        <f>'بيرسا و لوفرز'!BM139</f>
        <v>231884.445</v>
      </c>
      <c r="BF42" s="472"/>
      <c r="BN42" s="407"/>
    </row>
    <row r="43" ht="42" customHeight="1">
      <c r="A43" s="600" t="s">
        <v>210</v>
      </c>
      <c r="B43" s="600"/>
      <c r="C43" s="600"/>
      <c r="D43" s="600"/>
      <c r="E43" s="600"/>
      <c r="F43" s="600"/>
      <c r="G43" s="600"/>
      <c r="H43" s="600"/>
      <c r="I43" s="600"/>
      <c r="J43" s="600"/>
      <c r="K43" s="600"/>
      <c r="L43" s="600"/>
      <c r="M43" s="600"/>
      <c r="N43" s="600"/>
      <c r="O43" s="600"/>
      <c r="P43" s="600"/>
      <c r="Q43" s="600"/>
      <c r="R43" s="611"/>
      <c r="S43" s="434" t="s">
        <v>163</v>
      </c>
      <c r="T43" s="435">
        <f>'شماسي و كانتليفر'!N51</f>
        <v>78192.400000000009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598"/>
      <c r="AF43" s="598"/>
      <c r="AG43" s="598"/>
      <c r="AH43" s="598"/>
      <c r="AI43" s="598"/>
      <c r="AJ43" s="598"/>
      <c r="AK43" s="598"/>
      <c r="AL43" s="598"/>
      <c r="AM43" s="598"/>
      <c r="AN43" s="598"/>
      <c r="AO43" s="598"/>
      <c r="AP43" s="598"/>
      <c r="AQ43" s="598"/>
      <c r="AR43" s="406"/>
      <c r="AS43" s="464" t="s">
        <v>127</v>
      </c>
      <c r="AT43" s="466">
        <f>AT42/(AT53*AT54/10000)</f>
        <v>13590.0903125</v>
      </c>
      <c r="AU43" s="472"/>
      <c r="AV43" s="473"/>
      <c r="BD43" s="464" t="s">
        <v>127</v>
      </c>
      <c r="BE43" s="466">
        <f>BE42/(BE53*BE54/10000)</f>
        <v>14492.7778125</v>
      </c>
      <c r="BF43" s="472"/>
      <c r="BG43" s="473"/>
      <c r="BN43" s="407"/>
    </row>
    <row r="44" ht="42" customHeight="1">
      <c r="A44" s="600"/>
      <c r="B44" s="600"/>
      <c r="C44" s="600"/>
      <c r="D44" s="600"/>
      <c r="E44" s="600"/>
      <c r="F44" s="600"/>
      <c r="G44" s="600"/>
      <c r="H44" s="600"/>
      <c r="I44" s="600"/>
      <c r="J44" s="600"/>
      <c r="K44" s="600"/>
      <c r="L44" s="600"/>
      <c r="M44" s="600"/>
      <c r="N44" s="600"/>
      <c r="O44" s="600"/>
      <c r="P44" s="600"/>
      <c r="Q44" s="600"/>
      <c r="R44" s="611"/>
      <c r="S44" s="436" t="s">
        <v>127</v>
      </c>
      <c r="T44" s="435">
        <f>T43/T51</f>
        <v>3127.6960000000004</v>
      </c>
      <c r="U44" s="450"/>
      <c r="V44" s="450"/>
      <c r="W44" s="450"/>
      <c r="X44" s="450"/>
      <c r="Y44" s="599"/>
      <c r="Z44" s="599"/>
      <c r="AA44" s="450"/>
      <c r="AB44" s="450"/>
      <c r="AC44" s="450"/>
      <c r="AD44" s="406"/>
      <c r="AE44" s="598"/>
      <c r="AF44" s="598"/>
      <c r="AG44" s="598"/>
      <c r="AH44" s="598"/>
      <c r="AI44" s="598"/>
      <c r="AJ44" s="598"/>
      <c r="AK44" s="598"/>
      <c r="AL44" s="598"/>
      <c r="AM44" s="598"/>
      <c r="AN44" s="598"/>
      <c r="AO44" s="598"/>
      <c r="AP44" s="598"/>
      <c r="AQ44" s="598"/>
      <c r="AR44" s="406"/>
      <c r="AS44" s="418" t="s">
        <v>164</v>
      </c>
      <c r="AT44" s="416" t="s">
        <v>38</v>
      </c>
      <c r="BD44" s="418" t="s">
        <v>164</v>
      </c>
      <c r="BE44" s="416" t="s">
        <v>38</v>
      </c>
      <c r="BN44" s="407"/>
    </row>
    <row r="45" ht="42" customHeight="1">
      <c r="A45" s="600"/>
      <c r="B45" s="600"/>
      <c r="C45" s="600"/>
      <c r="D45" s="600"/>
      <c r="E45" s="600"/>
      <c r="F45" s="600"/>
      <c r="G45" s="600"/>
      <c r="H45" s="600"/>
      <c r="I45" s="600"/>
      <c r="J45" s="600"/>
      <c r="K45" s="600"/>
      <c r="L45" s="600"/>
      <c r="M45" s="600"/>
      <c r="N45" s="600"/>
      <c r="O45" s="600"/>
      <c r="P45" s="600"/>
      <c r="Q45" s="600"/>
      <c r="R45" s="611"/>
      <c r="S45" s="432" t="s">
        <v>164</v>
      </c>
      <c r="T45" s="433" t="s">
        <v>21</v>
      </c>
      <c r="U45" s="450"/>
      <c r="V45" s="450"/>
      <c r="W45" s="450"/>
      <c r="X45" s="450"/>
      <c r="Y45" s="599"/>
      <c r="Z45" s="599"/>
      <c r="AA45" s="450"/>
      <c r="AB45" s="450"/>
      <c r="AC45" s="450"/>
      <c r="AD45" s="406"/>
      <c r="AE45" s="598"/>
      <c r="AF45" s="598"/>
      <c r="AG45" s="598"/>
      <c r="AH45" s="598"/>
      <c r="AI45" s="598"/>
      <c r="AJ45" s="598"/>
      <c r="AK45" s="598"/>
      <c r="AL45" s="598"/>
      <c r="AM45" s="598"/>
      <c r="AN45" s="598"/>
      <c r="AO45" s="598"/>
      <c r="AP45" s="598"/>
      <c r="AQ45" s="598"/>
      <c r="AR45" s="406"/>
      <c r="AS45" s="418" t="s">
        <v>165</v>
      </c>
      <c r="AT45" s="419" t="s">
        <v>166</v>
      </c>
      <c r="AZ45" s="485">
        <f>AT53</f>
        <v>400</v>
      </c>
      <c r="BD45" s="418" t="s">
        <v>165</v>
      </c>
      <c r="BE45" s="419" t="s">
        <v>166</v>
      </c>
      <c r="BN45" s="407"/>
    </row>
    <row r="46" ht="42" customHeight="1">
      <c r="A46" s="600"/>
      <c r="B46" s="600"/>
      <c r="C46" s="600"/>
      <c r="D46" s="600"/>
      <c r="E46" s="600"/>
      <c r="F46" s="600"/>
      <c r="G46" s="600"/>
      <c r="H46" s="600"/>
      <c r="I46" s="600"/>
      <c r="J46" s="600"/>
      <c r="K46" s="600"/>
      <c r="L46" s="600"/>
      <c r="M46" s="600"/>
      <c r="N46" s="600"/>
      <c r="O46" s="600"/>
      <c r="P46" s="600"/>
      <c r="Q46" s="600"/>
      <c r="R46" s="611"/>
      <c r="S46" s="437" t="s">
        <v>165</v>
      </c>
      <c r="T46" s="438" t="s">
        <v>197</v>
      </c>
      <c r="U46" s="450"/>
      <c r="V46" s="450"/>
      <c r="W46" s="450"/>
      <c r="X46" s="450"/>
      <c r="Y46" s="599"/>
      <c r="Z46" s="599"/>
      <c r="AA46" s="450"/>
      <c r="AB46" s="450"/>
      <c r="AC46" s="450"/>
      <c r="AD46" s="406"/>
      <c r="AE46" s="598"/>
      <c r="AF46" s="598"/>
      <c r="AG46" s="598"/>
      <c r="AH46" s="598"/>
      <c r="AI46" s="598"/>
      <c r="AJ46" s="598"/>
      <c r="AK46" s="598"/>
      <c r="AL46" s="598"/>
      <c r="AM46" s="598"/>
      <c r="AN46" s="598"/>
      <c r="AO46" s="598"/>
      <c r="AP46" s="598"/>
      <c r="AQ46" s="598"/>
      <c r="AR46" s="406"/>
      <c r="AS46" s="420" t="s">
        <v>167</v>
      </c>
      <c r="AT46" s="421" t="s">
        <v>176</v>
      </c>
      <c r="AX46" s="485">
        <f>AT54</f>
        <v>400</v>
      </c>
      <c r="BD46" s="420" t="s">
        <v>167</v>
      </c>
      <c r="BE46" s="421" t="s">
        <v>176</v>
      </c>
      <c r="BI46" s="485">
        <f>BE54</f>
        <v>400</v>
      </c>
      <c r="BM46" s="485">
        <f>BE53</f>
        <v>400</v>
      </c>
      <c r="BN46" s="407"/>
    </row>
    <row r="47" ht="42" customHeight="1">
      <c r="A47" s="600"/>
      <c r="B47" s="600"/>
      <c r="C47" s="600"/>
      <c r="D47" s="600"/>
      <c r="E47" s="600"/>
      <c r="F47" s="600"/>
      <c r="G47" s="600"/>
      <c r="H47" s="600"/>
      <c r="I47" s="600"/>
      <c r="J47" s="600"/>
      <c r="K47" s="600"/>
      <c r="L47" s="600"/>
      <c r="M47" s="600"/>
      <c r="N47" s="600"/>
      <c r="O47" s="600"/>
      <c r="P47" s="600"/>
      <c r="Q47" s="600"/>
      <c r="R47" s="611"/>
      <c r="S47" s="432" t="s">
        <v>211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598"/>
      <c r="AF47" s="598"/>
      <c r="AG47" s="598"/>
      <c r="AH47" s="598"/>
      <c r="AI47" s="598"/>
      <c r="AJ47" s="598"/>
      <c r="AK47" s="598"/>
      <c r="AL47" s="598"/>
      <c r="AM47" s="598"/>
      <c r="AN47" s="598"/>
      <c r="AO47" s="598"/>
      <c r="AP47" s="598"/>
      <c r="AQ47" s="59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00"/>
      <c r="B48" s="600"/>
      <c r="C48" s="600"/>
      <c r="D48" s="600"/>
      <c r="E48" s="600"/>
      <c r="F48" s="600"/>
      <c r="G48" s="600"/>
      <c r="H48" s="600"/>
      <c r="I48" s="600"/>
      <c r="J48" s="600"/>
      <c r="K48" s="600"/>
      <c r="L48" s="600"/>
      <c r="M48" s="600"/>
      <c r="N48" s="600"/>
      <c r="O48" s="600"/>
      <c r="P48" s="600"/>
      <c r="Q48" s="600"/>
      <c r="R48" s="61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598"/>
      <c r="AF48" s="598"/>
      <c r="AG48" s="598"/>
      <c r="AH48" s="598"/>
      <c r="AI48" s="598"/>
      <c r="AJ48" s="598"/>
      <c r="AK48" s="598"/>
      <c r="AL48" s="598"/>
      <c r="AM48" s="598"/>
      <c r="AN48" s="598"/>
      <c r="AO48" s="598"/>
      <c r="AP48" s="598"/>
      <c r="AQ48" s="598"/>
      <c r="AR48" s="406"/>
      <c r="AS48" s="431"/>
      <c r="AT48" s="431"/>
      <c r="BD48" s="431"/>
      <c r="BE48" s="431"/>
      <c r="BN48" s="407"/>
    </row>
    <row r="49" ht="42" customHeight="1">
      <c r="A49" s="600"/>
      <c r="B49" s="600"/>
      <c r="C49" s="600"/>
      <c r="D49" s="600"/>
      <c r="E49" s="600"/>
      <c r="F49" s="600"/>
      <c r="G49" s="600"/>
      <c r="H49" s="600"/>
      <c r="I49" s="600"/>
      <c r="J49" s="600"/>
      <c r="K49" s="600"/>
      <c r="L49" s="600"/>
      <c r="M49" s="600"/>
      <c r="N49" s="600"/>
      <c r="O49" s="600"/>
      <c r="P49" s="600"/>
      <c r="Q49" s="600"/>
      <c r="R49" s="61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598"/>
      <c r="AF49" s="598"/>
      <c r="AG49" s="598"/>
      <c r="AH49" s="598"/>
      <c r="AI49" s="598"/>
      <c r="AJ49" s="598"/>
      <c r="AK49" s="598"/>
      <c r="AL49" s="598"/>
      <c r="AM49" s="598"/>
      <c r="AN49" s="598"/>
      <c r="AO49" s="598"/>
      <c r="AP49" s="598"/>
      <c r="AQ49" s="598"/>
      <c r="AR49" s="406"/>
      <c r="AS49" s="415" t="s">
        <v>182</v>
      </c>
      <c r="AT49" s="475" t="s">
        <v>183</v>
      </c>
      <c r="BD49" s="415" t="s">
        <v>182</v>
      </c>
      <c r="BE49" s="475" t="s">
        <v>183</v>
      </c>
      <c r="BN49" s="407"/>
    </row>
    <row r="50" ht="42" customHeight="1">
      <c r="A50" s="600"/>
      <c r="B50" s="600"/>
      <c r="C50" s="600"/>
      <c r="D50" s="600"/>
      <c r="E50" s="600"/>
      <c r="F50" s="600"/>
      <c r="G50" s="600"/>
      <c r="H50" s="600"/>
      <c r="I50" s="600"/>
      <c r="J50" s="600"/>
      <c r="K50" s="600"/>
      <c r="L50" s="600"/>
      <c r="M50" s="600"/>
      <c r="N50" s="600"/>
      <c r="O50" s="600"/>
      <c r="P50" s="600"/>
      <c r="Q50" s="600"/>
      <c r="R50" s="61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598"/>
      <c r="AF50" s="598"/>
      <c r="AG50" s="598"/>
      <c r="AH50" s="598"/>
      <c r="AI50" s="598"/>
      <c r="AJ50" s="598"/>
      <c r="AK50" s="598"/>
      <c r="AL50" s="598"/>
      <c r="AM50" s="598"/>
      <c r="AN50" s="598"/>
      <c r="AO50" s="598"/>
      <c r="AP50" s="598"/>
      <c r="AQ50" s="598"/>
      <c r="AR50" s="406"/>
      <c r="AS50" s="415" t="s">
        <v>184</v>
      </c>
      <c r="AT50" s="475" t="s">
        <v>185</v>
      </c>
      <c r="AV50" s="476"/>
      <c r="AW50" s="477"/>
      <c r="AX50" s="477"/>
      <c r="AY50" s="477"/>
      <c r="AZ50" s="477"/>
      <c r="BD50" s="415" t="s">
        <v>184</v>
      </c>
      <c r="BE50" s="475" t="s">
        <v>185</v>
      </c>
      <c r="BG50" s="476"/>
      <c r="BH50" s="477"/>
      <c r="BI50" s="477"/>
      <c r="BJ50" s="477"/>
      <c r="BK50" s="477"/>
      <c r="BN50" s="407"/>
    </row>
    <row r="51" ht="42" customHeight="1">
      <c r="A51" s="600"/>
      <c r="B51" s="600"/>
      <c r="C51" s="600"/>
      <c r="D51" s="600"/>
      <c r="E51" s="600"/>
      <c r="F51" s="600"/>
      <c r="G51" s="600"/>
      <c r="H51" s="600"/>
      <c r="I51" s="600"/>
      <c r="J51" s="600"/>
      <c r="K51" s="600"/>
      <c r="L51" s="600"/>
      <c r="M51" s="600"/>
      <c r="N51" s="600"/>
      <c r="O51" s="600"/>
      <c r="P51" s="600"/>
      <c r="Q51" s="600"/>
      <c r="R51" s="611"/>
      <c r="S51" s="432" t="s">
        <v>212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598"/>
      <c r="AF51" s="598"/>
      <c r="AG51" s="598"/>
      <c r="AH51" s="598"/>
      <c r="AI51" s="598"/>
      <c r="AJ51" s="598"/>
      <c r="AK51" s="598"/>
      <c r="AL51" s="598"/>
      <c r="AM51" s="598"/>
      <c r="AN51" s="598"/>
      <c r="AO51" s="598"/>
      <c r="AP51" s="598"/>
      <c r="AQ51" s="59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00"/>
      <c r="B52" s="600"/>
      <c r="C52" s="600"/>
      <c r="D52" s="600"/>
      <c r="E52" s="600"/>
      <c r="F52" s="600"/>
      <c r="G52" s="600"/>
      <c r="H52" s="600"/>
      <c r="I52" s="600"/>
      <c r="J52" s="600"/>
      <c r="K52" s="600"/>
      <c r="L52" s="600"/>
      <c r="M52" s="600"/>
      <c r="N52" s="600"/>
      <c r="O52" s="600"/>
      <c r="P52" s="600"/>
      <c r="Q52" s="600"/>
      <c r="R52" s="611"/>
      <c r="S52" s="432" t="s">
        <v>213</v>
      </c>
      <c r="T52" s="451" t="s">
        <v>214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598"/>
      <c r="AF52" s="598"/>
      <c r="AG52" s="598"/>
      <c r="AH52" s="598"/>
      <c r="AI52" s="598"/>
      <c r="AJ52" s="598"/>
      <c r="AK52" s="598"/>
      <c r="AL52" s="598"/>
      <c r="AM52" s="598"/>
      <c r="AN52" s="598"/>
      <c r="AO52" s="598"/>
      <c r="AP52" s="598"/>
      <c r="AQ52" s="598"/>
      <c r="AR52" s="406"/>
      <c r="AS52" s="430" t="s">
        <v>187</v>
      </c>
      <c r="AT52" s="426" t="s">
        <v>192</v>
      </c>
      <c r="BA52" s="476"/>
      <c r="BD52" s="430" t="s">
        <v>187</v>
      </c>
      <c r="BE52" s="426" t="s">
        <v>192</v>
      </c>
      <c r="BL52" s="476"/>
      <c r="BN52" s="407"/>
    </row>
    <row r="53" ht="42" customHeight="1">
      <c r="A53" s="600"/>
      <c r="B53" s="600"/>
      <c r="C53" s="600"/>
      <c r="D53" s="600"/>
      <c r="E53" s="600"/>
      <c r="F53" s="600"/>
      <c r="G53" s="600"/>
      <c r="H53" s="600"/>
      <c r="I53" s="600"/>
      <c r="J53" s="600"/>
      <c r="K53" s="600"/>
      <c r="L53" s="600"/>
      <c r="M53" s="600"/>
      <c r="N53" s="600"/>
      <c r="O53" s="600"/>
      <c r="P53" s="600"/>
      <c r="Q53" s="600"/>
      <c r="R53" s="611"/>
      <c r="S53" s="432" t="s">
        <v>187</v>
      </c>
      <c r="T53" s="445" t="s">
        <v>191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598"/>
      <c r="AF53" s="598"/>
      <c r="AG53" s="598"/>
      <c r="AH53" s="598"/>
      <c r="AI53" s="598"/>
      <c r="AJ53" s="598"/>
      <c r="AK53" s="598"/>
      <c r="AL53" s="598"/>
      <c r="AM53" s="598"/>
      <c r="AN53" s="598"/>
      <c r="AO53" s="598"/>
      <c r="AP53" s="598"/>
      <c r="AQ53" s="598"/>
      <c r="AR53" s="406"/>
      <c r="AS53" s="430" t="s">
        <v>188</v>
      </c>
      <c r="AT53" s="430">
        <v>400</v>
      </c>
      <c r="BA53" s="0" t="s">
        <v>189</v>
      </c>
      <c r="BD53" s="430" t="s">
        <v>188</v>
      </c>
      <c r="BE53" s="430">
        <v>400</v>
      </c>
      <c r="BL53" s="0" t="s">
        <v>189</v>
      </c>
      <c r="BN53" s="407"/>
    </row>
    <row r="54" ht="42" customHeight="1">
      <c r="A54" s="600"/>
      <c r="B54" s="600"/>
      <c r="C54" s="600"/>
      <c r="D54" s="600"/>
      <c r="E54" s="600"/>
      <c r="F54" s="600"/>
      <c r="G54" s="600"/>
      <c r="H54" s="600"/>
      <c r="I54" s="600"/>
      <c r="J54" s="600"/>
      <c r="K54" s="600"/>
      <c r="L54" s="600"/>
      <c r="M54" s="600"/>
      <c r="N54" s="600"/>
      <c r="O54" s="600"/>
      <c r="P54" s="600"/>
      <c r="Q54" s="600"/>
      <c r="R54" s="611"/>
      <c r="S54" s="432" t="s">
        <v>188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598"/>
      <c r="AF54" s="598"/>
      <c r="AG54" s="598"/>
      <c r="AH54" s="598"/>
      <c r="AI54" s="598"/>
      <c r="AJ54" s="598"/>
      <c r="AK54" s="598"/>
      <c r="AL54" s="598"/>
      <c r="AM54" s="598"/>
      <c r="AN54" s="598"/>
      <c r="AO54" s="598"/>
      <c r="AP54" s="598"/>
      <c r="AQ54" s="598"/>
      <c r="AR54" s="406"/>
      <c r="AS54" s="430" t="s">
        <v>190</v>
      </c>
      <c r="AT54" s="430">
        <v>400</v>
      </c>
      <c r="AU54" s="478"/>
      <c r="AZ54" s="615"/>
      <c r="BA54" s="615"/>
      <c r="BB54" s="615"/>
      <c r="BD54" s="430" t="s">
        <v>190</v>
      </c>
      <c r="BE54" s="430">
        <v>400</v>
      </c>
      <c r="BF54" s="478"/>
      <c r="BK54" s="615"/>
      <c r="BL54" s="615"/>
      <c r="BM54" s="615"/>
      <c r="BN54" s="407"/>
    </row>
    <row r="55" ht="42" customHeight="1">
      <c r="A55" s="600"/>
      <c r="B55" s="600"/>
      <c r="C55" s="600"/>
      <c r="D55" s="600"/>
      <c r="E55" s="600"/>
      <c r="F55" s="600"/>
      <c r="G55" s="600"/>
      <c r="H55" s="600"/>
      <c r="I55" s="600"/>
      <c r="J55" s="600"/>
      <c r="K55" s="600"/>
      <c r="L55" s="600"/>
      <c r="M55" s="600"/>
      <c r="N55" s="600"/>
      <c r="O55" s="600"/>
      <c r="P55" s="600"/>
      <c r="Q55" s="600"/>
      <c r="R55" s="611"/>
      <c r="S55" s="432" t="s">
        <v>190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598"/>
      <c r="AF55" s="598"/>
      <c r="AG55" s="598"/>
      <c r="AH55" s="598"/>
      <c r="AI55" s="598"/>
      <c r="AJ55" s="598"/>
      <c r="AK55" s="598"/>
      <c r="AL55" s="598"/>
      <c r="AM55" s="598"/>
      <c r="AN55" s="598"/>
      <c r="AO55" s="598"/>
      <c r="AP55" s="598"/>
      <c r="AQ55" s="598"/>
      <c r="AR55" s="406"/>
      <c r="AS55" s="407"/>
      <c r="AT55" s="407"/>
      <c r="BD55" s="407"/>
      <c r="BE55" s="407"/>
      <c r="BN55" s="407"/>
    </row>
    <row r="56" ht="42" customHeight="1">
      <c r="A56" s="600"/>
      <c r="B56" s="600"/>
      <c r="C56" s="600"/>
      <c r="D56" s="600"/>
      <c r="E56" s="600"/>
      <c r="F56" s="600"/>
      <c r="G56" s="600"/>
      <c r="H56" s="600"/>
      <c r="I56" s="600"/>
      <c r="J56" s="600"/>
      <c r="K56" s="600"/>
      <c r="L56" s="600"/>
      <c r="M56" s="600"/>
      <c r="N56" s="600"/>
      <c r="O56" s="600"/>
      <c r="P56" s="600"/>
      <c r="Q56" s="600"/>
      <c r="R56" s="61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598"/>
      <c r="AF56" s="598"/>
      <c r="AG56" s="598"/>
      <c r="AH56" s="598"/>
      <c r="AI56" s="598"/>
      <c r="AJ56" s="598"/>
      <c r="AK56" s="598"/>
      <c r="AL56" s="598"/>
      <c r="AM56" s="598"/>
      <c r="AN56" s="598"/>
      <c r="AO56" s="598"/>
      <c r="AP56" s="598"/>
      <c r="AQ56" s="598"/>
      <c r="AR56" s="406"/>
      <c r="AS56" s="407"/>
      <c r="AT56" s="407"/>
      <c r="BD56" s="407"/>
      <c r="BE56" s="407"/>
      <c r="BN56" s="407"/>
    </row>
    <row r="57" ht="42" customHeight="1">
      <c r="A57" s="600"/>
      <c r="B57" s="600"/>
      <c r="C57" s="600"/>
      <c r="D57" s="600"/>
      <c r="E57" s="600"/>
      <c r="F57" s="600"/>
      <c r="G57" s="600"/>
      <c r="H57" s="600"/>
      <c r="I57" s="600"/>
      <c r="J57" s="600"/>
      <c r="K57" s="600"/>
      <c r="L57" s="600"/>
      <c r="M57" s="600"/>
      <c r="N57" s="600"/>
      <c r="O57" s="600"/>
      <c r="P57" s="600"/>
      <c r="Q57" s="600"/>
      <c r="R57" s="61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598"/>
      <c r="AF57" s="598"/>
      <c r="AG57" s="598"/>
      <c r="AH57" s="598"/>
      <c r="AI57" s="598"/>
      <c r="AJ57" s="598"/>
      <c r="AK57" s="598"/>
      <c r="AL57" s="598"/>
      <c r="AM57" s="598"/>
      <c r="AN57" s="598"/>
      <c r="AO57" s="598"/>
      <c r="AP57" s="598"/>
      <c r="AQ57" s="598"/>
      <c r="AR57" s="406"/>
      <c r="AS57" s="618">
        <f>('بيرسا و لوفرز'!BA14+'بيرسا و لوفرز'!BP62+'بيرسا و لوفرز'!BQ54)*1.35</f>
        <v>112025.02500000001</v>
      </c>
      <c r="AT57" s="619"/>
      <c r="BD57" s="618">
        <f>('بيرسا و لوفرز'!BA85+'بيرسا و لوفرز'!BP133+'بيرسا و لوفرز'!BQ125)*1.35</f>
        <v>112025.02500000001</v>
      </c>
      <c r="BE57" s="619"/>
      <c r="BN57" s="407"/>
    </row>
    <row r="58" ht="42" customHeight="1">
      <c r="A58" s="600"/>
      <c r="B58" s="600"/>
      <c r="C58" s="600"/>
      <c r="D58" s="600"/>
      <c r="E58" s="600"/>
      <c r="F58" s="600"/>
      <c r="G58" s="600"/>
      <c r="H58" s="600"/>
      <c r="I58" s="600"/>
      <c r="J58" s="600"/>
      <c r="K58" s="600"/>
      <c r="L58" s="600"/>
      <c r="M58" s="600"/>
      <c r="N58" s="600"/>
      <c r="O58" s="600"/>
      <c r="P58" s="600"/>
      <c r="Q58" s="600"/>
      <c r="R58" s="61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598"/>
      <c r="AF58" s="598"/>
      <c r="AG58" s="598"/>
      <c r="AH58" s="598"/>
      <c r="AI58" s="598"/>
      <c r="AJ58" s="598"/>
      <c r="AK58" s="598"/>
      <c r="AL58" s="598"/>
      <c r="AM58" s="598"/>
      <c r="AN58" s="598"/>
      <c r="AO58" s="598"/>
      <c r="AP58" s="598"/>
      <c r="AQ58" s="598"/>
      <c r="AR58" s="406"/>
      <c r="AS58" s="609">
        <f>AS57/(AT53*AT54/10000)</f>
        <v>7001.5640625000005</v>
      </c>
      <c r="AT58" s="610"/>
      <c r="BD58" s="609">
        <f>BD57/(BE53*BE54/10000)</f>
        <v>7001.5640625000005</v>
      </c>
      <c r="BE58" s="610"/>
      <c r="BN58" s="407"/>
    </row>
    <row r="59" ht="39" customHeight="1">
      <c r="A59" s="600"/>
      <c r="B59" s="600"/>
      <c r="C59" s="600"/>
      <c r="D59" s="600"/>
      <c r="E59" s="600"/>
      <c r="F59" s="600"/>
      <c r="G59" s="600"/>
      <c r="H59" s="600"/>
      <c r="I59" s="600"/>
      <c r="J59" s="600"/>
      <c r="K59" s="600"/>
      <c r="L59" s="600"/>
      <c r="M59" s="600"/>
      <c r="N59" s="600"/>
      <c r="O59" s="600"/>
      <c r="P59" s="600"/>
      <c r="Q59" s="600"/>
      <c r="R59" s="61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00" t="s">
        <v>215</v>
      </c>
      <c r="B60" s="600"/>
      <c r="C60" s="600"/>
      <c r="D60" s="600"/>
      <c r="E60" s="600"/>
      <c r="F60" s="600"/>
      <c r="G60" s="600"/>
      <c r="H60" s="600"/>
      <c r="I60" s="600"/>
      <c r="J60" s="600"/>
      <c r="K60" s="600"/>
      <c r="L60" s="600"/>
      <c r="M60" s="600"/>
      <c r="N60" s="600"/>
      <c r="O60" s="600"/>
      <c r="P60" s="600"/>
      <c r="Q60" s="600"/>
      <c r="R60" s="611"/>
      <c r="S60" s="607" t="s">
        <v>209</v>
      </c>
      <c r="T60" s="608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00"/>
      <c r="B61" s="600"/>
      <c r="C61" s="600"/>
      <c r="D61" s="600"/>
      <c r="E61" s="600"/>
      <c r="F61" s="600"/>
      <c r="G61" s="600"/>
      <c r="H61" s="600"/>
      <c r="I61" s="600"/>
      <c r="J61" s="600"/>
      <c r="K61" s="600"/>
      <c r="L61" s="600"/>
      <c r="M61" s="600"/>
      <c r="N61" s="600"/>
      <c r="O61" s="600"/>
      <c r="P61" s="600"/>
      <c r="Q61" s="600"/>
      <c r="R61" s="611"/>
      <c r="S61" s="434" t="s">
        <v>163</v>
      </c>
      <c r="T61" s="435">
        <f>'شماسي و كانتليفر'!N84</f>
        <v>101211.12000000001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00"/>
      <c r="B62" s="600"/>
      <c r="C62" s="600"/>
      <c r="D62" s="600"/>
      <c r="E62" s="600"/>
      <c r="F62" s="600"/>
      <c r="G62" s="600"/>
      <c r="H62" s="600"/>
      <c r="I62" s="600"/>
      <c r="J62" s="600"/>
      <c r="K62" s="600"/>
      <c r="L62" s="600"/>
      <c r="M62" s="600"/>
      <c r="N62" s="600"/>
      <c r="O62" s="600"/>
      <c r="P62" s="600"/>
      <c r="Q62" s="600"/>
      <c r="R62" s="611"/>
      <c r="S62" s="436" t="s">
        <v>127</v>
      </c>
      <c r="T62" s="435">
        <f>T61/T69</f>
        <v>4048.4448</v>
      </c>
      <c r="U62" s="450"/>
      <c r="V62" s="450"/>
      <c r="W62" s="450"/>
      <c r="X62" s="450"/>
      <c r="Y62" s="599"/>
      <c r="Z62" s="599"/>
      <c r="AA62" s="450"/>
      <c r="AB62" s="450"/>
      <c r="AC62" s="450"/>
      <c r="AD62" s="406"/>
      <c r="AR62" s="406"/>
      <c r="BN62" s="407"/>
    </row>
    <row r="63" ht="40.5" customHeight="1">
      <c r="A63" s="600"/>
      <c r="B63" s="600"/>
      <c r="C63" s="600"/>
      <c r="D63" s="600"/>
      <c r="E63" s="600"/>
      <c r="F63" s="600"/>
      <c r="G63" s="600"/>
      <c r="H63" s="600"/>
      <c r="I63" s="600"/>
      <c r="J63" s="600"/>
      <c r="K63" s="600"/>
      <c r="L63" s="600"/>
      <c r="M63" s="600"/>
      <c r="N63" s="600"/>
      <c r="O63" s="600"/>
      <c r="P63" s="600"/>
      <c r="Q63" s="600"/>
      <c r="R63" s="611"/>
      <c r="S63" s="432" t="s">
        <v>164</v>
      </c>
      <c r="T63" s="433" t="s">
        <v>19</v>
      </c>
      <c r="U63" s="450"/>
      <c r="V63" s="450"/>
      <c r="W63" s="450"/>
      <c r="X63" s="450"/>
      <c r="Y63" s="599"/>
      <c r="Z63" s="599"/>
      <c r="AA63" s="450"/>
      <c r="AB63" s="450"/>
      <c r="AC63" s="450"/>
      <c r="AD63" s="406"/>
      <c r="AR63" s="406"/>
      <c r="BN63" s="407"/>
    </row>
    <row r="64" ht="40.5" customHeight="1">
      <c r="A64" s="600"/>
      <c r="B64" s="600"/>
      <c r="C64" s="600"/>
      <c r="D64" s="600"/>
      <c r="E64" s="600"/>
      <c r="F64" s="600"/>
      <c r="G64" s="600"/>
      <c r="H64" s="600"/>
      <c r="I64" s="600"/>
      <c r="J64" s="600"/>
      <c r="K64" s="600"/>
      <c r="L64" s="600"/>
      <c r="M64" s="600"/>
      <c r="N64" s="600"/>
      <c r="O64" s="600"/>
      <c r="P64" s="600"/>
      <c r="Q64" s="600"/>
      <c r="R64" s="611"/>
      <c r="S64" s="437" t="s">
        <v>165</v>
      </c>
      <c r="T64" s="438" t="s">
        <v>197</v>
      </c>
      <c r="U64" s="450"/>
      <c r="V64" s="450"/>
      <c r="W64" s="450"/>
      <c r="X64" s="450"/>
      <c r="Y64" s="599"/>
      <c r="Z64" s="599"/>
      <c r="AA64" s="450"/>
      <c r="AB64" s="450"/>
      <c r="AC64" s="450"/>
      <c r="AD64" s="406"/>
      <c r="AR64" s="406"/>
      <c r="BN64" s="407"/>
    </row>
    <row r="65" ht="40.5" customHeight="1">
      <c r="A65" s="600"/>
      <c r="B65" s="600"/>
      <c r="C65" s="600"/>
      <c r="D65" s="600"/>
      <c r="E65" s="600"/>
      <c r="F65" s="600"/>
      <c r="G65" s="600"/>
      <c r="H65" s="600"/>
      <c r="I65" s="600"/>
      <c r="J65" s="600"/>
      <c r="K65" s="600"/>
      <c r="L65" s="600"/>
      <c r="M65" s="600"/>
      <c r="N65" s="600"/>
      <c r="O65" s="600"/>
      <c r="P65" s="600"/>
      <c r="Q65" s="600"/>
      <c r="R65" s="611"/>
      <c r="S65" s="432" t="s">
        <v>211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00"/>
      <c r="B66" s="600"/>
      <c r="C66" s="600"/>
      <c r="D66" s="600"/>
      <c r="E66" s="600"/>
      <c r="F66" s="600"/>
      <c r="G66" s="600"/>
      <c r="H66" s="600"/>
      <c r="I66" s="600"/>
      <c r="J66" s="600"/>
      <c r="K66" s="600"/>
      <c r="L66" s="600"/>
      <c r="M66" s="600"/>
      <c r="N66" s="600"/>
      <c r="O66" s="600"/>
      <c r="P66" s="600"/>
      <c r="Q66" s="600"/>
      <c r="R66" s="61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00"/>
      <c r="B67" s="600"/>
      <c r="C67" s="600"/>
      <c r="D67" s="600"/>
      <c r="E67" s="600"/>
      <c r="F67" s="600"/>
      <c r="G67" s="600"/>
      <c r="H67" s="600"/>
      <c r="I67" s="600"/>
      <c r="J67" s="600"/>
      <c r="K67" s="600"/>
      <c r="L67" s="600"/>
      <c r="M67" s="600"/>
      <c r="N67" s="600"/>
      <c r="O67" s="600"/>
      <c r="P67" s="600"/>
      <c r="Q67" s="600"/>
      <c r="R67" s="61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00"/>
      <c r="B68" s="600"/>
      <c r="C68" s="600"/>
      <c r="D68" s="600"/>
      <c r="E68" s="600"/>
      <c r="F68" s="600"/>
      <c r="G68" s="600"/>
      <c r="H68" s="600"/>
      <c r="I68" s="600"/>
      <c r="J68" s="600"/>
      <c r="K68" s="600"/>
      <c r="L68" s="600"/>
      <c r="M68" s="600"/>
      <c r="N68" s="600"/>
      <c r="O68" s="600"/>
      <c r="P68" s="600"/>
      <c r="Q68" s="600"/>
      <c r="R68" s="61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00"/>
      <c r="B69" s="600"/>
      <c r="C69" s="600"/>
      <c r="D69" s="600"/>
      <c r="E69" s="600"/>
      <c r="F69" s="600"/>
      <c r="G69" s="600"/>
      <c r="H69" s="600"/>
      <c r="I69" s="600"/>
      <c r="J69" s="600"/>
      <c r="K69" s="600"/>
      <c r="L69" s="600"/>
      <c r="M69" s="600"/>
      <c r="N69" s="600"/>
      <c r="O69" s="600"/>
      <c r="P69" s="600"/>
      <c r="Q69" s="600"/>
      <c r="R69" s="611"/>
      <c r="S69" s="432" t="s">
        <v>212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00"/>
      <c r="B70" s="600"/>
      <c r="C70" s="600"/>
      <c r="D70" s="600"/>
      <c r="E70" s="600"/>
      <c r="F70" s="600"/>
      <c r="G70" s="600"/>
      <c r="H70" s="600"/>
      <c r="I70" s="600"/>
      <c r="J70" s="600"/>
      <c r="K70" s="600"/>
      <c r="L70" s="600"/>
      <c r="M70" s="600"/>
      <c r="N70" s="600"/>
      <c r="O70" s="600"/>
      <c r="P70" s="600"/>
      <c r="Q70" s="600"/>
      <c r="R70" s="611"/>
      <c r="S70" s="432" t="s">
        <v>213</v>
      </c>
      <c r="T70" s="451" t="s">
        <v>214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00"/>
      <c r="B71" s="600"/>
      <c r="C71" s="600"/>
      <c r="D71" s="600"/>
      <c r="E71" s="600"/>
      <c r="F71" s="600"/>
      <c r="G71" s="600"/>
      <c r="H71" s="600"/>
      <c r="I71" s="600"/>
      <c r="J71" s="600"/>
      <c r="K71" s="600"/>
      <c r="L71" s="600"/>
      <c r="M71" s="600"/>
      <c r="N71" s="600"/>
      <c r="O71" s="600"/>
      <c r="P71" s="600"/>
      <c r="Q71" s="600"/>
      <c r="R71" s="611"/>
      <c r="S71" s="432" t="s">
        <v>187</v>
      </c>
      <c r="T71" s="445" t="s">
        <v>191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00"/>
      <c r="B72" s="600"/>
      <c r="C72" s="600"/>
      <c r="D72" s="600"/>
      <c r="E72" s="600"/>
      <c r="F72" s="600"/>
      <c r="G72" s="600"/>
      <c r="H72" s="600"/>
      <c r="I72" s="600"/>
      <c r="J72" s="600"/>
      <c r="K72" s="600"/>
      <c r="L72" s="600"/>
      <c r="M72" s="600"/>
      <c r="N72" s="600"/>
      <c r="O72" s="600"/>
      <c r="P72" s="600"/>
      <c r="Q72" s="600"/>
      <c r="R72" s="611"/>
      <c r="S72" s="432" t="s">
        <v>188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00"/>
      <c r="B73" s="600"/>
      <c r="C73" s="600"/>
      <c r="D73" s="600"/>
      <c r="E73" s="600"/>
      <c r="F73" s="600"/>
      <c r="G73" s="600"/>
      <c r="H73" s="600"/>
      <c r="I73" s="600"/>
      <c r="J73" s="600"/>
      <c r="K73" s="600"/>
      <c r="L73" s="600"/>
      <c r="M73" s="600"/>
      <c r="N73" s="600"/>
      <c r="O73" s="600"/>
      <c r="P73" s="600"/>
      <c r="Q73" s="600"/>
      <c r="R73" s="611"/>
      <c r="S73" s="432" t="s">
        <v>190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00"/>
      <c r="B74" s="600"/>
      <c r="C74" s="600"/>
      <c r="D74" s="600"/>
      <c r="E74" s="600"/>
      <c r="F74" s="600"/>
      <c r="G74" s="600"/>
      <c r="H74" s="600"/>
      <c r="I74" s="600"/>
      <c r="J74" s="600"/>
      <c r="K74" s="600"/>
      <c r="L74" s="600"/>
      <c r="M74" s="600"/>
      <c r="N74" s="600"/>
      <c r="O74" s="600"/>
      <c r="P74" s="600"/>
      <c r="Q74" s="600"/>
      <c r="R74" s="61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00"/>
      <c r="B75" s="600"/>
      <c r="C75" s="600"/>
      <c r="D75" s="600"/>
      <c r="E75" s="600"/>
      <c r="F75" s="600"/>
      <c r="G75" s="600"/>
      <c r="H75" s="600"/>
      <c r="I75" s="600"/>
      <c r="J75" s="600"/>
      <c r="K75" s="600"/>
      <c r="L75" s="600"/>
      <c r="M75" s="600"/>
      <c r="N75" s="600"/>
      <c r="O75" s="600"/>
      <c r="P75" s="600"/>
      <c r="Q75" s="600"/>
      <c r="R75" s="61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00"/>
      <c r="B76" s="600"/>
      <c r="C76" s="600"/>
      <c r="D76" s="600"/>
      <c r="E76" s="600"/>
      <c r="F76" s="600"/>
      <c r="G76" s="600"/>
      <c r="H76" s="600"/>
      <c r="I76" s="600"/>
      <c r="J76" s="600"/>
      <c r="K76" s="600"/>
      <c r="L76" s="600"/>
      <c r="M76" s="600"/>
      <c r="N76" s="600"/>
      <c r="O76" s="600"/>
      <c r="P76" s="600"/>
      <c r="Q76" s="600"/>
      <c r="R76" s="61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11"/>
      <c r="AD77" s="406"/>
      <c r="AR77" s="406"/>
      <c r="BN77" s="407"/>
    </row>
    <row r="78" ht="15" customHeight="1">
      <c r="A78" s="597" t="s">
        <v>216</v>
      </c>
      <c r="B78" s="597"/>
      <c r="C78" s="597"/>
      <c r="D78" s="597"/>
      <c r="E78" s="597"/>
      <c r="F78" s="597"/>
      <c r="G78" s="597"/>
      <c r="H78" s="597"/>
      <c r="I78" s="597"/>
      <c r="J78" s="597"/>
      <c r="K78" s="597"/>
      <c r="L78" s="597"/>
      <c r="M78" s="597"/>
      <c r="N78" s="597"/>
      <c r="O78" s="597"/>
      <c r="P78" s="597"/>
      <c r="Q78" s="597"/>
      <c r="R78" s="61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597"/>
      <c r="B79" s="597"/>
      <c r="C79" s="597"/>
      <c r="D79" s="597"/>
      <c r="E79" s="597"/>
      <c r="F79" s="597"/>
      <c r="G79" s="597"/>
      <c r="H79" s="597"/>
      <c r="I79" s="597"/>
      <c r="J79" s="597"/>
      <c r="K79" s="597"/>
      <c r="L79" s="597"/>
      <c r="M79" s="597"/>
      <c r="N79" s="597"/>
      <c r="O79" s="597"/>
      <c r="P79" s="597"/>
      <c r="Q79" s="597"/>
      <c r="R79" s="611"/>
      <c r="AC79" s="406"/>
      <c r="AQ79" s="406"/>
      <c r="BB79" s="406"/>
      <c r="BM79" s="407"/>
    </row>
    <row r="80" ht="38.25" customHeight="1">
      <c r="A80" s="597"/>
      <c r="B80" s="597"/>
      <c r="C80" s="597"/>
      <c r="D80" s="597"/>
      <c r="E80" s="597"/>
      <c r="F80" s="597"/>
      <c r="G80" s="597"/>
      <c r="H80" s="597"/>
      <c r="I80" s="597"/>
      <c r="J80" s="597"/>
      <c r="K80" s="597"/>
      <c r="L80" s="597"/>
      <c r="M80" s="597"/>
      <c r="N80" s="597"/>
      <c r="O80" s="597"/>
      <c r="P80" s="597"/>
      <c r="Q80" s="597"/>
      <c r="R80" s="611"/>
      <c r="AQ80" s="406"/>
      <c r="BB80" s="406"/>
      <c r="BM80" s="407"/>
    </row>
    <row r="81" ht="38.25" customHeight="1">
      <c r="A81" s="597"/>
      <c r="B81" s="597"/>
      <c r="C81" s="597"/>
      <c r="D81" s="597"/>
      <c r="E81" s="597"/>
      <c r="F81" s="597"/>
      <c r="G81" s="597"/>
      <c r="H81" s="597"/>
      <c r="I81" s="597"/>
      <c r="J81" s="597"/>
      <c r="K81" s="597"/>
      <c r="L81" s="597"/>
      <c r="M81" s="597"/>
      <c r="N81" s="597"/>
      <c r="O81" s="597"/>
      <c r="P81" s="597"/>
      <c r="Q81" s="597"/>
      <c r="R81" s="611"/>
      <c r="AQ81" s="406"/>
      <c r="BB81" s="406"/>
      <c r="BM81" s="407"/>
    </row>
    <row r="82" ht="38.25" customHeight="1">
      <c r="A82" s="597"/>
      <c r="B82" s="597"/>
      <c r="C82" s="597"/>
      <c r="D82" s="597"/>
      <c r="E82" s="597"/>
      <c r="F82" s="597"/>
      <c r="G82" s="597"/>
      <c r="H82" s="597"/>
      <c r="I82" s="597"/>
      <c r="J82" s="597"/>
      <c r="K82" s="597"/>
      <c r="L82" s="597"/>
      <c r="M82" s="597"/>
      <c r="N82" s="597"/>
      <c r="O82" s="597"/>
      <c r="P82" s="597"/>
      <c r="Q82" s="597"/>
      <c r="R82" s="611"/>
      <c r="AQ82" s="406"/>
      <c r="BB82" s="406"/>
      <c r="BM82" s="407"/>
    </row>
    <row r="83" ht="38.25" customHeight="1">
      <c r="A83" s="597"/>
      <c r="B83" s="597"/>
      <c r="C83" s="597"/>
      <c r="D83" s="597"/>
      <c r="E83" s="597"/>
      <c r="F83" s="597"/>
      <c r="G83" s="597"/>
      <c r="H83" s="597"/>
      <c r="I83" s="597"/>
      <c r="J83" s="597"/>
      <c r="K83" s="597"/>
      <c r="L83" s="597"/>
      <c r="M83" s="597"/>
      <c r="N83" s="597"/>
      <c r="O83" s="597"/>
      <c r="P83" s="597"/>
      <c r="Q83" s="597"/>
      <c r="R83" s="611"/>
      <c r="AQ83" s="406"/>
      <c r="BB83" s="406"/>
      <c r="BM83" s="407"/>
    </row>
    <row r="84" ht="38.25" customHeight="1">
      <c r="A84" s="597"/>
      <c r="B84" s="597"/>
      <c r="C84" s="597"/>
      <c r="D84" s="597"/>
      <c r="E84" s="597"/>
      <c r="F84" s="597"/>
      <c r="G84" s="597"/>
      <c r="H84" s="597"/>
      <c r="I84" s="597"/>
      <c r="J84" s="597"/>
      <c r="K84" s="597"/>
      <c r="L84" s="597"/>
      <c r="M84" s="597"/>
      <c r="N84" s="597"/>
      <c r="O84" s="597"/>
      <c r="P84" s="597"/>
      <c r="Q84" s="597"/>
      <c r="R84" s="611"/>
      <c r="AQ84" s="406"/>
      <c r="BB84" s="406"/>
      <c r="BM84" s="407"/>
    </row>
    <row r="85" ht="38.25" customHeight="1">
      <c r="A85" s="597"/>
      <c r="B85" s="597"/>
      <c r="C85" s="597"/>
      <c r="D85" s="597"/>
      <c r="E85" s="597"/>
      <c r="F85" s="597"/>
      <c r="G85" s="597"/>
      <c r="H85" s="597"/>
      <c r="I85" s="597"/>
      <c r="J85" s="597"/>
      <c r="K85" s="597"/>
      <c r="L85" s="597"/>
      <c r="M85" s="597"/>
      <c r="N85" s="597"/>
      <c r="O85" s="597"/>
      <c r="P85" s="597"/>
      <c r="Q85" s="597"/>
      <c r="R85" s="611"/>
      <c r="AQ85" s="406"/>
      <c r="BB85" s="406"/>
      <c r="BM85" s="407"/>
    </row>
    <row r="86" ht="38.25" customHeight="1">
      <c r="A86" s="597"/>
      <c r="B86" s="597"/>
      <c r="C86" s="597"/>
      <c r="D86" s="597"/>
      <c r="E86" s="597"/>
      <c r="F86" s="597"/>
      <c r="G86" s="597"/>
      <c r="H86" s="597"/>
      <c r="I86" s="597"/>
      <c r="J86" s="597"/>
      <c r="K86" s="597"/>
      <c r="L86" s="597"/>
      <c r="M86" s="597"/>
      <c r="N86" s="597"/>
      <c r="O86" s="597"/>
      <c r="P86" s="597"/>
      <c r="Q86" s="597"/>
      <c r="R86" s="611"/>
      <c r="AQ86" s="406"/>
      <c r="BB86" s="406"/>
      <c r="BM86" s="407"/>
    </row>
    <row r="87" ht="38.25" customHeight="1">
      <c r="A87" s="597"/>
      <c r="B87" s="597"/>
      <c r="C87" s="597"/>
      <c r="D87" s="597"/>
      <c r="E87" s="597"/>
      <c r="F87" s="597"/>
      <c r="G87" s="597"/>
      <c r="H87" s="597"/>
      <c r="I87" s="597"/>
      <c r="J87" s="597"/>
      <c r="K87" s="597"/>
      <c r="L87" s="597"/>
      <c r="M87" s="597"/>
      <c r="N87" s="597"/>
      <c r="O87" s="597"/>
      <c r="P87" s="597"/>
      <c r="Q87" s="597"/>
      <c r="R87" s="611"/>
      <c r="AQ87" s="406"/>
      <c r="BB87" s="406"/>
      <c r="BM87" s="407"/>
    </row>
    <row r="88" ht="38.25" customHeight="1">
      <c r="A88" s="597"/>
      <c r="B88" s="597"/>
      <c r="C88" s="597"/>
      <c r="D88" s="597"/>
      <c r="E88" s="597"/>
      <c r="F88" s="597"/>
      <c r="G88" s="597"/>
      <c r="H88" s="597"/>
      <c r="I88" s="597"/>
      <c r="J88" s="597"/>
      <c r="K88" s="597"/>
      <c r="L88" s="597"/>
      <c r="M88" s="597"/>
      <c r="N88" s="597"/>
      <c r="O88" s="597"/>
      <c r="P88" s="597"/>
      <c r="Q88" s="597"/>
      <c r="R88" s="611"/>
      <c r="AQ88" s="406"/>
      <c r="BB88" s="406"/>
      <c r="BM88" s="407"/>
    </row>
    <row r="89" ht="38.25" customHeight="1">
      <c r="A89" s="597"/>
      <c r="B89" s="597"/>
      <c r="C89" s="597"/>
      <c r="D89" s="597"/>
      <c r="E89" s="597"/>
      <c r="F89" s="597"/>
      <c r="G89" s="597"/>
      <c r="H89" s="597"/>
      <c r="I89" s="597"/>
      <c r="J89" s="597"/>
      <c r="K89" s="597"/>
      <c r="L89" s="597"/>
      <c r="M89" s="597"/>
      <c r="N89" s="597"/>
      <c r="O89" s="597"/>
      <c r="P89" s="597"/>
      <c r="Q89" s="597"/>
      <c r="R89" s="611"/>
      <c r="AQ89" s="406"/>
      <c r="BB89" s="406"/>
      <c r="BM89" s="407"/>
    </row>
    <row r="90" ht="38.25" customHeight="1">
      <c r="A90" s="597"/>
      <c r="B90" s="597"/>
      <c r="C90" s="597"/>
      <c r="D90" s="597"/>
      <c r="E90" s="597"/>
      <c r="F90" s="597"/>
      <c r="G90" s="597"/>
      <c r="H90" s="597"/>
      <c r="I90" s="597"/>
      <c r="J90" s="597"/>
      <c r="K90" s="597"/>
      <c r="L90" s="597"/>
      <c r="M90" s="597"/>
      <c r="N90" s="597"/>
      <c r="O90" s="597"/>
      <c r="P90" s="597"/>
      <c r="Q90" s="597"/>
      <c r="R90" s="611"/>
      <c r="AQ90" s="406"/>
      <c r="BB90" s="406"/>
      <c r="BM90" s="407"/>
    </row>
    <row r="91" ht="38.25" customHeight="1">
      <c r="A91" s="597"/>
      <c r="B91" s="597"/>
      <c r="C91" s="597"/>
      <c r="D91" s="597"/>
      <c r="E91" s="597"/>
      <c r="F91" s="597"/>
      <c r="G91" s="597"/>
      <c r="H91" s="597"/>
      <c r="I91" s="597"/>
      <c r="J91" s="597"/>
      <c r="K91" s="597"/>
      <c r="L91" s="597"/>
      <c r="M91" s="597"/>
      <c r="N91" s="597"/>
      <c r="O91" s="597"/>
      <c r="P91" s="597"/>
      <c r="Q91" s="597"/>
      <c r="R91" s="611"/>
      <c r="AQ91" s="406"/>
      <c r="BB91" s="406"/>
      <c r="BM91" s="407"/>
    </row>
    <row r="92" ht="38.25" customHeight="1">
      <c r="A92" s="597"/>
      <c r="B92" s="597"/>
      <c r="C92" s="597"/>
      <c r="D92" s="597"/>
      <c r="E92" s="597"/>
      <c r="F92" s="597"/>
      <c r="G92" s="597"/>
      <c r="H92" s="597"/>
      <c r="I92" s="597"/>
      <c r="J92" s="597"/>
      <c r="K92" s="597"/>
      <c r="L92" s="597"/>
      <c r="M92" s="597"/>
      <c r="N92" s="597"/>
      <c r="O92" s="597"/>
      <c r="P92" s="597"/>
      <c r="Q92" s="597"/>
      <c r="R92" s="611"/>
      <c r="AQ92" s="406"/>
      <c r="BB92" s="406"/>
      <c r="BM92" s="407"/>
    </row>
    <row r="93" ht="38.25" customHeight="1">
      <c r="A93" s="597"/>
      <c r="B93" s="597"/>
      <c r="C93" s="597"/>
      <c r="D93" s="597"/>
      <c r="E93" s="597"/>
      <c r="F93" s="597"/>
      <c r="G93" s="597"/>
      <c r="H93" s="597"/>
      <c r="I93" s="597"/>
      <c r="J93" s="597"/>
      <c r="K93" s="597"/>
      <c r="L93" s="597"/>
      <c r="M93" s="597"/>
      <c r="N93" s="597"/>
      <c r="O93" s="597"/>
      <c r="P93" s="597"/>
      <c r="Q93" s="597"/>
      <c r="R93" s="611"/>
      <c r="AQ93" s="406"/>
      <c r="BB93" s="406"/>
      <c r="BM93" s="407"/>
    </row>
    <row r="94" ht="38.25" customHeight="1">
      <c r="A94" s="597"/>
      <c r="B94" s="597"/>
      <c r="C94" s="597"/>
      <c r="D94" s="597"/>
      <c r="E94" s="597"/>
      <c r="F94" s="597"/>
      <c r="G94" s="597"/>
      <c r="H94" s="597"/>
      <c r="I94" s="597"/>
      <c r="J94" s="597"/>
      <c r="K94" s="597"/>
      <c r="L94" s="597"/>
      <c r="M94" s="597"/>
      <c r="N94" s="597"/>
      <c r="O94" s="597"/>
      <c r="P94" s="597"/>
      <c r="Q94" s="597"/>
      <c r="R94" s="611"/>
      <c r="AQ94" s="406"/>
      <c r="BB94" s="406"/>
      <c r="BM94" s="407"/>
    </row>
    <row r="95" ht="38.25" customHeight="1">
      <c r="A95" s="597"/>
      <c r="B95" s="597"/>
      <c r="C95" s="597"/>
      <c r="D95" s="597"/>
      <c r="E95" s="597"/>
      <c r="F95" s="597"/>
      <c r="G95" s="597"/>
      <c r="H95" s="597"/>
      <c r="I95" s="597"/>
      <c r="J95" s="597"/>
      <c r="K95" s="597"/>
      <c r="L95" s="597"/>
      <c r="M95" s="597"/>
      <c r="N95" s="597"/>
      <c r="O95" s="597"/>
      <c r="P95" s="597"/>
      <c r="Q95" s="597"/>
      <c r="R95" s="611"/>
      <c r="AQ95" s="406"/>
      <c r="BB95" s="406"/>
      <c r="BM95" s="407"/>
    </row>
    <row r="96" ht="38.25" customHeight="1">
      <c r="A96" s="597"/>
      <c r="B96" s="597"/>
      <c r="C96" s="597"/>
      <c r="D96" s="597"/>
      <c r="E96" s="597"/>
      <c r="F96" s="597"/>
      <c r="G96" s="597"/>
      <c r="H96" s="597"/>
      <c r="I96" s="597"/>
      <c r="J96" s="597"/>
      <c r="K96" s="597"/>
      <c r="L96" s="597"/>
      <c r="M96" s="597"/>
      <c r="N96" s="597"/>
      <c r="O96" s="597"/>
      <c r="P96" s="597"/>
      <c r="Q96" s="597"/>
      <c r="R96" s="611"/>
      <c r="AQ96" s="406"/>
      <c r="BB96" s="406"/>
      <c r="BM96" s="407"/>
    </row>
    <row r="97" ht="39" customHeight="1">
      <c r="A97" s="597"/>
      <c r="B97" s="597"/>
      <c r="C97" s="597"/>
      <c r="D97" s="597"/>
      <c r="E97" s="597"/>
      <c r="F97" s="597"/>
      <c r="G97" s="597"/>
      <c r="H97" s="597"/>
      <c r="I97" s="597"/>
      <c r="J97" s="597"/>
      <c r="K97" s="597"/>
      <c r="L97" s="597"/>
      <c r="M97" s="597"/>
      <c r="N97" s="597"/>
      <c r="O97" s="597"/>
      <c r="P97" s="597"/>
      <c r="Q97" s="597"/>
      <c r="R97" s="611"/>
      <c r="AQ97" s="406"/>
      <c r="BB97" s="406"/>
      <c r="BM97" s="407"/>
    </row>
    <row r="98" ht="39" customHeight="1">
      <c r="A98" s="597" t="s">
        <v>217</v>
      </c>
      <c r="B98" s="597"/>
      <c r="C98" s="597"/>
      <c r="D98" s="597"/>
      <c r="E98" s="597"/>
      <c r="F98" s="597"/>
      <c r="G98" s="597"/>
      <c r="H98" s="597"/>
      <c r="I98" s="597"/>
      <c r="J98" s="597"/>
      <c r="K98" s="597"/>
      <c r="L98" s="597"/>
      <c r="M98" s="597"/>
      <c r="N98" s="597"/>
      <c r="O98" s="597"/>
      <c r="P98" s="597"/>
      <c r="Q98" s="597"/>
      <c r="R98" s="611"/>
      <c r="AR98" s="406"/>
      <c r="BN98" s="407"/>
    </row>
    <row r="99" ht="39" customHeight="1">
      <c r="A99" s="597"/>
      <c r="B99" s="597"/>
      <c r="C99" s="597"/>
      <c r="D99" s="597"/>
      <c r="E99" s="597"/>
      <c r="F99" s="597"/>
      <c r="G99" s="597"/>
      <c r="H99" s="597"/>
      <c r="I99" s="597"/>
      <c r="J99" s="597"/>
      <c r="K99" s="597"/>
      <c r="L99" s="597"/>
      <c r="M99" s="597"/>
      <c r="N99" s="597"/>
      <c r="O99" s="597"/>
      <c r="P99" s="597"/>
      <c r="Q99" s="597"/>
      <c r="R99" s="611"/>
      <c r="AR99" s="406"/>
      <c r="BN99" s="407"/>
    </row>
    <row r="100" ht="39" customHeight="1">
      <c r="A100" s="597"/>
      <c r="B100" s="597"/>
      <c r="C100" s="597"/>
      <c r="D100" s="597"/>
      <c r="E100" s="597"/>
      <c r="F100" s="597"/>
      <c r="G100" s="597"/>
      <c r="H100" s="597"/>
      <c r="I100" s="597"/>
      <c r="J100" s="597"/>
      <c r="K100" s="597"/>
      <c r="L100" s="597"/>
      <c r="M100" s="597"/>
      <c r="N100" s="597"/>
      <c r="O100" s="597"/>
      <c r="P100" s="597"/>
      <c r="Q100" s="597"/>
      <c r="R100" s="611"/>
      <c r="AR100" s="406"/>
      <c r="BN100" s="407"/>
    </row>
    <row r="101" ht="39" customHeight="1">
      <c r="A101" s="597"/>
      <c r="B101" s="597"/>
      <c r="C101" s="597"/>
      <c r="D101" s="597"/>
      <c r="E101" s="597"/>
      <c r="F101" s="597"/>
      <c r="G101" s="597"/>
      <c r="H101" s="597"/>
      <c r="I101" s="597"/>
      <c r="J101" s="597"/>
      <c r="K101" s="597"/>
      <c r="L101" s="597"/>
      <c r="M101" s="597"/>
      <c r="N101" s="597"/>
      <c r="O101" s="597"/>
      <c r="P101" s="597"/>
      <c r="Q101" s="597"/>
      <c r="R101" s="611"/>
      <c r="AR101" s="406"/>
      <c r="BN101" s="407"/>
    </row>
    <row r="102" ht="39" customHeight="1">
      <c r="A102" s="597"/>
      <c r="B102" s="597"/>
      <c r="C102" s="597"/>
      <c r="D102" s="597"/>
      <c r="E102" s="597"/>
      <c r="F102" s="597"/>
      <c r="G102" s="597"/>
      <c r="H102" s="597"/>
      <c r="I102" s="597"/>
      <c r="J102" s="597"/>
      <c r="K102" s="597"/>
      <c r="L102" s="597"/>
      <c r="M102" s="597"/>
      <c r="N102" s="597"/>
      <c r="O102" s="597"/>
      <c r="P102" s="597"/>
      <c r="Q102" s="597"/>
      <c r="R102" s="611"/>
      <c r="AR102" s="406"/>
      <c r="BN102" s="407"/>
    </row>
    <row r="103" ht="39" customHeight="1">
      <c r="A103" s="597"/>
      <c r="B103" s="597"/>
      <c r="C103" s="597"/>
      <c r="D103" s="597"/>
      <c r="E103" s="597"/>
      <c r="F103" s="597"/>
      <c r="G103" s="597"/>
      <c r="H103" s="597"/>
      <c r="I103" s="597"/>
      <c r="J103" s="597"/>
      <c r="K103" s="597"/>
      <c r="L103" s="597"/>
      <c r="M103" s="597"/>
      <c r="N103" s="597"/>
      <c r="O103" s="597"/>
      <c r="P103" s="597"/>
      <c r="Q103" s="597"/>
      <c r="R103" s="611"/>
      <c r="AR103" s="406"/>
      <c r="BN103" s="407"/>
    </row>
    <row r="104" ht="39" customHeight="1">
      <c r="A104" s="597"/>
      <c r="B104" s="597"/>
      <c r="C104" s="597"/>
      <c r="D104" s="597"/>
      <c r="E104" s="597"/>
      <c r="F104" s="597"/>
      <c r="G104" s="597"/>
      <c r="H104" s="597"/>
      <c r="I104" s="597"/>
      <c r="J104" s="597"/>
      <c r="K104" s="597"/>
      <c r="L104" s="597"/>
      <c r="M104" s="597"/>
      <c r="N104" s="597"/>
      <c r="O104" s="597"/>
      <c r="P104" s="597"/>
      <c r="Q104" s="597"/>
      <c r="R104" s="611"/>
      <c r="AR104" s="406"/>
      <c r="BN104" s="407"/>
    </row>
    <row r="105" ht="39" customHeight="1">
      <c r="A105" s="597"/>
      <c r="B105" s="597"/>
      <c r="C105" s="597"/>
      <c r="D105" s="597"/>
      <c r="E105" s="597"/>
      <c r="F105" s="597"/>
      <c r="G105" s="597"/>
      <c r="H105" s="597"/>
      <c r="I105" s="597"/>
      <c r="J105" s="597"/>
      <c r="K105" s="597"/>
      <c r="L105" s="597"/>
      <c r="M105" s="597"/>
      <c r="N105" s="597"/>
      <c r="O105" s="597"/>
      <c r="P105" s="597"/>
      <c r="Q105" s="597"/>
      <c r="R105" s="611"/>
      <c r="AR105" s="406"/>
      <c r="BN105" s="407"/>
    </row>
    <row r="106" ht="39" customHeight="1">
      <c r="A106" s="597"/>
      <c r="B106" s="597"/>
      <c r="C106" s="597"/>
      <c r="D106" s="597"/>
      <c r="E106" s="597"/>
      <c r="F106" s="597"/>
      <c r="G106" s="597"/>
      <c r="H106" s="597"/>
      <c r="I106" s="597"/>
      <c r="J106" s="597"/>
      <c r="K106" s="597"/>
      <c r="L106" s="597"/>
      <c r="M106" s="597"/>
      <c r="N106" s="597"/>
      <c r="O106" s="597"/>
      <c r="P106" s="597"/>
      <c r="Q106" s="597"/>
      <c r="R106" s="611"/>
      <c r="AR106" s="406"/>
      <c r="BN106" s="407"/>
    </row>
    <row r="107" ht="39" customHeight="1">
      <c r="A107" s="597"/>
      <c r="B107" s="597"/>
      <c r="C107" s="597"/>
      <c r="D107" s="597"/>
      <c r="E107" s="597"/>
      <c r="F107" s="597"/>
      <c r="G107" s="597"/>
      <c r="H107" s="597"/>
      <c r="I107" s="597"/>
      <c r="J107" s="597"/>
      <c r="K107" s="597"/>
      <c r="L107" s="597"/>
      <c r="M107" s="597"/>
      <c r="N107" s="597"/>
      <c r="O107" s="597"/>
      <c r="P107" s="597"/>
      <c r="Q107" s="597"/>
      <c r="R107" s="611"/>
      <c r="AR107" s="406"/>
      <c r="BN107" s="407"/>
    </row>
    <row r="108" ht="39" customHeight="1">
      <c r="A108" s="597"/>
      <c r="B108" s="597"/>
      <c r="C108" s="597"/>
      <c r="D108" s="597"/>
      <c r="E108" s="597"/>
      <c r="F108" s="597"/>
      <c r="G108" s="597"/>
      <c r="H108" s="597"/>
      <c r="I108" s="597"/>
      <c r="J108" s="597"/>
      <c r="K108" s="597"/>
      <c r="L108" s="597"/>
      <c r="M108" s="597"/>
      <c r="N108" s="597"/>
      <c r="O108" s="597"/>
      <c r="P108" s="597"/>
      <c r="Q108" s="597"/>
      <c r="R108" s="611"/>
      <c r="AR108" s="406"/>
      <c r="BN108" s="407"/>
    </row>
    <row r="109" ht="39" customHeight="1">
      <c r="A109" s="597"/>
      <c r="B109" s="597"/>
      <c r="C109" s="597"/>
      <c r="D109" s="597"/>
      <c r="E109" s="597"/>
      <c r="F109" s="597"/>
      <c r="G109" s="597"/>
      <c r="H109" s="597"/>
      <c r="I109" s="597"/>
      <c r="J109" s="597"/>
      <c r="K109" s="597"/>
      <c r="L109" s="597"/>
      <c r="M109" s="597"/>
      <c r="N109" s="597"/>
      <c r="O109" s="597"/>
      <c r="P109" s="597"/>
      <c r="Q109" s="597"/>
      <c r="R109" s="611"/>
      <c r="AR109" s="406"/>
      <c r="BN109" s="407"/>
    </row>
    <row r="110" ht="39" customHeight="1">
      <c r="A110" s="597"/>
      <c r="B110" s="597"/>
      <c r="C110" s="597"/>
      <c r="D110" s="597"/>
      <c r="E110" s="597"/>
      <c r="F110" s="597"/>
      <c r="G110" s="597"/>
      <c r="H110" s="597"/>
      <c r="I110" s="597"/>
      <c r="J110" s="597"/>
      <c r="K110" s="597"/>
      <c r="L110" s="597"/>
      <c r="M110" s="597"/>
      <c r="N110" s="597"/>
      <c r="O110" s="597"/>
      <c r="P110" s="597"/>
      <c r="Q110" s="597"/>
      <c r="R110" s="611"/>
      <c r="AR110" s="406"/>
      <c r="BN110" s="407"/>
    </row>
    <row r="111" ht="39" customHeight="1">
      <c r="A111" s="597"/>
      <c r="B111" s="597"/>
      <c r="C111" s="597"/>
      <c r="D111" s="597"/>
      <c r="E111" s="597"/>
      <c r="F111" s="597"/>
      <c r="G111" s="597"/>
      <c r="H111" s="597"/>
      <c r="I111" s="597"/>
      <c r="J111" s="597"/>
      <c r="K111" s="597"/>
      <c r="L111" s="597"/>
      <c r="M111" s="597"/>
      <c r="N111" s="597"/>
      <c r="O111" s="597"/>
      <c r="P111" s="597"/>
      <c r="Q111" s="597"/>
      <c r="R111" s="611"/>
      <c r="AR111" s="406"/>
      <c r="BN111" s="407"/>
    </row>
    <row r="112" ht="39" customHeight="1">
      <c r="A112" s="597"/>
      <c r="B112" s="597"/>
      <c r="C112" s="597"/>
      <c r="D112" s="597"/>
      <c r="E112" s="597"/>
      <c r="F112" s="597"/>
      <c r="G112" s="597"/>
      <c r="H112" s="597"/>
      <c r="I112" s="597"/>
      <c r="J112" s="597"/>
      <c r="K112" s="597"/>
      <c r="L112" s="597"/>
      <c r="M112" s="597"/>
      <c r="N112" s="597"/>
      <c r="O112" s="597"/>
      <c r="P112" s="597"/>
      <c r="Q112" s="597"/>
      <c r="R112" s="611"/>
      <c r="AR112" s="406"/>
      <c r="BN112" s="407"/>
    </row>
    <row r="113" ht="39" customHeight="1">
      <c r="A113" s="597"/>
      <c r="B113" s="597"/>
      <c r="C113" s="597"/>
      <c r="D113" s="597"/>
      <c r="E113" s="597"/>
      <c r="F113" s="597"/>
      <c r="G113" s="597"/>
      <c r="H113" s="597"/>
      <c r="I113" s="597"/>
      <c r="J113" s="597"/>
      <c r="K113" s="597"/>
      <c r="L113" s="597"/>
      <c r="M113" s="597"/>
      <c r="N113" s="597"/>
      <c r="O113" s="597"/>
      <c r="P113" s="597"/>
      <c r="Q113" s="597"/>
      <c r="R113" s="611"/>
      <c r="AR113" s="406"/>
      <c r="BN113" s="407"/>
    </row>
    <row r="114" ht="39" customHeight="1">
      <c r="A114" s="597"/>
      <c r="B114" s="597"/>
      <c r="C114" s="597"/>
      <c r="D114" s="597"/>
      <c r="E114" s="597"/>
      <c r="F114" s="597"/>
      <c r="G114" s="597"/>
      <c r="H114" s="597"/>
      <c r="I114" s="597"/>
      <c r="J114" s="597"/>
      <c r="K114" s="597"/>
      <c r="L114" s="597"/>
      <c r="M114" s="597"/>
      <c r="N114" s="597"/>
      <c r="O114" s="597"/>
      <c r="P114" s="597"/>
      <c r="Q114" s="597"/>
      <c r="R114" s="611"/>
      <c r="AR114" s="406"/>
      <c r="BN114" s="407"/>
    </row>
    <row r="115" ht="39" customHeight="1">
      <c r="A115" s="597"/>
      <c r="B115" s="597"/>
      <c r="C115" s="597"/>
      <c r="D115" s="597"/>
      <c r="E115" s="597"/>
      <c r="F115" s="597"/>
      <c r="G115" s="597"/>
      <c r="H115" s="597"/>
      <c r="I115" s="597"/>
      <c r="J115" s="597"/>
      <c r="K115" s="597"/>
      <c r="L115" s="597"/>
      <c r="M115" s="597"/>
      <c r="N115" s="597"/>
      <c r="O115" s="597"/>
      <c r="P115" s="597"/>
      <c r="Q115" s="597"/>
      <c r="R115" s="61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G8:I10" location="تسعير!AQ38" display="تليسكوب"/>
    <hyperlink ref="H8:J10" location="تسعير!AQ38" display="تليسكوب"/>
    <hyperlink ref="I8:K10" location="تسعير!AQ38" display="تليسكوب"/>
    <hyperlink ref="J8:L10" location="تسعير!AQ38" display="تليسكوب"/>
    <hyperlink ref="K8:M10" location="تسعير!AQ38" display="تليسكوب"/>
    <hyperlink ref="L8:N10" location="تسعير!AQ38" display="تليسكوب"/>
    <hyperlink ref="M8:O10" location="تسعير!AQ38" display="تليسكوب"/>
    <hyperlink ref="N8:P10" location="تسعير!AQ38" display="تليسكوب"/>
    <hyperlink ref="O8:Q10" location="تسعير!AQ38" display="تليسكوب"/>
    <hyperlink ref="P8:R10" location="تسعير!AQ38" display="تليسكوب"/>
    <hyperlink ref="Q8:S10" location="تسعير!AQ38" display="تليسكوب"/>
    <hyperlink ref="R8:T10" location="تسعير!AQ38" display="تليسكوب"/>
    <hyperlink ref="S8:U10" location="تسعير!AQ38" display="تليسكوب"/>
    <hyperlink ref="T8:V10" location="تسعير!AQ38" display="تليسكوب"/>
    <hyperlink ref="U8:W10" location="تسعير!AQ38" display="تليسكوب"/>
    <hyperlink ref="V8:X10" location="تسعير!AQ38" display="تليسكوب"/>
    <hyperlink ref="W8:Y10" location="تسعير!AQ38" display="تليسكوب"/>
    <hyperlink ref="X8:Z10" location="تسعير!AQ38" display="تليسكوب"/>
    <hyperlink ref="Y8:AA10" location="تسعير!AQ38" display="تليسكوب"/>
    <hyperlink ref="Z8:AB10" location="تسعير!AQ38" display="تليسكوب"/>
    <hyperlink ref="AA8:AC10" location="تسعير!AQ38" display="تليسكوب"/>
    <hyperlink ref="AB8:AD10" location="تسعير!AQ38" display="تليسكوب"/>
    <hyperlink ref="AC8:AE10" location="تسعير!AQ38" display="تليسكوب"/>
    <hyperlink ref="AD8:AF10" location="تسعير!AQ38" display="تليسكوب"/>
    <hyperlink ref="AE8:AG10" location="تسعير!AQ38" display="تليسكوب"/>
    <hyperlink ref="AF8:AH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G9:I11" location="تسعير!AQ38" display="تليسكوب"/>
    <hyperlink ref="H9:J11" location="تسعير!AQ38" display="تليسكوب"/>
    <hyperlink ref="I9:K11" location="تسعير!AQ38" display="تليسكوب"/>
    <hyperlink ref="J9:L11" location="تسعير!AQ38" display="تليسكوب"/>
    <hyperlink ref="K9:M11" location="تسعير!AQ38" display="تليسكوب"/>
    <hyperlink ref="L9:N11" location="تسعير!AQ38" display="تليسكوب"/>
    <hyperlink ref="M9:O11" location="تسعير!AQ38" display="تليسكوب"/>
    <hyperlink ref="N9:P11" location="تسعير!AQ38" display="تليسكوب"/>
    <hyperlink ref="O9:Q11" location="تسعير!AQ38" display="تليسكوب"/>
    <hyperlink ref="P9:R11" location="تسعير!AQ38" display="تليسكوب"/>
    <hyperlink ref="Q9:S11" location="تسعير!AQ38" display="تليسكوب"/>
    <hyperlink ref="R9:T11" location="تسعير!AQ38" display="تليسكوب"/>
    <hyperlink ref="S9:U11" location="تسعير!AQ38" display="تليسكوب"/>
    <hyperlink ref="T9:V11" location="تسعير!AQ38" display="تليسكوب"/>
    <hyperlink ref="U9:W11" location="تسعير!AQ38" display="تليسكوب"/>
    <hyperlink ref="V9:X11" location="تسعير!AQ38" display="تليسكوب"/>
    <hyperlink ref="W9:Y11" location="تسعير!AQ38" display="تليسكوب"/>
    <hyperlink ref="X9:Z11" location="تسعير!AQ38" display="تليسكوب"/>
    <hyperlink ref="Y9:AA11" location="تسعير!AQ38" display="تليسكوب"/>
    <hyperlink ref="Z9:AB11" location="تسعير!AQ38" display="تليسكوب"/>
    <hyperlink ref="AA9:AC11" location="تسعير!AQ38" display="تليسكوب"/>
    <hyperlink ref="AB9:AD11" location="تسعير!AQ38" display="تليسكوب"/>
    <hyperlink ref="AC9:AE11" location="تسعير!AQ38" display="تليسكوب"/>
    <hyperlink ref="AD9:AF11" location="تسعير!AQ38" display="تليسكوب"/>
    <hyperlink ref="AE9:AG11" location="تسعير!AQ38" display="تليسكوب"/>
    <hyperlink ref="AF9:AH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G10:I12" location="تسعير!AQ38" display="تليسكوب"/>
    <hyperlink ref="H10:J12" location="تسعير!AQ38" display="تليسكوب"/>
    <hyperlink ref="I10:K12" location="تسعير!AQ38" display="تليسكوب"/>
    <hyperlink ref="J10:L12" location="تسعير!AQ38" display="تليسكوب"/>
    <hyperlink ref="K10:M12" location="تسعير!AQ38" display="تليسكوب"/>
    <hyperlink ref="L10:N12" location="تسعير!AQ38" display="تليسكوب"/>
    <hyperlink ref="M10:O12" location="تسعير!AQ38" display="تليسكوب"/>
    <hyperlink ref="N10:P12" location="تسعير!AQ38" display="تليسكوب"/>
    <hyperlink ref="O10:Q12" location="تسعير!AQ38" display="تليسكوب"/>
    <hyperlink ref="P10:R12" location="تسعير!AQ38" display="تليسكوب"/>
    <hyperlink ref="Q10:S12" location="تسعير!AQ38" display="تليسكوب"/>
    <hyperlink ref="R10:T12" location="تسعير!AQ38" display="تليسكوب"/>
    <hyperlink ref="S10:U12" location="تسعير!AQ38" display="تليسكوب"/>
    <hyperlink ref="T10:V12" location="تسعير!AQ38" display="تليسكوب"/>
    <hyperlink ref="U10:W12" location="تسعير!AQ38" display="تليسكوب"/>
    <hyperlink ref="V10:X12" location="تسعير!AQ38" display="تليسكوب"/>
    <hyperlink ref="W10:Y12" location="تسعير!AQ38" display="تليسكوب"/>
    <hyperlink ref="X10:Z12" location="تسعير!AQ38" display="تليسكوب"/>
    <hyperlink ref="Y10:AA12" location="تسعير!AQ38" display="تليسكوب"/>
    <hyperlink ref="Z10:AB12" location="تسعير!AQ38" display="تليسكوب"/>
    <hyperlink ref="AA10:AC12" location="تسعير!AQ38" display="تليسكوب"/>
    <hyperlink ref="AB10:AD12" location="تسعير!AQ38" display="تليسكوب"/>
    <hyperlink ref="AC10:AE12" location="تسعير!AQ38" display="تليسكوب"/>
    <hyperlink ref="AD10:AF12" location="تسعير!AQ38" display="تليسكوب"/>
    <hyperlink ref="AE10:AG12" location="تسعير!AQ38" display="تليسكوب"/>
    <hyperlink ref="AF10:AH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G11:I13" location="تسعير!AQ38" display="تليسكوب"/>
    <hyperlink ref="H11:J13" location="تسعير!AQ38" display="تليسكوب"/>
    <hyperlink ref="I11:K13" location="تسعير!AQ38" display="تليسكوب"/>
    <hyperlink ref="J11:L13" location="تسعير!AQ38" display="تليسكوب"/>
    <hyperlink ref="K11:M13" location="تسعير!AQ38" display="تليسكوب"/>
    <hyperlink ref="L11:N13" location="تسعير!AQ38" display="تليسكوب"/>
    <hyperlink ref="M11:O13" location="تسعير!AQ38" display="تليسكوب"/>
    <hyperlink ref="N11:P13" location="تسعير!AQ38" display="تليسكوب"/>
    <hyperlink ref="O11:Q13" location="تسعير!AQ38" display="تليسكوب"/>
    <hyperlink ref="P11:R13" location="تسعير!AQ38" display="تليسكوب"/>
    <hyperlink ref="Q11:S13" location="تسعير!AQ38" display="تليسكوب"/>
    <hyperlink ref="R11:T13" location="تسعير!AQ38" display="تليسكوب"/>
    <hyperlink ref="S11:U13" location="تسعير!AQ38" display="تليسكوب"/>
    <hyperlink ref="T11:V13" location="تسعير!AQ38" display="تليسكوب"/>
    <hyperlink ref="U11:W13" location="تسعير!AQ38" display="تليسكوب"/>
    <hyperlink ref="V11:X13" location="تسعير!AQ38" display="تليسكوب"/>
    <hyperlink ref="W11:Y13" location="تسعير!AQ38" display="تليسكوب"/>
    <hyperlink ref="X11:Z13" location="تسعير!AQ38" display="تليسكوب"/>
    <hyperlink ref="Y11:AA13" location="تسعير!AQ38" display="تليسكوب"/>
    <hyperlink ref="Z11:AB13" location="تسعير!AQ38" display="تليسكوب"/>
    <hyperlink ref="AA11:AC13" location="تسعير!AQ38" display="تليسكوب"/>
    <hyperlink ref="AB11:AD13" location="تسعير!AQ38" display="تليسكوب"/>
    <hyperlink ref="AC11:AE13" location="تسعير!AQ38" display="تليسكوب"/>
    <hyperlink ref="AD11:AF13" location="تسعير!AQ38" display="تليسكوب"/>
    <hyperlink ref="AE11:AG13" location="تسعير!AQ38" display="تليسكوب"/>
    <hyperlink ref="AF11:AH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G12:I14" location="تسعير!AQ38" display="تليسكوب"/>
    <hyperlink ref="H12:J14" location="تسعير!AQ38" display="تليسكوب"/>
    <hyperlink ref="I12:K14" location="تسعير!AQ38" display="تليسكوب"/>
    <hyperlink ref="J12:L14" location="تسعير!AQ38" display="تليسكوب"/>
    <hyperlink ref="K12:M14" location="تسعير!AQ38" display="تليسكوب"/>
    <hyperlink ref="L12:N14" location="تسعير!AQ38" display="تليسكوب"/>
    <hyperlink ref="M12:O14" location="تسعير!AQ38" display="تليسكوب"/>
    <hyperlink ref="N12:P14" location="تسعير!AQ38" display="تليسكوب"/>
    <hyperlink ref="O12:Q14" location="تسعير!AQ38" display="تليسكوب"/>
    <hyperlink ref="P12:R14" location="تسعير!AQ38" display="تليسكوب"/>
    <hyperlink ref="Q12:S14" location="تسعير!AQ38" display="تليسكوب"/>
    <hyperlink ref="R12:T14" location="تسعير!AQ38" display="تليسكوب"/>
    <hyperlink ref="S12" location="تسعير!X14" display="التثبيت"/>
    <hyperlink ref="T12:V14" location="تسعير!AQ38" display="تليسكوب"/>
    <hyperlink ref="U12:W14" location="تسعير!AQ38" display="تليسكوب"/>
    <hyperlink ref="V12:X14" location="تسعير!AQ38" display="تليسكوب"/>
    <hyperlink ref="W12:Y14" location="تسعير!AQ38" display="تليسكوب"/>
    <hyperlink ref="X12:Z14" location="تسعير!AQ38" display="تليسكوب"/>
    <hyperlink ref="Y12:AA14" location="تسعير!AQ38" display="تليسكوب"/>
    <hyperlink ref="Z12:AB14" location="تسعير!AQ38" display="تليسكوب"/>
    <hyperlink ref="AA12:AC14" location="تسعير!AQ38" display="تليسكوب"/>
    <hyperlink ref="AB12:AD14" location="تسعير!AQ38" display="تليسكوب"/>
    <hyperlink ref="AC12:AE14" location="تسعير!AQ38" display="تليسكوب"/>
    <hyperlink ref="AD12:AF14" location="تسعير!AQ38" display="تليسكوب"/>
    <hyperlink ref="AE12:AG14" location="تسعير!AQ38" display="تليسكوب"/>
    <hyperlink ref="AF12:AH14" location="تسعير!AQ38" display="تليسكوب"/>
    <hyperlink ref="AS12" location="تسعير!BB14" display="التثبيت"/>
    <hyperlink ref="BD12" location="تسعير!BF14" display="التثبيت"/>
    <hyperlink ref="B13:D15" location="تسعير!AQ38" display="تليسكوب"/>
    <hyperlink ref="C13:E15" location="تسعير!AQ38" display="تليسكوب"/>
    <hyperlink ref="D13:F15" location="تسعير!AQ38" display="تليسكوب"/>
    <hyperlink ref="E13:G15" location="تسعير!AQ38" display="تليسكوب"/>
    <hyperlink ref="F13:H15" location="تسعير!AQ38" display="تليسكوب"/>
    <hyperlink ref="G13:I15" location="تسعير!AQ38" display="تليسكوب"/>
    <hyperlink ref="H13:J15" location="تسعير!AQ38" display="تليسكوب"/>
    <hyperlink ref="I13:K15" location="تسعير!AQ38" display="تليسكوب"/>
    <hyperlink ref="J13:L15" location="تسعير!AQ38" display="تليسكوب"/>
    <hyperlink ref="K13:M15" location="تسعير!AQ38" display="تليسكوب"/>
    <hyperlink ref="L13:N15" location="تسعير!AQ38" display="تليسكوب"/>
    <hyperlink ref="M13:O15" location="تسعير!AQ38" display="تليسكوب"/>
    <hyperlink ref="N13:P15" location="تسعير!AQ38" display="تليسكوب"/>
    <hyperlink ref="O13:Q15" location="تسعير!AQ38" display="تليسكوب"/>
    <hyperlink ref="P13:R15" location="تسعير!AQ38" display="تليسكوب"/>
    <hyperlink ref="Q13:S15" location="تسعير!AQ38" display="تليسكوب"/>
    <hyperlink ref="R13:T15" location="تسعير!AQ38" display="تليسكوب"/>
    <hyperlink ref="S13" location="تسعير!AA10" display="العرض cm"/>
    <hyperlink ref="T13:V15" location="تسعير!AQ38" display="تليسكوب"/>
    <hyperlink ref="U13:W15" location="تسعير!AQ38" display="تليسكوب"/>
    <hyperlink ref="V13:X15" location="تسعير!AQ38" display="تليسكوب"/>
    <hyperlink ref="W13:Y15" location="تسعير!AQ38" display="تليسكوب"/>
    <hyperlink ref="X13:Z15" location="تسعير!AQ38" display="تليسكوب"/>
    <hyperlink ref="Y13:AA15" location="تسعير!AQ38" display="تليسكوب"/>
    <hyperlink ref="Z13:AB15" location="تسعير!AQ38" display="تليسكوب"/>
    <hyperlink ref="AA13:AC15" location="تسعير!AQ38" display="تليسكوب"/>
    <hyperlink ref="AB13:AD15" location="تسعير!AQ38" display="تليسكوب"/>
    <hyperlink ref="AC13:AE15" location="تسعير!AQ38" display="تليسكوب"/>
    <hyperlink ref="AD13:AF15" location="تسعير!AQ38" display="تليسكوب"/>
    <hyperlink ref="AE13:AG15" location="تسعير!AQ38" display="تليسكوب"/>
    <hyperlink ref="AF13:AH15" location="تسعير!AQ38" display="تليسكوب"/>
    <hyperlink ref="AS13" location="تسعير!AV10" display="العرض cm"/>
    <hyperlink ref="BD13" location="تسعير!BG10" display="العرض cm"/>
    <hyperlink ref="B14:D16" location="تسعير!AQ38" display="تليسكوب"/>
    <hyperlink ref="C14:E16" location="تسعير!AQ38" display="تليسكوب"/>
    <hyperlink ref="D14:F16" location="تسعير!AQ38" display="تليسكوب"/>
    <hyperlink ref="E14:G16" location="تسعير!AQ38" display="تليسكوب"/>
    <hyperlink ref="F14:H16" location="تسعير!AQ38" display="تليسكوب"/>
    <hyperlink ref="G14:I16" location="تسعير!AQ38" display="تليسكوب"/>
    <hyperlink ref="H14:J16" location="تسعير!AQ38" display="تليسكوب"/>
    <hyperlink ref="I14:K16" location="تسعير!AQ38" display="تليسكوب"/>
    <hyperlink ref="J14:L16" location="تسعير!AQ38" display="تليسكوب"/>
    <hyperlink ref="K14:M16" location="تسعير!AQ38" display="تليسكوب"/>
    <hyperlink ref="L14:N16" location="تسعير!AQ38" display="تليسكوب"/>
    <hyperlink ref="M14:O16" location="تسعير!AQ38" display="تليسكوب"/>
    <hyperlink ref="N14:P16" location="تسعير!AQ38" display="تليسكوب"/>
    <hyperlink ref="O14:Q16" location="تسعير!AQ38" display="تليسكوب"/>
    <hyperlink ref="P14:R16" location="تسعير!AQ38" display="تليسكوب"/>
    <hyperlink ref="Q14:S16" location="تسعير!AQ38" display="تليسكوب"/>
    <hyperlink ref="R14:T16" location="تسعير!AQ38" display="تليسكوب"/>
    <hyperlink ref="S14" location="تسعير!X8" display="الامتداد cm"/>
    <hyperlink ref="T14:V16" location="تسعير!AQ38" display="تليسكوب"/>
    <hyperlink ref="U14:W16" location="تسعير!AQ38" display="تليسكوب"/>
    <hyperlink ref="V14:X16" location="تسعير!AQ38" display="تليسكوب"/>
    <hyperlink ref="W14:Y16" location="تسعير!AQ38" display="تليسكوب"/>
    <hyperlink ref="X14:Z16" location="تسعير!AQ38" display="تليسكوب"/>
    <hyperlink ref="Y14:AA16" location="تسعير!AQ38" display="تليسكوب"/>
    <hyperlink ref="Z14:AB16" location="تسعير!AQ38" display="تليسكوب"/>
    <hyperlink ref="AA14:AC16" location="تسعير!AQ38" display="تليسكوب"/>
    <hyperlink ref="AB14:AD16" location="تسعير!AQ38" display="تليسكوب"/>
    <hyperlink ref="AC14:AE16" location="تسعير!AQ38" display="تليسكوب"/>
    <hyperlink ref="AD14:AF16" location="تسعير!AQ38" display="تليسكوب"/>
    <hyperlink ref="AE14:AG16" location="تسعير!AQ38" display="تليسكوب"/>
    <hyperlink ref="AF14:AH16" location="تسعير!AQ38" display="تليسكوب"/>
    <hyperlink ref="AS14" location="تسعير!BA12" display="الامتداد cm"/>
    <hyperlink ref="BD14" location="تسعير!BL12" display="الامتداد cm"/>
    <hyperlink ref="B15:D17" location="تسعير!AQ38" display="تليسكوب"/>
    <hyperlink ref="C15:E17" location="تسعير!AQ38" display="تليسكوب"/>
    <hyperlink ref="D15:F17" location="تسعير!AQ38" display="تليسكوب"/>
    <hyperlink ref="E15:G17" location="تسعير!AQ38" display="تليسكوب"/>
    <hyperlink ref="F15:H17" location="تسعير!AQ38" display="تليسكوب"/>
    <hyperlink ref="G15:I17" location="تسعير!AQ38" display="تليسكوب"/>
    <hyperlink ref="H15:J17" location="تسعير!AQ38" display="تليسكوب"/>
    <hyperlink ref="I15:K17" location="تسعير!AQ38" display="تليسكوب"/>
    <hyperlink ref="J15:L17" location="تسعير!AQ38" display="تليسكوب"/>
    <hyperlink ref="K15:M17" location="تسعير!AQ38" display="تليسكوب"/>
    <hyperlink ref="L15:N17" location="تسعير!AQ38" display="تليسكوب"/>
    <hyperlink ref="M15:O17" location="تسعير!AQ38" display="تليسكوب"/>
    <hyperlink ref="N15:P17" location="تسعير!AQ38" display="تليسكوب"/>
    <hyperlink ref="O15:Q17" location="تسعير!AQ38" display="تليسكوب"/>
    <hyperlink ref="P15:R17" location="تسعير!AQ38" display="تليسكوب"/>
    <hyperlink ref="Q15:S17" location="تسعير!AQ38" display="تليسكوب"/>
    <hyperlink ref="R15:T17" location="تسعير!AQ38" display="تليسكوب"/>
    <hyperlink ref="S15:U17" location="تسعير!AQ38" display="تليسكوب"/>
    <hyperlink ref="T15:V17" location="تسعير!AQ38" display="تليسكوب"/>
    <hyperlink ref="U15:W17" location="تسعير!AQ38" display="تليسكوب"/>
    <hyperlink ref="V15:X17" location="تسعير!AQ38" display="تليسكوب"/>
    <hyperlink ref="W15:Y17" location="تسعير!AQ38" display="تليسكوب"/>
    <hyperlink ref="X15:Z17" location="تسعير!AQ38" display="تليسكوب"/>
    <hyperlink ref="Y15:AA17" location="تسعير!AQ38" display="تليسكوب"/>
    <hyperlink ref="Z15:AB17" location="تسعير!AQ38" display="تليسكوب"/>
    <hyperlink ref="AA15:AC17" location="تسعير!AQ38" display="تليسكوب"/>
    <hyperlink ref="AB15:AD17" location="تسعير!AQ38" display="تليسكوب"/>
    <hyperlink ref="AC15:AE17" location="تسعير!AQ38" display="تليسكوب"/>
    <hyperlink ref="AD15:AF17" location="تسعير!AQ38" display="تليسكوب"/>
    <hyperlink ref="AE15:AG17" location="تسعير!AQ38" display="تليسكوب"/>
    <hyperlink ref="AF15:AH17" location="تسعير!AQ38" display="تليسكوب"/>
    <hyperlink ref="B16:D18" location="تسعير!AQ38" display="تليسكوب"/>
    <hyperlink ref="C16:E18" location="تسعير!AQ38" display="تليسكوب"/>
    <hyperlink ref="D16:F18" location="تسعير!AQ38" display="تليسكوب"/>
    <hyperlink ref="E16:G18" location="تسعير!AQ38" display="تليسكوب"/>
    <hyperlink ref="F16:H18" location="تسعير!AQ38" display="تليسكوب"/>
    <hyperlink ref="G16:I18" location="تسعير!AQ38" display="تليسكوب"/>
    <hyperlink ref="H16:J18" location="تسعير!AQ38" display="تليسكوب"/>
    <hyperlink ref="I16:K18" location="تسعير!AQ38" display="تليسكوب"/>
    <hyperlink ref="J16:L18" location="تسعير!AQ38" display="تليسكوب"/>
    <hyperlink ref="K16:M18" location="تسعير!AQ38" display="تليسكوب"/>
    <hyperlink ref="L16:N18" location="تسعير!AQ38" display="تليسكوب"/>
    <hyperlink ref="M16:O18" location="تسعير!AQ38" display="تليسكوب"/>
    <hyperlink ref="N16:P18" location="تسعير!AQ38" display="تليسكوب"/>
    <hyperlink ref="O16:Q18" location="تسعير!AQ38" display="تليسكوب"/>
    <hyperlink ref="P16:R18" location="تسعير!AQ38" display="تليسكوب"/>
    <hyperlink ref="Q16:S18" location="تسعير!AQ38" display="تليسكوب"/>
    <hyperlink ref="R16:T18" location="تسعير!AQ38" display="تليسكوب"/>
    <hyperlink ref="S16:U18" location="تسعير!AQ38" display="تليسكوب"/>
    <hyperlink ref="T16:V18" location="تسعير!AQ38" display="تليسكوب"/>
    <hyperlink ref="U16:W18" location="تسعير!AQ38" display="تليسكوب"/>
    <hyperlink ref="V16:X18" location="تسعير!AQ38" display="تليسكوب"/>
    <hyperlink ref="W16:Y18" location="تسعير!AQ38" display="تليسكوب"/>
    <hyperlink ref="X16:Z18" location="تسعير!AQ38" display="تليسكوب"/>
    <hyperlink ref="Y16:AA18" location="تسعير!AQ38" display="تليسكوب"/>
    <hyperlink ref="Z16:AB18" location="تسعير!AQ38" display="تليسكوب"/>
    <hyperlink ref="AA16:AC18" location="تسعير!AQ38" display="تليسكوب"/>
    <hyperlink ref="AB16:AD18" location="تسعير!AQ38" display="تليسكوب"/>
    <hyperlink ref="AC16:AE18" location="تسعير!AQ38" display="تليسكوب"/>
    <hyperlink ref="AD16:AF18" location="تسعير!AQ38" display="تليسكوب"/>
    <hyperlink ref="AE16:AG18" location="تسعير!AQ38" display="تليسكوب"/>
    <hyperlink ref="AF16:AH18" location="تسعير!AQ38" display="تليسكوب"/>
    <hyperlink ref="B17:D19" location="تسعير!AQ38" display="تليسكوب"/>
    <hyperlink ref="C17:E19" location="تسعير!AQ38" display="تليسكوب"/>
    <hyperlink ref="D17:F19" location="تسعير!AQ38" display="تليسكوب"/>
    <hyperlink ref="E17:G19" location="تسعير!AQ38" display="تليسكوب"/>
    <hyperlink ref="F17:H19" location="تسعير!AQ38" display="تليسكوب"/>
    <hyperlink ref="G17:I19" location="تسعير!AQ38" display="تليسكوب"/>
    <hyperlink ref="H17:J19" location="تسعير!AQ38" display="تليسكوب"/>
    <hyperlink ref="I17:K19" location="تسعير!AQ38" display="تليسكوب"/>
    <hyperlink ref="J17:L19" location="تسعير!AQ38" display="تليسكوب"/>
    <hyperlink ref="K17:M19" location="تسعير!AQ38" display="تليسكوب"/>
    <hyperlink ref="L17:N19" location="تسعير!AQ38" display="تليسكوب"/>
    <hyperlink ref="M17:O19" location="تسعير!AQ38" display="تليسكوب"/>
    <hyperlink ref="N17:P19" location="تسعير!AQ38" display="تليسكوب"/>
    <hyperlink ref="O17:Q19" location="تسعير!AQ38" display="تليسكوب"/>
    <hyperlink ref="P17:R19" location="تسعير!AQ38" display="تليسكوب"/>
    <hyperlink ref="Q17:S19" location="تسعير!AQ38" display="تليسكوب"/>
    <hyperlink ref="R17:T19" location="تسعير!AQ38" display="تليسكوب"/>
    <hyperlink ref="S17:U19" location="تسعير!AQ38" display="تليسكوب"/>
    <hyperlink ref="T17:V19" location="تسعير!AQ38" display="تليسكوب"/>
    <hyperlink ref="U17:W19" location="تسعير!AQ38" display="تليسكوب"/>
    <hyperlink ref="V17:X19" location="تسعير!AQ38" display="تليسكوب"/>
    <hyperlink ref="W17:Y19" location="تسعير!AQ38" display="تليسكوب"/>
    <hyperlink ref="X17:Z19" location="تسعير!AQ38" display="تليسكوب"/>
    <hyperlink ref="Y17:AA19" location="تسعير!AQ38" display="تليسكوب"/>
    <hyperlink ref="Z17:AB19" location="تسعير!AQ38" display="تليسكوب"/>
    <hyperlink ref="AA17:AC19" location="تسعير!AQ38" display="تليسكوب"/>
    <hyperlink ref="AB17:AD19" location="تسعير!AQ38" display="تليسكوب"/>
    <hyperlink ref="AC17:AE19" location="تسعير!AQ38" display="تليسكوب"/>
    <hyperlink ref="AD17:AF19" location="تسعير!AQ38" display="تليسكوب"/>
    <hyperlink ref="AE17:AG19" location="تسعير!AQ38" display="تليسكوب"/>
    <hyperlink ref="AF17:AH19" location="تسعير!AQ38" display="تليسكوب"/>
    <hyperlink ref="B18:D20" location="تسعير!AQ38" display="تليسكوب"/>
    <hyperlink ref="C18:E20" location="تسعير!AQ38" display="تليسكوب"/>
    <hyperlink ref="D18:F20" location="تسعير!AQ38" display="تليسكوب"/>
    <hyperlink ref="E18:G20" location="تسعير!AQ38" display="تليسكوب"/>
    <hyperlink ref="F18:H20" location="تسعير!AQ38" display="تليسكوب"/>
    <hyperlink ref="G18:I20" location="تسعير!AQ38" display="تليسكوب"/>
    <hyperlink ref="H18:J20" location="تسعير!AQ38" display="تليسكوب"/>
    <hyperlink ref="I18:K20" location="تسعير!AQ38" display="تليسكوب"/>
    <hyperlink ref="J18:L20" location="تسعير!AQ38" display="تليسكوب"/>
    <hyperlink ref="K18:M20" location="تسعير!AQ38" display="تليسكوب"/>
    <hyperlink ref="L18:N20" location="تسعير!AQ38" display="تليسكوب"/>
    <hyperlink ref="M18:O20" location="تسعير!AQ38" display="تليسكوب"/>
    <hyperlink ref="N18:P20" location="تسعير!AQ38" display="تليسكوب"/>
    <hyperlink ref="O18:Q20" location="تسعير!AQ38" display="تليسكوب"/>
    <hyperlink ref="P18:R20" location="تسعير!AQ38" display="تليسكوب"/>
    <hyperlink ref="Q18:S20" location="تسعير!AQ38" display="تليسكوب"/>
    <hyperlink ref="R18:T20" location="تسعير!AQ38" display="تليسكوب"/>
    <hyperlink ref="S18:U20" location="تسعير!AQ38" display="تليسكوب"/>
    <hyperlink ref="T18:V20" location="تسعير!AQ38" display="تليسكوب"/>
    <hyperlink ref="U18:W20" location="تسعير!AQ38" display="تليسكوب"/>
    <hyperlink ref="V18:X20" location="تسعير!AQ38" display="تليسكوب"/>
    <hyperlink ref="W18:Y20" location="تسعير!AQ38" display="تليسكوب"/>
    <hyperlink ref="X18:Z20" location="تسعير!AQ38" display="تليسكوب"/>
    <hyperlink ref="Y18:AA20" location="تسعير!AQ38" display="تليسكوب"/>
    <hyperlink ref="Z18:AB20" location="تسعير!AQ38" display="تليسكوب"/>
    <hyperlink ref="AA18:AC20" location="تسعير!AQ38" display="تليسكوب"/>
    <hyperlink ref="AB18:AD20" location="تسعير!AQ38" display="تليسكوب"/>
    <hyperlink ref="AC18:AE20" location="تسعير!AQ38" display="تليسكوب"/>
    <hyperlink ref="AD18:AF20" location="تسعير!AQ38" display="تليسكوب"/>
    <hyperlink ref="AE18:AG20" location="تسعير!AQ38" display="تليسكوب"/>
    <hyperlink ref="AF18:AH20" location="تسعير!AQ38" display="تليسكوب"/>
    <hyperlink ref="B19:D21" location="تسعير!AQ38" display="تليسكوب"/>
    <hyperlink ref="C19:E21" location="تسعير!AQ38" display="تليسكوب"/>
    <hyperlink ref="D19:F21" location="تسعير!AQ38" display="تليسكوب"/>
    <hyperlink ref="E19:G21" location="تسعير!AQ38" display="تليسكوب"/>
    <hyperlink ref="F19:H21" location="تسعير!AQ38" display="تليسكوب"/>
    <hyperlink ref="G19:I21" location="تسعير!AQ38" display="تليسكوب"/>
    <hyperlink ref="H19:J21" location="تسعير!AQ38" display="تليسكوب"/>
    <hyperlink ref="I19:K21" location="تسعير!AQ38" display="تليسكوب"/>
    <hyperlink ref="J19:L21" location="تسعير!AQ38" display="تليسكوب"/>
    <hyperlink ref="K19:M21" location="تسعير!AQ38" display="تليسكوب"/>
    <hyperlink ref="L19:N21" location="تسعير!AQ38" display="تليسكوب"/>
    <hyperlink ref="M19:O21" location="تسعير!AQ38" display="تليسكوب"/>
    <hyperlink ref="N19:P21" location="تسعير!AQ38" display="تليسكوب"/>
    <hyperlink ref="O19:Q21" location="تسعير!AQ38" display="تليسكوب"/>
    <hyperlink ref="P19:R21" location="تسعير!AQ38" display="تليسكوب"/>
    <hyperlink ref="Q19:S21" location="تسعير!AQ38" display="تليسكوب"/>
    <hyperlink ref="R19:T21" location="تسعير!AQ38" display="تليسكوب"/>
    <hyperlink ref="S19:U21" location="تسعير!AQ38" display="تليسكوب"/>
    <hyperlink ref="T19:V21" location="تسعير!AQ38" display="تليسكوب"/>
    <hyperlink ref="U19:W21" location="تسعير!AQ38" display="تليسكوب"/>
    <hyperlink ref="V19:X21" location="تسعير!AQ38" display="تليسكوب"/>
    <hyperlink ref="W19:Y21" location="تسعير!AQ38" display="تليسكوب"/>
    <hyperlink ref="X19:Z21" location="تسعير!AQ38" display="تليسكوب"/>
    <hyperlink ref="Y19:AA21" location="تسعير!AQ38" display="تليسكوب"/>
    <hyperlink ref="Z19:AB21" location="تسعير!AQ38" display="تليسكوب"/>
    <hyperlink ref="AA19:AC21" location="تسعير!AQ38" display="تليسكوب"/>
    <hyperlink ref="AB19:AD21" location="تسعير!AQ38" display="تليسكوب"/>
    <hyperlink ref="AC19:AE21" location="تسعير!AQ38" display="تليسكوب"/>
    <hyperlink ref="AD19:AF21" location="تسعير!AQ38" display="تليسكوب"/>
    <hyperlink ref="AE19:AG21" location="تسعير!AQ38" display="تليسكوب"/>
    <hyperlink ref="AF19:AH21" location="تسعير!AQ38" display="تليسكوب"/>
    <hyperlink ref="B20:D22" location="تسعير!AQ38" display="تليسكوب"/>
    <hyperlink ref="C20:E22" location="تسعير!AQ38" display="تليسكوب"/>
    <hyperlink ref="D20:F22" location="تسعير!AQ38" display="تليسكوب"/>
    <hyperlink ref="E20:G22" location="تسعير!AQ38" display="تليسكوب"/>
    <hyperlink ref="F20:H22" location="تسعير!AQ38" display="تليسكوب"/>
    <hyperlink ref="G20:I22" location="تسعير!AQ38" display="تليسكوب"/>
    <hyperlink ref="H20:J22" location="تسعير!AQ38" display="تليسكوب"/>
    <hyperlink ref="I20:K22" location="تسعير!AQ38" display="تليسكوب"/>
    <hyperlink ref="J20:L22" location="تسعير!AQ38" display="تليسكوب"/>
    <hyperlink ref="K20:M22" location="تسعير!AQ38" display="تليسكوب"/>
    <hyperlink ref="L20:N22" location="تسعير!AQ38" display="تليسكوب"/>
    <hyperlink ref="M20:O22" location="تسعير!AQ38" display="تليسكوب"/>
    <hyperlink ref="N20:P22" location="تسعير!AQ38" display="تليسكوب"/>
    <hyperlink ref="O20:Q22" location="تسعير!AQ38" display="تليسكوب"/>
    <hyperlink ref="P20:R22" location="تسعير!AQ38" display="تليسكوب"/>
    <hyperlink ref="Q20:S22" location="تسعير!AQ38" display="تليسكوب"/>
    <hyperlink ref="R20:T22" location="تسعير!AQ38" display="تليسكوب"/>
    <hyperlink ref="S20:U22" location="تسعير!AQ38" display="تليسكوب"/>
    <hyperlink ref="T20:V22" location="تسعير!AQ38" display="تليسكوب"/>
    <hyperlink ref="U20:W22" location="تسعير!AQ38" display="تليسكوب"/>
    <hyperlink ref="V20:X22" location="تسعير!AQ38" display="تليسكوب"/>
    <hyperlink ref="W20:Y22" location="تسعير!AQ38" display="تليسكوب"/>
    <hyperlink ref="X20:Z22" location="تسعير!AQ38" display="تليسكوب"/>
    <hyperlink ref="Y20:AA22" location="تسعير!AQ38" display="تليسكوب"/>
    <hyperlink ref="Z20:AB22" location="تسعير!AQ38" display="تليسكوب"/>
    <hyperlink ref="AA20:AC22" location="تسعير!AQ38" display="تليسكوب"/>
    <hyperlink ref="AB20:AD22" location="تسعير!AQ38" display="تليسكوب"/>
    <hyperlink ref="AC20:AE22" location="تسعير!AQ38" display="تليسكوب"/>
    <hyperlink ref="AD20:AF22" location="تسعير!AQ38" display="تليسكوب"/>
    <hyperlink ref="AE20:AG22" location="تسعير!AQ38" display="تليسكوب"/>
    <hyperlink ref="AF20:AH22" location="تسعير!AQ38" display="تليسكوب"/>
    <hyperlink ref="B21:D23" location="تسعير!AQ38" display="تليسكوب"/>
    <hyperlink ref="C21:E23" location="تسعير!AQ38" display="تليسكوب"/>
    <hyperlink ref="D21:F23" location="تسعير!AQ38" display="تليسكوب"/>
    <hyperlink ref="E21:G23" location="تسعير!AQ38" display="تليسكوب"/>
    <hyperlink ref="F21:H23" location="تسعير!AQ38" display="تليسكوب"/>
    <hyperlink ref="G21:I23" location="تسعير!AQ38" display="تليسكوب"/>
    <hyperlink ref="H21:J23" location="تسعير!AQ38" display="تليسكوب"/>
    <hyperlink ref="I21:K23" location="تسعير!AQ38" display="تليسكوب"/>
    <hyperlink ref="J21:L23" location="تسعير!AQ38" display="تليسكوب"/>
    <hyperlink ref="K21:M23" location="تسعير!AQ38" display="تليسكوب"/>
    <hyperlink ref="L21:N23" location="تسعير!AQ38" display="تليسكوب"/>
    <hyperlink ref="M21:O23" location="تسعير!AQ38" display="تليسكوب"/>
    <hyperlink ref="N21:P23" location="تسعير!AQ38" display="تليسكوب"/>
    <hyperlink ref="O21:Q23" location="تسعير!AQ38" display="تليسكوب"/>
    <hyperlink ref="P21:R23" location="تسعير!AQ38" display="تليسكوب"/>
    <hyperlink ref="Q21:S23" location="تسعير!AQ38" display="تليسكوب"/>
    <hyperlink ref="R21:T23" location="تسعير!AQ38" display="تليسكوب"/>
    <hyperlink ref="S21:U23" location="تسعير!AQ38" display="تليسكوب"/>
    <hyperlink ref="T21:V23" location="تسعير!AQ38" display="تليسكوب"/>
    <hyperlink ref="U21:W23" location="تسعير!AQ38" display="تليسكوب"/>
    <hyperlink ref="V21:X23" location="تسعير!AQ38" display="تليسكوب"/>
    <hyperlink ref="W21:Y23" location="تسعير!AQ38" display="تليسكوب"/>
    <hyperlink ref="X21:Z23" location="تسعير!AQ38" display="تليسكوب"/>
    <hyperlink ref="Y21:AA23" location="تسعير!AQ38" display="تليسكوب"/>
    <hyperlink ref="Z21:AB23" location="تسعير!AQ38" display="تليسكوب"/>
    <hyperlink ref="AA21:AC23" location="تسعير!AQ38" display="تليسكوب"/>
    <hyperlink ref="AB21:AD23" location="تسعير!AQ38" display="تليسكوب"/>
    <hyperlink ref="AC21:AE23" location="تسعير!AQ38" display="تليسكوب"/>
    <hyperlink ref="AD21:AF23" location="تسعير!AQ38" display="تليسكوب"/>
    <hyperlink ref="AE21:AG23" location="تسعير!AQ38" display="تليسكوب"/>
    <hyperlink ref="AF21:AH23" location="تسعير!AQ38" display="تليسكوب"/>
    <hyperlink ref="B22:D24" location="تسعير!AQ38" display="تليسكوب"/>
    <hyperlink ref="C22:E24" location="تسعير!AQ38" display="تليسكوب"/>
    <hyperlink ref="D22:F24" location="تسعير!AQ38" display="تليسكوب"/>
    <hyperlink ref="E22:G24" location="تسعير!AQ38" display="تليسكوب"/>
    <hyperlink ref="F22:H24" location="تسعير!AQ38" display="تليسكوب"/>
    <hyperlink ref="G22:I24" location="تسعير!AQ38" display="تليسكوب"/>
    <hyperlink ref="H22:J24" location="تسعير!AQ38" display="تليسكوب"/>
    <hyperlink ref="I22:K24" location="تسعير!AQ38" display="تليسكوب"/>
    <hyperlink ref="J22:L24" location="تسعير!AQ38" display="تليسكوب"/>
    <hyperlink ref="K22:M24" location="تسعير!AQ38" display="تليسكوب"/>
    <hyperlink ref="L22:N24" location="تسعير!AQ38" display="تليسكوب"/>
    <hyperlink ref="M22:O24" location="تسعير!AQ38" display="تليسكوب"/>
    <hyperlink ref="N22:P24" location="تسعير!AQ38" display="تليسكوب"/>
    <hyperlink ref="O22:Q24" location="تسعير!AQ38" display="تليسكوب"/>
    <hyperlink ref="P22:R24" location="تسعير!AQ38" display="تليسكوب"/>
    <hyperlink ref="Q22:S24" location="تسعير!AQ38" display="تليسكوب"/>
    <hyperlink ref="R22:T24" location="تسعير!AQ38" display="تليسكوب"/>
    <hyperlink ref="S22:U24" location="تسعير!AQ38" display="تليسكوب"/>
    <hyperlink ref="T22:V24" location="تسعير!AQ38" display="تليسكوب"/>
    <hyperlink ref="U22:W24" location="تسعير!AQ38" display="تليسكوب"/>
    <hyperlink ref="V22:X24" location="تسعير!AQ38" display="تليسكوب"/>
    <hyperlink ref="W22:Y24" location="تسعير!AQ38" display="تليسكوب"/>
    <hyperlink ref="X22:Z24" location="تسعير!AQ38" display="تليسكوب"/>
    <hyperlink ref="Y22:AA24" location="تسعير!AQ38" display="تليسكوب"/>
    <hyperlink ref="Z22:AB24" location="تسعير!AQ38" display="تليسكوب"/>
    <hyperlink ref="AA22:AC24" location="تسعير!AQ38" display="تليسكوب"/>
    <hyperlink ref="AB22:AD24" location="تسعير!AQ38" display="تليسكوب"/>
    <hyperlink ref="AC22:AE24" location="تسعير!AQ38" display="تليسكوب"/>
    <hyperlink ref="AD22:AF24" location="تسعير!AQ38" display="تليسكوب"/>
    <hyperlink ref="AE22:AG24" location="تسعير!AQ38" display="تليسكوب"/>
    <hyperlink ref="AF22:AH24" location="تسعير!AQ38" display="تليسكوب"/>
    <hyperlink ref="B23:D25" location="تسعير!AQ38" display="تليسكوب"/>
    <hyperlink ref="C23:E25" location="تسعير!AQ38" display="تليسكوب"/>
    <hyperlink ref="D23:F25" location="تسعير!AQ38" display="تليسكوب"/>
    <hyperlink ref="E23:G25" location="تسعير!AQ38" display="تليسكوب"/>
    <hyperlink ref="F23:H25" location="تسعير!AQ38" display="تليسكوب"/>
    <hyperlink ref="G23:I25" location="تسعير!AQ38" display="تليسكوب"/>
    <hyperlink ref="H23:J25" location="تسعير!AQ38" display="تليسكوب"/>
    <hyperlink ref="I23:K25" location="تسعير!AQ38" display="تليسكوب"/>
    <hyperlink ref="J23:L25" location="تسعير!AQ38" display="تليسكوب"/>
    <hyperlink ref="K23:M25" location="تسعير!AQ38" display="تليسكوب"/>
    <hyperlink ref="L23:N25" location="تسعير!AQ38" display="تليسكوب"/>
    <hyperlink ref="M23:O25" location="تسعير!AQ38" display="تليسكوب"/>
    <hyperlink ref="N23:P25" location="تسعير!AQ38" display="تليسكوب"/>
    <hyperlink ref="O23:Q25" location="تسعير!AQ38" display="تليسكوب"/>
    <hyperlink ref="P23:R25" location="تسعير!AQ38" display="تليسكوب"/>
    <hyperlink ref="Q23:S25" location="تسعير!AQ38" display="تليسكوب"/>
    <hyperlink ref="R23:T25" location="تسعير!AQ38" display="تليسكوب"/>
    <hyperlink ref="S23:U25" location="تسعير!AQ38" display="تليسكوب"/>
    <hyperlink ref="T23:V25" location="تسعير!AQ38" display="تليسكوب"/>
    <hyperlink ref="U23:W25" location="تسعير!AQ38" display="تليسكوب"/>
    <hyperlink ref="V23:X25" location="تسعير!AQ38" display="تليسكوب"/>
    <hyperlink ref="W23:Y25" location="تسعير!AQ38" display="تليسكوب"/>
    <hyperlink ref="X23:Z25" location="تسعير!AQ38" display="تليسكوب"/>
    <hyperlink ref="Y23:AA25" location="تسعير!AQ38" display="تليسكوب"/>
    <hyperlink ref="Z23:AB25" location="تسعير!AQ38" display="تليسكوب"/>
    <hyperlink ref="AA23:AC25" location="تسعير!AQ38" display="تليسكوب"/>
    <hyperlink ref="AB23:AD25" location="تسعير!AQ38" display="تليسكوب"/>
    <hyperlink ref="AC23:AE25" location="تسعير!AQ38" display="تليسكوب"/>
    <hyperlink ref="AD23:AF25" location="تسعير!AQ38" display="تليسكوب"/>
    <hyperlink ref="AE23:AG25" location="تسعير!AQ38" display="تليسكوب"/>
    <hyperlink ref="AF23:AH25" location="تسعير!AQ38" display="تليسكوب"/>
    <hyperlink ref="B24:D26" location="تسعير!AQ38" display="تليسكوب"/>
    <hyperlink ref="C24:E26" location="تسعير!AQ38" display="تليسكوب"/>
    <hyperlink ref="D24:F26" location="تسعير!AQ38" display="تليسكوب"/>
    <hyperlink ref="E24:G26" location="تسعير!AQ38" display="تليسكوب"/>
    <hyperlink ref="F24:H26" location="تسعير!AQ38" display="تليسكوب"/>
    <hyperlink ref="G24:I26" location="تسعير!AQ38" display="تليسكوب"/>
    <hyperlink ref="H24:J26" location="تسعير!AQ38" display="تليسكوب"/>
    <hyperlink ref="I24:K26" location="تسعير!AQ38" display="تليسكوب"/>
    <hyperlink ref="J24:L26" location="تسعير!AQ38" display="تليسكوب"/>
    <hyperlink ref="K24:M26" location="تسعير!AQ38" display="تليسكوب"/>
    <hyperlink ref="L24:N26" location="تسعير!AQ38" display="تليسكوب"/>
    <hyperlink ref="M24:O26" location="تسعير!AQ38" display="تليسكوب"/>
    <hyperlink ref="N24:P26" location="تسعير!AQ38" display="تليسكوب"/>
    <hyperlink ref="O24:Q26" location="تسعير!AQ38" display="تليسكوب"/>
    <hyperlink ref="P24:R26" location="تسعير!AQ38" display="تليسكوب"/>
    <hyperlink ref="Q24:S26" location="تسعير!AQ38" display="تليسكوب"/>
    <hyperlink ref="R24:T26" location="تسعير!AQ38" display="تليسكوب"/>
    <hyperlink ref="S24:U26" location="تسعير!AQ38" display="تليسكوب"/>
    <hyperlink ref="T24:V26" location="تسعير!AQ38" display="تليسكوب"/>
    <hyperlink ref="U24:W26" location="تسعير!AQ38" display="تليسكوب"/>
    <hyperlink ref="V24:X26" location="تسعير!AQ38" display="تليسكوب"/>
    <hyperlink ref="W24:Y26" location="تسعير!AQ38" display="تليسكوب"/>
    <hyperlink ref="X24:Z26" location="تسعير!AQ38" display="تليسكوب"/>
    <hyperlink ref="Y24:AA26" location="تسعير!AQ38" display="تليسكوب"/>
    <hyperlink ref="Z24:AB26" location="تسعير!AQ38" display="تليسكوب"/>
    <hyperlink ref="AA24:AC26" location="تسعير!AQ38" display="تليسكوب"/>
    <hyperlink ref="AB24:AD26" location="تسعير!AQ38" display="تليسكوب"/>
    <hyperlink ref="AC24:AE26" location="تسعير!AQ38" display="تليسكوب"/>
    <hyperlink ref="AD24:AF26" location="تسعير!AQ38" display="تليسكوب"/>
    <hyperlink ref="AE24:AG26" location="تسعير!AQ38" display="تليسكوب"/>
    <hyperlink ref="AF24:AH26" location="تسعير!AQ38" display="تليسكوب"/>
    <hyperlink ref="B25:D27" location="تسعير!AQ38" display="تليسكوب"/>
    <hyperlink ref="C25:E27" location="تسعير!AQ38" display="تليسكوب"/>
    <hyperlink ref="D25:F27" location="تسعير!AQ38" display="تليسكوب"/>
    <hyperlink ref="E25:G27" location="تسعير!AQ38" display="تليسكوب"/>
    <hyperlink ref="F25:H27" location="تسعير!AQ38" display="تليسكوب"/>
    <hyperlink ref="G25:I27" location="تسعير!AQ38" display="تليسكوب"/>
    <hyperlink ref="H25:J27" location="تسعير!AQ38" display="تليسكوب"/>
    <hyperlink ref="I25:K27" location="تسعير!AQ38" display="تليسكوب"/>
    <hyperlink ref="J25:L27" location="تسعير!AQ38" display="تليسكوب"/>
    <hyperlink ref="K25:M27" location="تسعير!AQ38" display="تليسكوب"/>
    <hyperlink ref="L25:N27" location="تسعير!AQ38" display="تليسكوب"/>
    <hyperlink ref="M25:O27" location="تسعير!AQ38" display="تليسكوب"/>
    <hyperlink ref="N25:P27" location="تسعير!AQ38" display="تليسكوب"/>
    <hyperlink ref="O25:Q27" location="تسعير!AQ38" display="تليسكوب"/>
    <hyperlink ref="P25:R27" location="تسعير!AQ38" display="تليسكوب"/>
    <hyperlink ref="Q25:S27" location="تسعير!AQ38" display="تليسكوب"/>
    <hyperlink ref="R25:T27" location="تسعير!AQ38" display="تليسكوب"/>
    <hyperlink ref="S25:U27" location="تسعير!AQ38" display="تليسكوب"/>
    <hyperlink ref="T25:V27" location="تسعير!AQ38" display="تليسكوب"/>
    <hyperlink ref="U25:W27" location="تسعير!AQ38" display="تليسكوب"/>
    <hyperlink ref="V25:X27" location="تسعير!AQ38" display="تليسكوب"/>
    <hyperlink ref="W25:Y27" location="تسعير!AQ38" display="تليسكوب"/>
    <hyperlink ref="X25:Z27" location="تسعير!AQ38" display="تليسكوب"/>
    <hyperlink ref="Y25:AA27" location="تسعير!AQ38" display="تليسكوب"/>
    <hyperlink ref="Z25:AB27" location="تسعير!AQ38" display="تليسكوب"/>
    <hyperlink ref="AA25:AC27" location="تسعير!AQ38" display="تليسكوب"/>
    <hyperlink ref="AB25:AD27" location="تسعير!AQ38" display="تليسكوب"/>
    <hyperlink ref="AC25:AE27" location="تسعير!AQ38" display="تليسكوب"/>
    <hyperlink ref="AD25:AF27" location="تسعير!AQ38" display="تليسكوب"/>
    <hyperlink ref="AE25:AG27" location="تسعير!AQ38" display="تليسكوب"/>
    <hyperlink ref="AF25:AH27" location="تسعير!AQ38" display="تليسكوب"/>
    <hyperlink ref="B26:D28" location="تسعير!AQ38" display="تليسكوب"/>
    <hyperlink ref="C26:E28" location="تسعير!AQ38" display="تليسكوب"/>
    <hyperlink ref="D26:F28" location="تسعير!AQ38" display="تليسكوب"/>
    <hyperlink ref="E26:G28" location="تسعير!AQ38" display="تليسكوب"/>
    <hyperlink ref="F26:H28" location="تسعير!AQ38" display="تليسكوب"/>
    <hyperlink ref="G26:I28" location="تسعير!AQ38" display="تليسكوب"/>
    <hyperlink ref="H26:J28" location="تسعير!AQ38" display="تليسكوب"/>
    <hyperlink ref="I26:K28" location="تسعير!AQ38" display="تليسكوب"/>
    <hyperlink ref="J26:L28" location="تسعير!AQ38" display="تليسكوب"/>
    <hyperlink ref="K26:M28" location="تسعير!AQ38" display="تليسكوب"/>
    <hyperlink ref="L26:N28" location="تسعير!AQ38" display="تليسكوب"/>
    <hyperlink ref="M26:O28" location="تسعير!AQ38" display="تليسكوب"/>
    <hyperlink ref="N26:P28" location="تسعير!AQ38" display="تليسكوب"/>
    <hyperlink ref="O26:Q28" location="تسعير!AQ38" display="تليسكوب"/>
    <hyperlink ref="P26:R28" location="تسعير!AQ38" display="تليسكوب"/>
    <hyperlink ref="Q26:S28" location="تسعير!AQ38" display="تليسكوب"/>
    <hyperlink ref="R26:T28" location="تسعير!AQ38" display="تليسكوب"/>
    <hyperlink ref="S26:U28" location="تسعير!AQ38" display="تليسكوب"/>
    <hyperlink ref="T26:V28" location="تسعير!AQ38" display="تليسكوب"/>
    <hyperlink ref="U26:W28" location="تسعير!AQ38" display="تليسكوب"/>
    <hyperlink ref="V26:X28" location="تسعير!AQ38" display="تليسكوب"/>
    <hyperlink ref="W26:Y28" location="تسعير!AQ38" display="تليسكوب"/>
    <hyperlink ref="X26:Z28" location="تسعير!AQ38" display="تليسكوب"/>
    <hyperlink ref="Y26:AA28" location="تسعير!AQ38" display="تليسكوب"/>
    <hyperlink ref="Z26:AB28" location="تسعير!AQ38" display="تليسكوب"/>
    <hyperlink ref="AA26:AC28" location="تسعير!AQ38" display="تليسكوب"/>
    <hyperlink ref="AB26:AD28" location="تسعير!AQ38" display="تليسكوب"/>
    <hyperlink ref="AC26:AE28" location="تسعير!AQ38" display="تليسكوب"/>
    <hyperlink ref="AD26:AF28" location="تسعير!AQ38" display="تليسكوب"/>
    <hyperlink ref="AE26:AG28" location="تسعير!AQ38" display="تليسكوب"/>
    <hyperlink ref="AF26:AH28" location="تسعير!AQ38" display="تليسكوب"/>
    <hyperlink ref="B27:D29" location="تسعير!AQ38" display="تليسكوب"/>
    <hyperlink ref="C27:E29" location="تسعير!AQ38" display="تليسكوب"/>
    <hyperlink ref="D27:F29" location="تسعير!AQ38" display="تليسكوب"/>
    <hyperlink ref="E27:G29" location="تسعير!AQ38" display="تليسكوب"/>
    <hyperlink ref="F27:H29" location="تسعير!AQ38" display="تليسكوب"/>
    <hyperlink ref="G27:I29" location="تسعير!AQ38" display="تليسكوب"/>
    <hyperlink ref="H27:J29" location="تسعير!AQ38" display="تليسكوب"/>
    <hyperlink ref="I27:K29" location="تسعير!AQ38" display="تليسكوب"/>
    <hyperlink ref="J27:L29" location="تسعير!AQ38" display="تليسكوب"/>
    <hyperlink ref="K27:M29" location="تسعير!AQ38" display="تليسكوب"/>
    <hyperlink ref="L27:N29" location="تسعير!AQ38" display="تليسكوب"/>
    <hyperlink ref="M27:O29" location="تسعير!AQ38" display="تليسكوب"/>
    <hyperlink ref="N27:P29" location="تسعير!AQ38" display="تليسكوب"/>
    <hyperlink ref="O27:Q29" location="تسعير!AQ38" display="تليسكوب"/>
    <hyperlink ref="P27:R29" location="تسعير!AQ38" display="تليسكوب"/>
    <hyperlink ref="Q27:S29" location="تسعير!AQ38" display="تليسكوب"/>
    <hyperlink ref="R27:T29" location="تسعير!AQ38" display="تليسكوب"/>
    <hyperlink ref="S27:U29" location="تسعير!AQ38" display="تليسكوب"/>
    <hyperlink ref="T27:V29" location="تسعير!AQ38" display="تليسكوب"/>
    <hyperlink ref="U27:W29" location="تسعير!AQ38" display="تليسكوب"/>
    <hyperlink ref="V27:X29" location="تسعير!AQ38" display="تليسكوب"/>
    <hyperlink ref="W27:Y29" location="تسعير!AQ38" display="تليسكوب"/>
    <hyperlink ref="X27:Z29" location="تسعير!AQ38" display="تليسكوب"/>
    <hyperlink ref="Y27:AA29" location="تسعير!AQ38" display="تليسكوب"/>
    <hyperlink ref="Z27:AB29" location="تسعير!AQ38" display="تليسكوب"/>
    <hyperlink ref="AA27:AC29" location="تسعير!AQ38" display="تليسكوب"/>
    <hyperlink ref="AB27:AD29" location="تسعير!AQ38" display="تليسكوب"/>
    <hyperlink ref="AC27:AE29" location="تسعير!AQ38" display="تليسكوب"/>
    <hyperlink ref="AD27:AF29" location="تسعير!AQ38" display="تليسكوب"/>
    <hyperlink ref="AE27:AG29" location="تسعير!AQ38" display="تليسكوب"/>
    <hyperlink ref="AF27:AH29" location="تسعير!AQ38" display="تليسكوب"/>
    <hyperlink ref="B28:D30" location="تسعير!AQ38" display="تليسكوب"/>
    <hyperlink ref="C28:E30" location="تسعير!AQ38" display="تليسكوب"/>
    <hyperlink ref="D28:F30" location="تسعير!AQ38" display="تليسكوب"/>
    <hyperlink ref="E28:G30" location="تسعير!AQ38" display="تليسكوب"/>
    <hyperlink ref="F28:H30" location="تسعير!AQ38" display="تليسكوب"/>
    <hyperlink ref="G28:I30" location="تسعير!AQ38" display="تليسكوب"/>
    <hyperlink ref="H28:J30" location="تسعير!AQ38" display="تليسكوب"/>
    <hyperlink ref="I28:K30" location="تسعير!AQ38" display="تليسكوب"/>
    <hyperlink ref="J28:L30" location="تسعير!AQ38" display="تليسكوب"/>
    <hyperlink ref="K28:M30" location="تسعير!AQ38" display="تليسكوب"/>
    <hyperlink ref="L28:N30" location="تسعير!AQ38" display="تليسكوب"/>
    <hyperlink ref="M28:O30" location="تسعير!AQ38" display="تليسكوب"/>
    <hyperlink ref="N28:P30" location="تسعير!AQ38" display="تليسكوب"/>
    <hyperlink ref="O28:Q30" location="تسعير!AQ38" display="تليسكوب"/>
    <hyperlink ref="P28:R30" location="تسعير!AQ38" display="تليسكوب"/>
    <hyperlink ref="Q28:S30" location="تسعير!AQ38" display="تليسكوب"/>
    <hyperlink ref="R28:T30" location="تسعير!AQ38" display="تليسكوب"/>
    <hyperlink ref="S28:U30" location="تسعير!AQ38" display="تليسكوب"/>
    <hyperlink ref="T28:V30" location="تسعير!AQ38" display="تليسكوب"/>
    <hyperlink ref="U28:W30" location="تسعير!AQ38" display="تليسكوب"/>
    <hyperlink ref="V28:X30" location="تسعير!AQ38" display="تليسكوب"/>
    <hyperlink ref="W28:Y30" location="تسعير!AQ38" display="تليسكوب"/>
    <hyperlink ref="X28:Z30" location="تسعير!AQ38" display="تليسكوب"/>
    <hyperlink ref="Y28:AA30" location="تسعير!AQ38" display="تليسكوب"/>
    <hyperlink ref="Z28:AB30" location="تسعير!AQ38" display="تليسكوب"/>
    <hyperlink ref="AA28:AC30" location="تسعير!AQ38" display="تليسكوب"/>
    <hyperlink ref="AB28:AD30" location="تسعير!AQ38" display="تليسكوب"/>
    <hyperlink ref="AC28:AE30" location="تسعير!AQ38" display="تليسكوب"/>
    <hyperlink ref="AD28:AF30" location="تسعير!AQ38" display="تليسكوب"/>
    <hyperlink ref="AE28:AG30" location="تسعير!AQ38" display="تليسكوب"/>
    <hyperlink ref="AF28:AH30" location="تسعير!AQ38" display="تليسكوب"/>
    <hyperlink ref="B29:D31" location="تسعير!AQ38" display="تليسكوب"/>
    <hyperlink ref="C29:E31" location="تسعير!AQ38" display="تليسكوب"/>
    <hyperlink ref="D29:F31" location="تسعير!AQ38" display="تليسكوب"/>
    <hyperlink ref="E29:G31" location="تسعير!AQ38" display="تليسكوب"/>
    <hyperlink ref="F29:H31" location="تسعير!AQ38" display="تليسكوب"/>
    <hyperlink ref="G29:I31" location="تسعير!AQ38" display="تليسكوب"/>
    <hyperlink ref="H29:J31" location="تسعير!AQ38" display="تليسكوب"/>
    <hyperlink ref="I29:K31" location="تسعير!AQ38" display="تليسكوب"/>
    <hyperlink ref="J29:L31" location="تسعير!AQ38" display="تليسكوب"/>
    <hyperlink ref="K29:M31" location="تسعير!AQ38" display="تليسكوب"/>
    <hyperlink ref="L29:N31" location="تسعير!AQ38" display="تليسكوب"/>
    <hyperlink ref="M29:O31" location="تسعير!AQ38" display="تليسكوب"/>
    <hyperlink ref="N29:P31" location="تسعير!AQ38" display="تليسكوب"/>
    <hyperlink ref="O29:Q31" location="تسعير!AQ38" display="تليسكوب"/>
    <hyperlink ref="P29:R31" location="تسعير!AQ38" display="تليسكوب"/>
    <hyperlink ref="Q29:S31" location="تسعير!AQ38" display="تليسكوب"/>
    <hyperlink ref="R29:T31" location="تسعير!AQ38" display="تليسكوب"/>
    <hyperlink ref="S29:U31" location="تسعير!AQ38" display="تليسكوب"/>
    <hyperlink ref="T29:V31" location="تسعير!AQ38" display="تليسكوب"/>
    <hyperlink ref="U29:W31" location="تسعير!AQ38" display="تليسكوب"/>
    <hyperlink ref="V29:X31" location="تسعير!AQ38" display="تليسكوب"/>
    <hyperlink ref="W29:Y31" location="تسعير!AQ38" display="تليسكوب"/>
    <hyperlink ref="X29:Z31" location="تسعير!AQ38" display="تليسكوب"/>
    <hyperlink ref="Y29:AA31" location="تسعير!AQ38" display="تليسكوب"/>
    <hyperlink ref="Z29:AB31" location="تسعير!AQ38" display="تليسكوب"/>
    <hyperlink ref="AA29:AC31" location="تسعير!AQ38" display="تليسكوب"/>
    <hyperlink ref="AB29:AD31" location="تسعير!AQ38" display="تليسكوب"/>
    <hyperlink ref="AC29:AE31" location="تسعير!AQ38" display="تليسكوب"/>
    <hyperlink ref="AD29:AF31" location="تسعير!AQ38" display="تليسكوب"/>
    <hyperlink ref="AE29:AG31" location="تسعير!AQ38" display="تليسكوب"/>
    <hyperlink ref="AF29:AH31" location="تسعير!AQ38" display="تليسكوب"/>
    <hyperlink ref="B30:D32" location="تسعير!AQ38" display="تليسكوب"/>
    <hyperlink ref="C30:E32" location="تسعير!AQ38" display="تليسكوب"/>
    <hyperlink ref="D30:F32" location="تسعير!AQ38" display="تليسكوب"/>
    <hyperlink ref="E30:G32" location="تسعير!AQ38" display="تليسكوب"/>
    <hyperlink ref="F30:H32" location="تسعير!AQ38" display="تليسكوب"/>
    <hyperlink ref="G30:I32" location="تسعير!AQ38" display="تليسكوب"/>
    <hyperlink ref="H30:J32" location="تسعير!AQ38" display="تليسكوب"/>
    <hyperlink ref="I30:K32" location="تسعير!AQ38" display="تليسكوب"/>
    <hyperlink ref="J30:L32" location="تسعير!AQ38" display="تليسكوب"/>
    <hyperlink ref="K30:M32" location="تسعير!AQ38" display="تليسكوب"/>
    <hyperlink ref="L30:N32" location="تسعير!AQ38" display="تليسكوب"/>
    <hyperlink ref="M30:O32" location="تسعير!AQ38" display="تليسكوب"/>
    <hyperlink ref="N30:P32" location="تسعير!AQ38" display="تليسكوب"/>
    <hyperlink ref="O30:Q32" location="تسعير!AQ38" display="تليسكوب"/>
    <hyperlink ref="P30:R32" location="تسعير!AQ38" display="تليسكوب"/>
    <hyperlink ref="Q30:S32" location="تسعير!AQ38" display="تليسكوب"/>
    <hyperlink ref="R30:T32" location="تسعير!AQ38" display="تليسكوب"/>
    <hyperlink ref="S30" location="تسعير!AF31" display="الارتفاع الخلفي"/>
    <hyperlink ref="T30:V32" location="تسعير!AQ38" display="تليسكوب"/>
    <hyperlink ref="U30:W32" location="تسعير!AQ38" display="تليسكوب"/>
    <hyperlink ref="V30:X32" location="تسعير!AQ38" display="تليسكوب"/>
    <hyperlink ref="W30:Y32" location="تسعير!AQ38" display="تليسكوب"/>
    <hyperlink ref="X30:Z32" location="تسعير!AQ38" display="تليسكوب"/>
    <hyperlink ref="Y30:AA32" location="تسعير!AQ38" display="تليسكوب"/>
    <hyperlink ref="Z30:AB32" location="تسعير!AQ38" display="تليسكوب"/>
    <hyperlink ref="AA30:AC32" location="تسعير!AQ38" display="تليسكوب"/>
    <hyperlink ref="AB30:AD32" location="تسعير!AQ38" display="تليسكوب"/>
    <hyperlink ref="AC30:AE32" location="تسعير!AQ38" display="تليسكوب"/>
    <hyperlink ref="AD30:AF32" location="تسعير!AQ38" display="تليسكوب"/>
    <hyperlink ref="AE30:AG32" location="تسعير!AQ38" display="تليسكوب"/>
    <hyperlink ref="AF30:AH32" location="تسعير!AQ38" display="تليسكوب"/>
    <hyperlink ref="B31:D33" location="تسعير!AQ38" display="تليسكوب"/>
    <hyperlink ref="C31:E33" location="تسعير!AQ38" display="تليسكوب"/>
    <hyperlink ref="D31:F33" location="تسعير!AQ38" display="تليسكوب"/>
    <hyperlink ref="E31:G33" location="تسعير!AQ38" display="تليسكوب"/>
    <hyperlink ref="F31:H33" location="تسعير!AQ38" display="تليسكوب"/>
    <hyperlink ref="G31:I33" location="تسعير!AQ38" display="تليسكوب"/>
    <hyperlink ref="H31:J33" location="تسعير!AQ38" display="تليسكوب"/>
    <hyperlink ref="I31:K33" location="تسعير!AQ38" display="تليسكوب"/>
    <hyperlink ref="J31:L33" location="تسعير!AQ38" display="تليسكوب"/>
    <hyperlink ref="K31:M33" location="تسعير!AQ38" display="تليسكوب"/>
    <hyperlink ref="L31:N33" location="تسعير!AQ38" display="تليسكوب"/>
    <hyperlink ref="M31:O33" location="تسعير!AQ38" display="تليسكوب"/>
    <hyperlink ref="N31:P33" location="تسعير!AQ38" display="تليسكوب"/>
    <hyperlink ref="O31:Q33" location="تسعير!AQ38" display="تليسكوب"/>
    <hyperlink ref="P31:R33" location="تسعير!AQ38" display="تليسكوب"/>
    <hyperlink ref="Q31:S33" location="تسعير!AQ38" display="تليسكوب"/>
    <hyperlink ref="R31:T33" location="تسعير!AQ38" display="تليسكوب"/>
    <hyperlink ref="S31" location="تسعير!X31" display="الارتفاع الامامي"/>
    <hyperlink ref="T31:V33" location="تسعير!AQ38" display="تليسكوب"/>
    <hyperlink ref="U31:W33" location="تسعير!AQ38" display="تليسكوب"/>
    <hyperlink ref="V31:X33" location="تسعير!AQ38" display="تليسكوب"/>
    <hyperlink ref="W31:Y33" location="تسعير!AQ38" display="تليسكوب"/>
    <hyperlink ref="X31:Z33" location="تسعير!AQ38" display="تليسكوب"/>
    <hyperlink ref="Y31:AA33" location="تسعير!AQ38" display="تليسكوب"/>
    <hyperlink ref="Z31:AB33" location="تسعير!AQ38" display="تليسكوب"/>
    <hyperlink ref="AA31:AC33" location="تسعير!AQ38" display="تليسكوب"/>
    <hyperlink ref="AB31:AD33" location="تسعير!AQ38" display="تليسكوب"/>
    <hyperlink ref="AC31:AE33" location="تسعير!AQ38" display="تليسكوب"/>
    <hyperlink ref="AD31:AF33" location="تسعير!AQ38" display="تليسكوب"/>
    <hyperlink ref="AE31:AG33" location="تسعير!AQ38" display="تليسكوب"/>
    <hyperlink ref="AF31:AH33" location="تسعير!AQ38" display="تليسكوب"/>
    <hyperlink ref="B32:D34" location="تسعير!AQ38" display="تليسكوب"/>
    <hyperlink ref="C32:E34" location="تسعير!AQ38" display="تليسكوب"/>
    <hyperlink ref="D32:F34" location="تسعير!AQ38" display="تليسكوب"/>
    <hyperlink ref="E32:G34" location="تسعير!AQ38" display="تليسكوب"/>
    <hyperlink ref="F32:H34" location="تسعير!AQ38" display="تليسكوب"/>
    <hyperlink ref="G32:I34" location="تسعير!AQ38" display="تليسكوب"/>
    <hyperlink ref="H32:J34" location="تسعير!AQ38" display="تليسكوب"/>
    <hyperlink ref="I32:K34" location="تسعير!AQ38" display="تليسكوب"/>
    <hyperlink ref="J32:L34" location="تسعير!AQ38" display="تليسكوب"/>
    <hyperlink ref="K32:M34" location="تسعير!AQ38" display="تليسكوب"/>
    <hyperlink ref="L32:N34" location="تسعير!AQ38" display="تليسكوب"/>
    <hyperlink ref="M32:O34" location="تسعير!AQ38" display="تليسكوب"/>
    <hyperlink ref="N32:P34" location="تسعير!AQ38" display="تليسكوب"/>
    <hyperlink ref="O32:Q34" location="تسعير!AQ38" display="تليسكوب"/>
    <hyperlink ref="P32:R34" location="تسعير!AQ38" display="تليسكوب"/>
    <hyperlink ref="Q32:S34" location="تسعير!AQ38" display="تليسكوب"/>
    <hyperlink ref="R32:T34" location="تسعير!AQ38" display="تليسكوب"/>
    <hyperlink ref="S32" location="تسعير!X37" display="التثبيت"/>
    <hyperlink ref="T32:V34" location="تسعير!AQ38" display="تليسكوب"/>
    <hyperlink ref="U32:W34" location="تسعير!AQ38" display="تليسكوب"/>
    <hyperlink ref="V32:X34" location="تسعير!AQ38" display="تليسكوب"/>
    <hyperlink ref="W32:Y34" location="تسعير!AQ38" display="تليسكوب"/>
    <hyperlink ref="X32:Z34" location="تسعير!AQ38" display="تليسكوب"/>
    <hyperlink ref="Y32:AA34" location="تسعير!AQ38" display="تليسكوب"/>
    <hyperlink ref="Z32:AB34" location="تسعير!AQ38" display="تليسكوب"/>
    <hyperlink ref="AA32:AC34" location="تسعير!AQ38" display="تليسكوب"/>
    <hyperlink ref="AB32:AD34" location="تسعير!AQ38" display="تليسكوب"/>
    <hyperlink ref="AC32:AE34" location="تسعير!AQ38" display="تليسكوب"/>
    <hyperlink ref="AD32:AF34" location="تسعير!AQ38" display="تليسكوب"/>
    <hyperlink ref="AE32:AG34" location="تسعير!AQ38" display="تليسكوب"/>
    <hyperlink ref="AF32:AH34" location="تسعير!AQ38" display="تليسكوب"/>
    <hyperlink ref="AS32" location="تسعير!BB14" display="التثبيت"/>
    <hyperlink ref="BD32" location="تسعير!BB14" display="التثبيت"/>
    <hyperlink ref="B33:D35" location="تسعير!AQ38" display="تليسكوب"/>
    <hyperlink ref="C33:E35" location="تسعير!AQ38" display="تليسكوب"/>
    <hyperlink ref="D33:F35" location="تسعير!AQ38" display="تليسكوب"/>
    <hyperlink ref="E33:G35" location="تسعير!AQ38" display="تليسكوب"/>
    <hyperlink ref="F33:H35" location="تسعير!AQ38" display="تليسكوب"/>
    <hyperlink ref="G33:I35" location="تسعير!AQ38" display="تليسكوب"/>
    <hyperlink ref="H33:J35" location="تسعير!AQ38" display="تليسكوب"/>
    <hyperlink ref="I33:K35" location="تسعير!AQ38" display="تليسكوب"/>
    <hyperlink ref="J33:L35" location="تسعير!AQ38" display="تليسكوب"/>
    <hyperlink ref="K33:M35" location="تسعير!AQ38" display="تليسكوب"/>
    <hyperlink ref="L33:N35" location="تسعير!AQ38" display="تليسكوب"/>
    <hyperlink ref="M33:O35" location="تسعير!AQ38" display="تليسكوب"/>
    <hyperlink ref="N33:P35" location="تسعير!AQ38" display="تليسكوب"/>
    <hyperlink ref="O33:Q35" location="تسعير!AQ38" display="تليسكوب"/>
    <hyperlink ref="P33:R35" location="تسعير!AQ38" display="تليسكوب"/>
    <hyperlink ref="Q33:S35" location="تسعير!AQ38" display="تليسكوب"/>
    <hyperlink ref="R33:T35" location="تسعير!AQ38" display="تليسكوب"/>
    <hyperlink ref="S33" location="تسعير!AA33" display="العرض cm"/>
    <hyperlink ref="T33:V35" location="تسعير!AQ38" display="تليسكوب"/>
    <hyperlink ref="U33:W35" location="تسعير!AQ38" display="تليسكوب"/>
    <hyperlink ref="V33:X35" location="تسعير!AQ38" display="تليسكوب"/>
    <hyperlink ref="W33:Y35" location="تسعير!AQ38" display="تليسكوب"/>
    <hyperlink ref="X33:Z35" location="تسعير!AQ38" display="تليسكوب"/>
    <hyperlink ref="Y33:AA35" location="تسعير!AQ38" display="تليسكوب"/>
    <hyperlink ref="Z33:AB35" location="تسعير!AQ38" display="تليسكوب"/>
    <hyperlink ref="AA33:AC35" location="تسعير!AQ38" display="تليسكوب"/>
    <hyperlink ref="AB33:AD35" location="تسعير!AQ38" display="تليسكوب"/>
    <hyperlink ref="AC33:AE35" location="تسعير!AQ38" display="تليسكوب"/>
    <hyperlink ref="AD33:AF35" location="تسعير!AQ38" display="تليسكوب"/>
    <hyperlink ref="AE33:AG35" location="تسعير!AQ38" display="تليسكوب"/>
    <hyperlink ref="AF33:AH35" location="تسعير!AQ38" display="تليسكوب"/>
    <hyperlink ref="AS33" location="تسعير!BA36" display="العرض cm"/>
    <hyperlink ref="BD33" location="تسعير!AV10" display="العرض cm"/>
    <hyperlink ref="B34:D36" location="تسعير!AQ38" display="تليسكوب"/>
    <hyperlink ref="C34:E36" location="تسعير!AQ38" display="تليسكوب"/>
    <hyperlink ref="D34:F36" location="تسعير!AQ38" display="تليسكوب"/>
    <hyperlink ref="E34:G36" location="تسعير!AQ38" display="تليسكوب"/>
    <hyperlink ref="F34:H36" location="تسعير!AQ38" display="تليسكوب"/>
    <hyperlink ref="G34:I36" location="تسعير!AQ38" display="تليسكوب"/>
    <hyperlink ref="H34:J36" location="تسعير!AQ38" display="تليسكوب"/>
    <hyperlink ref="I34:K36" location="تسعير!AQ38" display="تليسكوب"/>
    <hyperlink ref="J34:L36" location="تسعير!AQ38" display="تليسكوب"/>
    <hyperlink ref="K34:M36" location="تسعير!AQ38" display="تليسكوب"/>
    <hyperlink ref="L34:N36" location="تسعير!AQ38" display="تليسكوب"/>
    <hyperlink ref="M34:O36" location="تسعير!AQ38" display="تليسكوب"/>
    <hyperlink ref="N34:P36" location="تسعير!AQ38" display="تليسكوب"/>
    <hyperlink ref="O34:Q36" location="تسعير!AQ38" display="تليسكوب"/>
    <hyperlink ref="P34:R36" location="تسعير!AQ38" display="تليسكوب"/>
    <hyperlink ref="Q34:S36" location="تسعير!AQ38" display="تليسكوب"/>
    <hyperlink ref="R34:T36" location="تسعير!AQ38" display="تليسكوب"/>
    <hyperlink ref="S34" location="تسعير!X31" display="الامتداد cm"/>
    <hyperlink ref="T34:V36" location="تسعير!AQ38" display="تليسكوب"/>
    <hyperlink ref="U34:W36" location="تسعير!AQ38" display="تليسكوب"/>
    <hyperlink ref="V34:X36" location="تسعير!AQ38" display="تليسكوب"/>
    <hyperlink ref="W34:Y36" location="تسعير!AQ38" display="تليسكوب"/>
    <hyperlink ref="X34:Z36" location="تسعير!AQ38" display="تليسكوب"/>
    <hyperlink ref="Y34:AA36" location="تسعير!AQ38" display="تليسكوب"/>
    <hyperlink ref="Z34:AB36" location="تسعير!AQ38" display="تليسكوب"/>
    <hyperlink ref="AA34:AC36" location="تسعير!AQ38" display="تليسكوب"/>
    <hyperlink ref="AB34:AD36" location="تسعير!AQ38" display="تليسكوب"/>
    <hyperlink ref="AC34:AE36" location="تسعير!AQ38" display="تليسكوب"/>
    <hyperlink ref="AD34:AF36" location="تسعير!AQ38" display="تليسكوب"/>
    <hyperlink ref="AE34:AG36" location="تسعير!AQ38" display="تليسكوب"/>
    <hyperlink ref="AF34:AH36" location="تسعير!AQ38" display="تليسكوب"/>
    <hyperlink ref="AS34" location="تسعير!AW25" display="الامتداد cm"/>
    <hyperlink ref="BD34" location="تسعير!BA12" display="الامتداد cm"/>
    <hyperlink ref="B35:D37" location="تسعير!AQ38" display="تليسكوب"/>
    <hyperlink ref="C35:E37" location="تسعير!AQ38" display="تليسكوب"/>
    <hyperlink ref="D35:F37" location="تسعير!AQ38" display="تليسكوب"/>
    <hyperlink ref="E35:G37" location="تسعير!AQ38" display="تليسكوب"/>
    <hyperlink ref="F35:H37" location="تسعير!AQ38" display="تليسكوب"/>
    <hyperlink ref="G35:I37" location="تسعير!AQ38" display="تليسكوب"/>
    <hyperlink ref="H35:J37" location="تسعير!AQ38" display="تليسكوب"/>
    <hyperlink ref="I35:K37" location="تسعير!AQ38" display="تليسكوب"/>
    <hyperlink ref="J35:L37" location="تسعير!AQ38" display="تليسكوب"/>
    <hyperlink ref="K35:M37" location="تسعير!AQ38" display="تليسكوب"/>
    <hyperlink ref="L35:N37" location="تسعير!AQ38" display="تليسكوب"/>
    <hyperlink ref="M35:O37" location="تسعير!AQ38" display="تليسكوب"/>
    <hyperlink ref="N35:P37" location="تسعير!AQ38" display="تليسكوب"/>
    <hyperlink ref="O35:Q37" location="تسعير!AQ38" display="تليسكوب"/>
    <hyperlink ref="P35:R37" location="تسعير!AQ38" display="تليسكوب"/>
    <hyperlink ref="Q35:S37" location="تسعير!AQ38" display="تليسكوب"/>
    <hyperlink ref="R35:T37" location="تسعير!AQ38" display="تليسكوب"/>
    <hyperlink ref="S35:U37" location="تسعير!AQ38" display="تليسكوب"/>
    <hyperlink ref="T35:V37" location="تسعير!AQ38" display="تليسكوب"/>
    <hyperlink ref="U35:W37" location="تسعير!AQ38" display="تليسكوب"/>
    <hyperlink ref="V35:X37" location="تسعير!AQ38" display="تليسكوب"/>
    <hyperlink ref="W35:Y37" location="تسعير!AQ38" display="تليسكوب"/>
    <hyperlink ref="X35:Z37" location="تسعير!AQ38" display="تليسكوب"/>
    <hyperlink ref="Y35:AA37" location="تسعير!AQ38" display="تليسكوب"/>
    <hyperlink ref="Z35:AB37" location="تسعير!AQ38" display="تليسكوب"/>
    <hyperlink ref="AA35:AC37" location="تسعير!AQ38" display="تليسكوب"/>
    <hyperlink ref="AB35:AD37" location="تسعير!AQ38" display="تليسكوب"/>
    <hyperlink ref="AC35:AE37" location="تسعير!AQ38" display="تليسكوب"/>
    <hyperlink ref="AD35:AF37" location="تسعير!AQ38" display="تليسكوب"/>
    <hyperlink ref="AE35:AG37" location="تسعير!AQ38" display="تليسكوب"/>
    <hyperlink ref="AF35:AH37" location="تسعير!AQ38" display="تليسكوب"/>
    <hyperlink ref="B36:D38" location="تسعير!AQ38" display="تليسكوب"/>
    <hyperlink ref="C36:E38" location="تسعير!AQ38" display="تليسكوب"/>
    <hyperlink ref="D36:F38" location="تسعير!AQ38" display="تليسكوب"/>
    <hyperlink ref="E36:G38" location="تسعير!AQ38" display="تليسكوب"/>
    <hyperlink ref="F36:H38" location="تسعير!AQ38" display="تليسكوب"/>
    <hyperlink ref="G36:I38" location="تسعير!AQ38" display="تليسكوب"/>
    <hyperlink ref="H36:J38" location="تسعير!AQ38" display="تليسكوب"/>
    <hyperlink ref="I36:K38" location="تسعير!AQ38" display="تليسكوب"/>
    <hyperlink ref="J36:L38" location="تسعير!AQ38" display="تليسكوب"/>
    <hyperlink ref="K36:M38" location="تسعير!AQ38" display="تليسكوب"/>
    <hyperlink ref="L36:N38" location="تسعير!AQ38" display="تليسكوب"/>
    <hyperlink ref="M36:O38" location="تسعير!AQ38" display="تليسكوب"/>
    <hyperlink ref="N36:P38" location="تسعير!AQ38" display="تليسكوب"/>
    <hyperlink ref="O36:Q38" location="تسعير!AQ38" display="تليسكوب"/>
    <hyperlink ref="P36:R38" location="تسعير!AQ38" display="تليسكوب"/>
    <hyperlink ref="Q36:S38" location="تسعير!AQ38" display="تليسكوب"/>
    <hyperlink ref="R36:T38" location="تسعير!AQ38" display="تليسكوب"/>
    <hyperlink ref="S36:U38" location="تسعير!AQ38" display="تليسكوب"/>
    <hyperlink ref="T36:V38" location="تسعير!AQ38" display="تليسكوب"/>
    <hyperlink ref="U36:W38" location="تسعير!AQ38" display="تليسكوب"/>
    <hyperlink ref="V36:X38" location="تسعير!AQ38" display="تليسكوب"/>
    <hyperlink ref="W36:Y38" location="تسعير!AQ38" display="تليسكوب"/>
    <hyperlink ref="X36:Z38" location="تسعير!AQ38" display="تليسكوب"/>
    <hyperlink ref="Y36:AA38" location="تسعير!AQ38" display="تليسكوب"/>
    <hyperlink ref="Z36:AB38" location="تسعير!AQ38" display="تليسكوب"/>
    <hyperlink ref="AA36:AC38" location="تسعير!AQ38" display="تليسكوب"/>
    <hyperlink ref="AB36:AD38" location="تسعير!AQ38" display="تليسكوب"/>
    <hyperlink ref="AC36:AE38" location="تسعير!AQ38" display="تليسكوب"/>
    <hyperlink ref="AD36:AF38" location="تسعير!AQ38" display="تليسكوب"/>
    <hyperlink ref="AE36:AG38" location="تسعير!AQ38" display="تليسكوب"/>
    <hyperlink ref="AF36:AH38" location="تسعير!AQ38" display="تليسكوب"/>
    <hyperlink ref="B37:D39" location="تسعير!AQ38" display="تليسكوب"/>
    <hyperlink ref="C37:E39" location="تسعير!AQ38" display="تليسكوب"/>
    <hyperlink ref="D37:F39" location="تسعير!AQ38" display="تليسكوب"/>
    <hyperlink ref="E37:G39" location="تسعير!AQ38" display="تليسكوب"/>
    <hyperlink ref="F37:H39" location="تسعير!AQ38" display="تليسكوب"/>
    <hyperlink ref="G37:I39" location="تسعير!AQ38" display="تليسكوب"/>
    <hyperlink ref="H37:J39" location="تسعير!AQ38" display="تليسكوب"/>
    <hyperlink ref="I37:K39" location="تسعير!AQ38" display="تليسكوب"/>
    <hyperlink ref="J37:L39" location="تسعير!AQ38" display="تليسكوب"/>
    <hyperlink ref="K37:M39" location="تسعير!AQ38" display="تليسكوب"/>
    <hyperlink ref="L37:N39" location="تسعير!AQ38" display="تليسكوب"/>
    <hyperlink ref="M37:O39" location="تسعير!AQ38" display="تليسكوب"/>
    <hyperlink ref="N37:P39" location="تسعير!AQ38" display="تليسكوب"/>
    <hyperlink ref="O37:Q39" location="تسعير!AQ38" display="تليسكوب"/>
    <hyperlink ref="P37:R39" location="تسعير!AQ38" display="تليسكوب"/>
    <hyperlink ref="Q37:S39" location="تسعير!AQ38" display="تليسكوب"/>
    <hyperlink ref="R37:T39" location="تسعير!AQ38" display="تليسكوب"/>
    <hyperlink ref="S37:U39" location="تسعير!AQ38" display="تليسكوب"/>
    <hyperlink ref="T37:V39" location="تسعير!AQ38" display="تليسكوب"/>
    <hyperlink ref="U37:W39" location="تسعير!AQ38" display="تليسكوب"/>
    <hyperlink ref="V37:X39" location="تسعير!AQ38" display="تليسكوب"/>
    <hyperlink ref="W37:Y39" location="تسعير!AQ38" display="تليسكوب"/>
    <hyperlink ref="X37:Z39" location="تسعير!AQ38" display="تليسكوب"/>
    <hyperlink ref="Y37:AA39" location="تسعير!AQ38" display="تليسكوب"/>
    <hyperlink ref="Z37:AB39" location="تسعير!AQ38" display="تليسكوب"/>
    <hyperlink ref="AA37:AC39" location="تسعير!AQ38" display="تليسكوب"/>
    <hyperlink ref="AB37:AD39" location="تسعير!AQ38" display="تليسكوب"/>
    <hyperlink ref="AC37:AE39" location="تسعير!AQ38" display="تليسكوب"/>
    <hyperlink ref="AD37:AF39" location="تسعير!AQ38" display="تليسكوب"/>
    <hyperlink ref="AE37:AG39" location="تسعير!AQ38" display="تليسكوب"/>
    <hyperlink ref="AF37:AH39" location="تسعير!AQ38" display="تليسكوب"/>
    <hyperlink ref="B38:D40" location="تسعير!AQ38" display="تليسكوب"/>
    <hyperlink ref="C38:E40" location="تسعير!AQ38" display="تليسكوب"/>
    <hyperlink ref="D38:F40" location="تسعير!AQ38" display="تليسكوب"/>
    <hyperlink ref="E38:G40" location="تسعير!AQ38" display="تليسكوب"/>
    <hyperlink ref="F38:H40" location="تسعير!AQ38" display="تليسكوب"/>
    <hyperlink ref="G38:I40" location="تسعير!AQ38" display="تليسكوب"/>
    <hyperlink ref="H38:J40" location="تسعير!AQ38" display="تليسكوب"/>
    <hyperlink ref="I38:K40" location="تسعير!AQ38" display="تليسكوب"/>
    <hyperlink ref="J38:L40" location="تسعير!AQ38" display="تليسكوب"/>
    <hyperlink ref="K38:M40" location="تسعير!AQ38" display="تليسكوب"/>
    <hyperlink ref="L38:N40" location="تسعير!AQ38" display="تليسكوب"/>
    <hyperlink ref="M38:O40" location="تسعير!AQ38" display="تليسكوب"/>
    <hyperlink ref="N38:P40" location="تسعير!AQ38" display="تليسكوب"/>
    <hyperlink ref="O38:Q40" location="تسعير!AQ38" display="تليسكوب"/>
    <hyperlink ref="P38:R40" location="تسعير!AQ38" display="تليسكوب"/>
    <hyperlink ref="Q38:S40" location="تسعير!AQ38" display="تليسكوب"/>
    <hyperlink ref="R38:T40" location="تسعير!AQ38" display="تليسكوب"/>
    <hyperlink ref="S38:U40" location="تسعير!AQ38" display="تليسكوب"/>
    <hyperlink ref="T38:V40" location="تسعير!AQ38" display="تليسكوب"/>
    <hyperlink ref="U38:W40" location="تسعير!AQ38" display="تليسكوب"/>
    <hyperlink ref="V38:X40" location="تسعير!AQ38" display="تليسكوب"/>
    <hyperlink ref="W38:Y40" location="تسعير!AQ38" display="تليسكوب"/>
    <hyperlink ref="X38:Z40" location="تسعير!AQ38" display="تليسكوب"/>
    <hyperlink ref="Y38:AA40" location="تسعير!AQ38" display="تليسكوب"/>
    <hyperlink ref="Z38:AB40" location="تسعير!AQ38" display="تليسكوب"/>
    <hyperlink ref="AA38:AC40" location="تسعير!AQ38" display="تليسكوب"/>
    <hyperlink ref="AB38:AD40" location="تسعير!AQ38" display="تليسكوب"/>
    <hyperlink ref="AC38:AE40" location="تسعير!AQ38" display="تليسكوب"/>
    <hyperlink ref="AD38:AF40" location="تسعير!AQ38" display="تليسكوب"/>
    <hyperlink ref="AE38:AG40" location="تسعير!AQ38" display="تليسكوب"/>
    <hyperlink ref="AF38:AH40" location="تسعير!AQ38" display="تليسكوب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8E6BBAD1-5FF1-425D-8D25-8A789DFEF257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E6EFB2ED-D6CC-4D44-A2E6-A6BA14F3243D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3515776F-DAAB-44E2-8AED-44225A5A021B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55E93117-975F-4139-8E23-04E8D9DDD1CF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61BCF8-1B46-42AC-B72E-D4767FD04E14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51F966F1-B31A-4359-A834-EB7763DF384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606D06B1-878B-4B43-A3DC-B9D860EAB94C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BDED0D8A-CA79-47C7-AB52-75F78989521B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74A1E70-E34F-4353-B556-7563D32CACF3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E1678956-735C-4587-8934-53ABCF47E8F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B876F35-544A-4920-8D27-B1EC84B5F800}">
          <x14:formula1>
            <xm:f>wavy2!$A$19:$A$20</xm:f>
          </x14:formula1>
          <xm:sqref>BE9</xm:sqref>
        </x14:dataValidation>
        <x14:dataValidation type="list" allowBlank="1" showInputMessage="1" showErrorMessage="1" xr:uid="{97C3DF8A-CF3B-42BD-B892-3209EC9C5A07}">
          <x14:formula1>
            <xm:f>wavy1!$A$19:$A$20</xm:f>
          </x14:formula1>
          <xm:sqref>AT9</xm:sqref>
        </x14:dataValidation>
        <x14:dataValidation type="list" allowBlank="1" showInputMessage="1" showErrorMessage="1" xr:uid="{69F6F482-EF08-4F47-9974-8F283104FCF2}">
          <x14:formula1>
            <xm:f>Sheet2!$B$5:$B$7</xm:f>
          </x14:formula1>
          <xm:sqref>T25 T46 T64</xm:sqref>
        </x14:dataValidation>
        <x14:dataValidation type="list" allowBlank="1" showInputMessage="1" showErrorMessage="1" xr:uid="{854E1AB5-0826-49A2-A789-568A21A31998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66B249F0-752F-4600-9B93-3E276E486D7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C87DEC9F-F264-46B0-ACA4-970223AC8839}">
          <x14:formula1>
            <xm:f>Sheet2!$C$5:$C$6</xm:f>
          </x14:formula1>
          <xm:sqref>T26</xm:sqref>
        </x14:dataValidation>
        <x14:dataValidation type="list" allowBlank="1" showInputMessage="1" showErrorMessage="1" xr:uid="{24BEF176-AC9D-489B-9C53-500DCDB225C8}">
          <x14:formula1>
            <xm:f>Sheet2!$A$5</xm:f>
          </x14:formula1>
          <xm:sqref>U31</xm:sqref>
        </x14:dataValidation>
        <x14:dataValidation type="list" allowBlank="1" showInputMessage="1" showErrorMessage="1" xr:uid="{75B6BDB4-4E59-47F1-AABF-BDC701B161A8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86BDD13D-5806-45F8-B1EE-6FF4E0570305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F3EA269C-BAA6-46B2-BE6D-C3C00681C3EB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3A794035-2BDE-4C3A-9F7F-EAF816F5B1DF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AE54E2B9-47CD-44EA-95A2-00905E131D8F}">
          <x14:formula1>
            <xm:f>Sheet2!$D$5:$D$6</xm:f>
          </x14:formula1>
          <xm:sqref>T32 T53 T71</xm:sqref>
        </x14:dataValidation>
        <x14:dataValidation type="list" allowBlank="1" showInputMessage="1" showErrorMessage="1" xr:uid="{D91FECB8-795D-4D2C-B8CD-663E463F6EB2}">
          <x14:formula1>
            <xm:f>Sheet2!$A$6</xm:f>
          </x14:formula1>
          <xm:sqref>AC36</xm:sqref>
        </x14:dataValidation>
        <x14:dataValidation type="list" allowBlank="1" showInputMessage="1" showErrorMessage="1" xr:uid="{72DD6A05-BD82-4D7D-8162-572D779E2EC2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260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797"/>
      <c r="I8" s="797"/>
      <c r="J8" s="797"/>
      <c r="K8" s="798"/>
    </row>
    <row r="9">
      <c r="A9" s="4" t="s">
        <v>263</v>
      </c>
      <c r="C9" s="1" t="str">
        <f>IF(Format!N8=5,'Format διαστασης οδηγου'!B2-35,IF(Format!N8=6,'Format διαστασης οδηγου'!B2-31,"-------"))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IF(Format!N8=1,B2,IF(Format!N8=2,'Format διαστασης οδηγου'!B2-11,"-------"))</f>
        <v>700</v>
      </c>
      <c r="K14" s="8"/>
    </row>
    <row r="15">
      <c r="A15" s="4" t="s">
        <v>260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797"/>
      <c r="I16" s="797"/>
      <c r="J16" s="797"/>
      <c r="K16" s="798"/>
    </row>
    <row r="17">
      <c r="A17" s="4" t="s">
        <v>263</v>
      </c>
      <c r="C17" s="1" t="str">
        <f>IF(Format!N8=5,'Format διαστασης οδηγου'!B2-6,IF(Format!N8=6,'Format διαστασης οδηγου'!B2-2,"-------"))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topLeftCell="A46" zoomScale="70" zoomScaleNormal="90" zoomScaleSheetLayoutView="70" zoomScalePageLayoutView="90" workbookViewId="0">
      <selection activeCell="D63" sqref="D63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39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40000</v>
      </c>
      <c r="I2" s="231">
        <f>Sheet2!B13</f>
        <v>45000</v>
      </c>
      <c r="J2" s="232">
        <f>Sheet2!B14</f>
        <v>210000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800</v>
      </c>
      <c r="S2" s="216">
        <v>1200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45683.540548703706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150</v>
      </c>
      <c r="R3" s="216">
        <v>1500</v>
      </c>
      <c r="S3" s="216">
        <v>2000</v>
      </c>
      <c r="T3" s="216">
        <v>1100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100</v>
      </c>
      <c r="R4" s="216">
        <v>1500</v>
      </c>
      <c r="S4" s="216">
        <v>3100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100</v>
      </c>
      <c r="R5" s="216">
        <v>1600</v>
      </c>
      <c r="S5" s="216">
        <v>3100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340</v>
      </c>
      <c r="K6" s="240">
        <f>B6*J6</f>
        <v>1700</v>
      </c>
      <c r="L6" s="241">
        <f>(K6)/$G$79</f>
        <v>0.012298012453348047</v>
      </c>
      <c r="N6" s="216" t="s">
        <v>44</v>
      </c>
      <c r="O6" s="216">
        <v>120</v>
      </c>
      <c r="P6" s="216">
        <v>250</v>
      </c>
      <c r="Q6" s="216">
        <v>100</v>
      </c>
      <c r="R6" s="216">
        <v>1600</v>
      </c>
      <c r="S6" s="216">
        <v>3100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1870</v>
      </c>
      <c r="K7" s="240">
        <f>B7*J7</f>
        <v>3740</v>
      </c>
      <c r="L7" s="241">
        <f>(K7)/$G$79</f>
        <v>0.027055627397365705</v>
      </c>
      <c r="N7" s="216" t="s">
        <v>48</v>
      </c>
      <c r="O7" s="216">
        <v>75</v>
      </c>
      <c r="P7" s="216">
        <v>100</v>
      </c>
      <c r="Q7" s="216">
        <v>100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54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2240</v>
      </c>
      <c r="K8" s="240">
        <f>B8*J8</f>
        <v>2240</v>
      </c>
      <c r="L8" s="241">
        <f>(K8)/$G$79</f>
        <v>0.016204439938529193</v>
      </c>
      <c r="N8" s="216" t="s">
        <v>52</v>
      </c>
      <c r="O8" s="216">
        <v>30</v>
      </c>
      <c r="P8" s="216">
        <v>30</v>
      </c>
      <c r="Q8" s="216">
        <v>100</v>
      </c>
      <c r="R8" s="216">
        <v>800</v>
      </c>
      <c r="S8" s="216">
        <v>2000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7680</v>
      </c>
      <c r="L9" s="244">
        <f>Table1[[#Totals],[اجمالي]]/$G$79</f>
        <v>0.055558079789242945</v>
      </c>
      <c r="N9" s="216" t="s">
        <v>55</v>
      </c>
      <c r="O9" s="216">
        <v>50</v>
      </c>
      <c r="P9" s="216">
        <v>50</v>
      </c>
      <c r="Q9" s="216">
        <v>100</v>
      </c>
      <c r="R9" s="216">
        <v>1200</v>
      </c>
      <c r="S9" s="216">
        <v>2500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38" t="s">
        <v>60</v>
      </c>
      <c r="E10" s="638"/>
      <c r="F10" s="638"/>
      <c r="G10" s="638"/>
      <c r="H10" s="638"/>
      <c r="I10" s="638"/>
      <c r="L10" s="402"/>
      <c r="N10" s="216" t="s">
        <v>59</v>
      </c>
      <c r="O10" s="216">
        <v>50</v>
      </c>
      <c r="P10" s="216">
        <v>50</v>
      </c>
      <c r="Q10" s="216">
        <v>100</v>
      </c>
      <c r="R10" s="216">
        <v>1200</v>
      </c>
      <c r="S10" s="216">
        <v>2800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100</v>
      </c>
      <c r="R11" s="216">
        <v>1200</v>
      </c>
      <c r="S11" s="216">
        <v>2800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100</v>
      </c>
      <c r="R12" s="216">
        <v>1600</v>
      </c>
      <c r="S12" s="216">
        <v>2800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100</v>
      </c>
      <c r="R13" s="216">
        <v>1600</v>
      </c>
      <c r="S13" s="216">
        <v>2800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100</v>
      </c>
      <c r="R14" s="216">
        <v>2000</v>
      </c>
      <c r="S14" s="216">
        <v>2800</v>
      </c>
      <c r="T14" s="216">
        <v>150</v>
      </c>
    </row>
    <row r="15" ht="21" customHeight="1" s="216" customFormat="1">
      <c r="C15" s="217"/>
      <c r="D15" s="638" t="s">
        <v>76</v>
      </c>
      <c r="E15" s="638"/>
      <c r="F15" s="638"/>
      <c r="G15" s="638"/>
      <c r="H15" s="638"/>
      <c r="I15" s="638"/>
      <c r="N15" s="216" t="s">
        <v>74</v>
      </c>
      <c r="O15" s="216">
        <v>120</v>
      </c>
      <c r="P15" s="216">
        <v>50</v>
      </c>
      <c r="Q15" s="216">
        <v>100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100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0.00578729997804614</v>
      </c>
      <c r="N17" s="216" t="s">
        <v>79</v>
      </c>
      <c r="O17" s="216">
        <v>150</v>
      </c>
      <c r="P17" s="216">
        <v>50</v>
      </c>
      <c r="Q17" s="216">
        <v>100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0.0036170624862788374</v>
      </c>
      <c r="N18" s="216" t="s">
        <v>83</v>
      </c>
      <c r="O18" s="216">
        <v>500</v>
      </c>
      <c r="P18" s="216">
        <v>200</v>
      </c>
      <c r="Q18" s="216">
        <v>150</v>
      </c>
      <c r="R18" s="216">
        <v>3500</v>
      </c>
      <c r="S18" s="216">
        <v>11000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0.003183014987925377</v>
      </c>
      <c r="N19" s="216" t="s">
        <v>86</v>
      </c>
      <c r="O19" s="216">
        <v>500</v>
      </c>
      <c r="P19" s="216">
        <v>200</v>
      </c>
      <c r="Q19" s="216">
        <v>150</v>
      </c>
      <c r="R19" s="216">
        <v>4000</v>
      </c>
      <c r="S19" s="216">
        <v>10000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0.00094043624643249779</v>
      </c>
      <c r="N20" s="216" t="s">
        <v>88</v>
      </c>
      <c r="O20" s="216">
        <v>550</v>
      </c>
      <c r="P20" s="216">
        <v>200</v>
      </c>
      <c r="Q20" s="216">
        <v>150</v>
      </c>
      <c r="R20" s="216">
        <v>5000</v>
      </c>
      <c r="S20" s="216">
        <v>12000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0.001446824994511535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0.00043404749835346051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94</v>
      </c>
      <c r="D23" s="391"/>
      <c r="E23" s="391"/>
      <c r="F23" s="391"/>
      <c r="G23" s="248" t="s">
        <v>93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0.015191662442371117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95</v>
      </c>
      <c r="D24" s="391"/>
      <c r="E24" s="391"/>
      <c r="F24" s="391"/>
      <c r="G24" s="248" t="s">
        <v>96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0.00021702374917673025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0.017361899934138419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0.0032553562376509537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0.051434628554885072</v>
      </c>
    </row>
    <row r="28" ht="21" customHeight="1" s="216" customFormat="1">
      <c r="C28" s="217"/>
      <c r="D28" s="638" t="s">
        <v>99</v>
      </c>
      <c r="E28" s="638"/>
      <c r="F28" s="638"/>
      <c r="G28" s="638"/>
      <c r="H28" s="638"/>
      <c r="I28" s="638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560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40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38" t="s">
        <v>102</v>
      </c>
      <c r="E33" s="638"/>
      <c r="F33" s="638"/>
      <c r="G33" s="638"/>
      <c r="H33" s="638"/>
      <c r="I33" s="638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0.00054255937294182561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0.00054255937294182561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0.00090426562156970935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0.0054255937294182561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0.001446824994511535</v>
      </c>
    </row>
    <row r="40" ht="21" customHeight="1" s="216" customFormat="1">
      <c r="A40" s="211">
        <v>1</v>
      </c>
      <c r="B40" s="222">
        <f>Y7/3</f>
        <v>0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100</v>
      </c>
      <c r="K41" s="240">
        <f t="shared" si="6"/>
        <v>210.52631578947367</v>
      </c>
      <c r="L41" s="241">
        <f t="shared" si="7"/>
        <v>0.0015229736784331946</v>
      </c>
    </row>
    <row r="42" ht="21" customHeight="1" s="216" customFormat="1">
      <c r="A42" s="211">
        <v>8</v>
      </c>
      <c r="B42" s="222">
        <f>Y5</f>
        <v>0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220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IF((تسعير!T5="B"),(Table1[[#Totals],[الوزن]]+Table16[[#Totals],[الوزن]]+Table14[[#Totals],[الوزن]]),0)</f>
        <v>192</v>
      </c>
      <c r="C44" s="213" t="s">
        <v>132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5760</v>
      </c>
      <c r="L44" s="251">
        <f t="shared" si="7"/>
        <v>0.041668559841932205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10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475</v>
      </c>
      <c r="K45" s="240">
        <f t="shared" si="8"/>
        <v>4750</v>
      </c>
      <c r="L45" s="251">
        <f t="shared" si="7"/>
        <v>0.034362093619648953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10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525</v>
      </c>
      <c r="K46" s="240">
        <f t="shared" si="8"/>
        <v>5250</v>
      </c>
      <c r="L46" s="251">
        <f t="shared" si="7"/>
        <v>0.037979156105927794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5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190</v>
      </c>
      <c r="K47" s="240">
        <f t="shared" si="8"/>
        <v>950</v>
      </c>
      <c r="L47" s="251">
        <f t="shared" si="7"/>
        <v>0.006872418723929791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5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190</v>
      </c>
      <c r="K48" s="240">
        <f t="shared" si="8"/>
        <v>950</v>
      </c>
      <c r="L48" s="251">
        <f t="shared" si="7"/>
        <v>0.006872418723929791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19095.526315789473</v>
      </c>
      <c r="L49" s="244">
        <f>Table13[[#Totals],[اجمالي]]/$G$79</f>
        <v>0.13813942378518487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38" t="s">
        <v>119</v>
      </c>
      <c r="E51" s="638"/>
      <c r="F51" s="638"/>
      <c r="G51" s="638"/>
      <c r="H51" s="638"/>
      <c r="I51" s="638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210</v>
      </c>
      <c r="J53" s="403">
        <f>Table1610[[#This Row],[سعر الكيلو]]*Table1610[[#This Row],[الوزن]]</f>
        <v>367.5</v>
      </c>
      <c r="K53" s="240">
        <f>B53*J53</f>
        <v>1102.5</v>
      </c>
      <c r="L53" s="241">
        <f>(Table1610[[#This Row],[اجمالي]])/$G$79</f>
        <v>0.0079756227822448365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7000</v>
      </c>
      <c r="K54" s="240">
        <f>B54*J54</f>
        <v>1750</v>
      </c>
      <c r="L54" s="241">
        <f>(Table1610[[#This Row],[اجمالي]])/$G$79</f>
        <v>0.012659718701975931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2852.5</v>
      </c>
      <c r="L55" s="244">
        <f>Table1610[[#Totals],[اجمالي]]/$G$79</f>
        <v>0.020635341484220769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38" t="s">
        <v>123</v>
      </c>
      <c r="E56" s="638"/>
      <c r="F56" s="638"/>
      <c r="G56" s="638"/>
      <c r="H56" s="638"/>
      <c r="I56" s="638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398">
        <f>'Cutting Ro-1'!$O$7</f>
        <v>2793.3200375938513</v>
      </c>
      <c r="I58" s="247"/>
      <c r="J58" s="403">
        <f>IF((Table1611[[#This Row],[عدد]]&gt;0),'Cutting Ro-1'!O8,0)</f>
        <v>58659.720789470877</v>
      </c>
      <c r="K58" s="240">
        <f>B58*Table1611[[#This Row],[سعر البرجولا كاملة]]</f>
        <v>58659.720789470877</v>
      </c>
      <c r="L58" s="241">
        <f>(K58)/$G$79</f>
        <v>0.42435175104637191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58659.720789470877</v>
      </c>
      <c r="K59" s="240">
        <f>B59*Table1611[[#This Row],[سعر البرجولا كاملة]]</f>
        <v>5865.9720789470884</v>
      </c>
      <c r="L59" s="241">
        <f>(K59)/$G$79</f>
        <v>0.042435175104637193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64525.692868417966</v>
      </c>
      <c r="L60" s="244">
        <f>Table1611[[#Totals],[اجمالي]]/$G$79</f>
        <v>0.46678692615100909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38" t="s">
        <v>133</v>
      </c>
      <c r="E61" s="638"/>
      <c r="F61" s="638"/>
      <c r="G61" s="638"/>
      <c r="H61" s="638"/>
      <c r="I61" s="638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العمل]]="المصنع"),Sheet2!$B$58,IF((Table1612[[#This Row],[موقع العمل]]="الاسكندرية"),Sheet2!$B$58,Sheet2!$B$59))</f>
        <v>250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3" s="240">
        <f ref="K63:K75" t="shared" si="9">B63*J63</f>
        <v>1000</v>
      </c>
      <c r="L63" s="241">
        <f ref="L63:L75" t="shared" si="10">(K63)/$G$79</f>
        <v>0.0072341249725576748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العمل]]="المصنع"),Sheet2!$B$58,IF((Table1612[[#This Row],[موقع العمل]]="الاسكندرية"),Sheet2!$B$58,Sheet2!$B$59))</f>
        <v>250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4" s="240">
        <f t="shared" si="9"/>
        <v>750</v>
      </c>
      <c r="L64" s="241">
        <f t="shared" si="10"/>
        <v>0.0054255937294182561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العمل]]="المصنع"),Sheet2!$B$58,IF((Table1612[[#This Row],[موقع العمل]]="الاسكندرية"),Sheet2!$B$58,Sheet2!$B$59))</f>
        <v>250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500</v>
      </c>
      <c r="K65" s="240">
        <f t="shared" si="9"/>
        <v>1500</v>
      </c>
      <c r="L65" s="241">
        <f t="shared" si="10"/>
        <v>0.010851187458836512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العمل]]="المصنع"),Sheet2!$B$58,IF((Table1612[[#This Row],[موقع العمل]]="الاسكندرية"),Sheet2!$B$58,Sheet2!$B$59))</f>
        <v>250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6" s="240">
        <f t="shared" si="9"/>
        <v>750</v>
      </c>
      <c r="L66" s="241">
        <f t="shared" si="10"/>
        <v>0.0054255937294182561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العمل]]="المصنع"),Sheet2!$B$58,IF((Table1612[[#This Row],[موقع العمل]]="الاسكندرية"),Sheet2!$B$58,Sheet2!$B$59))</f>
        <v>450</v>
      </c>
      <c r="E67" s="211">
        <f>SUMIF(Table17[Column1],Table1612[[#This Row],[موقع العمل]],$Q$2:$Q$20)</f>
        <v>100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7" s="240">
        <f t="shared" si="9"/>
        <v>6600</v>
      </c>
      <c r="L67" s="241">
        <f t="shared" si="10"/>
        <v>0.047745224818880654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العمل]]="المصنع"),Sheet2!$B$58,IF((Table1612[[#This Row],[موقع العمل]]="الاسكندرية"),Sheet2!$B$58,Sheet2!$B$59))</f>
        <v>450</v>
      </c>
      <c r="E68" s="211">
        <f>SUMIF(Table17[Column1],Table1612[[#This Row],[موقع العمل]],$Q$2:$Q$20)</f>
        <v>100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8" s="240">
        <f t="shared" si="9"/>
        <v>4950</v>
      </c>
      <c r="L68" s="241">
        <f t="shared" si="10"/>
        <v>0.035808918614160488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العمل]]="المصنع"),Sheet2!$B$58,IF((Table1612[[#This Row],[موقع العمل]]="الاسكندرية"),Sheet2!$B$58,Sheet2!$B$59))</f>
        <v>450</v>
      </c>
      <c r="E69" s="211">
        <f>SUMIF(Table17[Column1],Table1612[[#This Row],[موقع العمل]],$Q$2:$Q$20)</f>
        <v>100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العمل]]="المصنع"),Sheet2!$B$58,IF((Table1612[[#This Row],[موقع العمل]]="الاسكندرية"),Sheet2!$B$58,Sheet2!$B$59))</f>
        <v>450</v>
      </c>
      <c r="E70" s="211">
        <f>SUMIF(Table17[Column1],Table1612[[#This Row],[موقع العمل]],$Q$2:$Q$20)</f>
        <v>100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1100</v>
      </c>
      <c r="K70" s="240">
        <f t="shared" si="9"/>
        <v>4400</v>
      </c>
      <c r="L70" s="241">
        <f t="shared" si="10"/>
        <v>0.031830149879253769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0.019098089927552263</v>
      </c>
    </row>
    <row r="72" ht="18.75">
      <c r="A72" s="211">
        <v>10</v>
      </c>
      <c r="B72" s="212">
        <f>((I67+I68+I69+I70)*2)-2</f>
        <v>14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0.025319437403951862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0.021702374917673024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3100</v>
      </c>
      <c r="I74" s="247"/>
      <c r="J74" s="243">
        <f>Table1612[[#This Row],[Column12]]</f>
        <v>3100</v>
      </c>
      <c r="K74" s="240">
        <f t="shared" si="9"/>
        <v>6200</v>
      </c>
      <c r="L74" s="241">
        <f t="shared" si="10"/>
        <v>0.044851574829857584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0.012153329953896895</v>
      </c>
    </row>
    <row r="76" ht="18.75">
      <c r="A76" s="560" t="s">
        <v>58</v>
      </c>
      <c r="B76" s="561"/>
      <c r="C76" s="562" t="s">
        <v>58</v>
      </c>
      <c r="D76" s="560"/>
      <c r="E76" s="560"/>
      <c r="F76" s="563"/>
      <c r="G76" s="563"/>
      <c r="H76" s="799">
        <f>SUBTOTAL(109,Table1612[Column12])</f>
        <v>5090</v>
      </c>
      <c r="I76" s="560"/>
      <c r="J76" s="564"/>
      <c r="K76" s="565">
        <f>SUBTOTAL(109,Table1612[اجمالي])</f>
        <v>36970</v>
      </c>
      <c r="L76" s="566">
        <f>Table1612[[#Totals],[اجمالي]]/$G$79</f>
        <v>0.26744560023545727</v>
      </c>
    </row>
    <row r="77" ht="18.75">
      <c r="A77" s="216"/>
      <c r="B77" s="216"/>
      <c r="C77" s="217"/>
      <c r="D77" s="631"/>
      <c r="E77" s="631"/>
      <c r="F77" s="631"/>
      <c r="G77" s="631"/>
      <c r="H77" s="631"/>
      <c r="I77" s="631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82"/>
      <c r="G79" s="283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138233.71918420744</v>
      </c>
      <c r="H79" s="211"/>
      <c r="I79" s="211"/>
      <c r="J79" s="243"/>
      <c r="K79" s="284"/>
      <c r="L79" s="285"/>
    </row>
    <row r="80" ht="18.75">
      <c r="A80" s="211"/>
      <c r="B80" s="212"/>
      <c r="C80" s="213" t="s">
        <v>156</v>
      </c>
      <c r="D80" s="214"/>
      <c r="E80" s="211"/>
      <c r="F80" s="312">
        <f>IF((F75="المقطم"),0.3,IF((F75="التجمع"),0.3,IF((F75="الشيخ زايد"),0.3,IF((F75="الاسكندرية"),0.5,IF((F75="الساحل"),0.5,0.35)))))</f>
        <v>0.3</v>
      </c>
      <c r="G80" s="283">
        <f>G79*(1+Table18[[#This Row],[Column3]])</f>
        <v>179703.83493946967</v>
      </c>
      <c r="H80" s="211"/>
      <c r="I80" s="211"/>
      <c r="J80" s="243"/>
      <c r="K80" s="284"/>
      <c r="L80" s="285"/>
    </row>
    <row r="81" ht="18.75">
      <c r="A81" s="211"/>
      <c r="B81" s="219"/>
      <c r="H81" s="211"/>
      <c r="I81" s="211"/>
      <c r="J81" s="243"/>
      <c r="K81" s="284"/>
      <c r="L81" s="285"/>
    </row>
    <row r="82" ht="18.75">
      <c r="A82" s="211"/>
      <c r="B82" s="212"/>
      <c r="H82" s="211"/>
      <c r="I82" s="242"/>
      <c r="J82" s="243"/>
      <c r="K82" s="284"/>
      <c r="L82" s="285"/>
    </row>
    <row r="83" ht="18.75">
      <c r="A83" s="211"/>
      <c r="B83" s="219"/>
      <c r="H83" s="211"/>
      <c r="I83" s="242"/>
      <c r="J83" s="247"/>
      <c r="K83" s="284"/>
      <c r="L83" s="285"/>
    </row>
    <row r="84" ht="18.75">
      <c r="A84" s="211"/>
      <c r="B84" s="212"/>
      <c r="H84" s="211"/>
      <c r="I84" s="211"/>
      <c r="J84" s="242"/>
      <c r="K84" s="284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66477271-A988-448D-8210-F1B234567D2E}">
      <formula1>$N$2:$N$20</formula1>
    </dataValidation>
    <dataValidation type="list" allowBlank="1" showInputMessage="1" showErrorMessage="1" sqref="G63:G75" xr:uid="{6A0B2E2F-599B-4623-89E6-0E27B90A9B89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A52" zoomScale="70" zoomScaleNormal="55" zoomScaleSheetLayoutView="70" workbookViewId="0">
      <selection activeCell="D68" sqref="D68:D75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1"/>
    <col min="4" max="6" width="13.5703125" customWidth="1" style="207"/>
    <col min="7" max="7" width="28.5703125" customWidth="1" style="233"/>
    <col min="8" max="8" width="25" customWidth="1" style="39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40000</v>
      </c>
      <c r="I2" s="231">
        <f>Sheet2!B13</f>
        <v>45000</v>
      </c>
      <c r="J2" s="232">
        <f>Sheet2!B14</f>
        <v>210000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45683.540548715275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340</v>
      </c>
      <c r="K6" s="240">
        <f>B6*J6</f>
        <v>1700</v>
      </c>
      <c r="L6" s="241">
        <f>(K6)/$G$84</f>
        <v>0.0044372892493652226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1870</v>
      </c>
      <c r="K7" s="240">
        <f ref="K7:K9" t="shared" si="2">B7*J7</f>
        <v>14960</v>
      </c>
      <c r="L7" s="241">
        <f>(K7)/$G$84</f>
        <v>0.039048145394413959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1">
        <v>0.1</v>
      </c>
      <c r="E8" s="39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1130</v>
      </c>
      <c r="K8" s="240">
        <f t="shared" si="2"/>
        <v>3390</v>
      </c>
      <c r="L8" s="241">
        <f>(K8)/$G$84</f>
        <v>0.0088484767972635912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1">
        <v>0.15</v>
      </c>
      <c r="E9" s="39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2240</v>
      </c>
      <c r="K9" s="240">
        <f t="shared" si="2"/>
        <v>4480</v>
      </c>
      <c r="L9" s="241">
        <f>(K9)/$G$84</f>
        <v>0.011693562257150705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>
        <f>H9*B9+B8*H8+H7*B7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24530</v>
      </c>
      <c r="L10" s="244">
        <f>Table118[[#Totals],[اجمالي]]/$G$84</f>
        <v>0.064027473698193477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38" t="s">
        <v>60</v>
      </c>
      <c r="E11" s="638"/>
      <c r="F11" s="638"/>
      <c r="G11" s="638"/>
      <c r="H11" s="638"/>
      <c r="I11" s="638"/>
      <c r="L11" s="402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2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38" t="s">
        <v>76</v>
      </c>
      <c r="E16" s="638"/>
      <c r="F16" s="638"/>
      <c r="G16" s="638"/>
      <c r="H16" s="638"/>
      <c r="I16" s="638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0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0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0.0031322041760225103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0.0026101701466854253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0.0014355935806769839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0.001017966357207316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0.0025057633408180082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0.000313220417602251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1"/>
      <c r="E24" s="391"/>
      <c r="F24" s="391"/>
      <c r="G24" s="248" t="s">
        <v>93</v>
      </c>
      <c r="H24" s="248"/>
      <c r="I24" s="248"/>
      <c r="J24" s="248">
        <f>Sheet2!B29</f>
        <v>700</v>
      </c>
      <c r="K24" s="240">
        <f t="shared" si="5"/>
        <v>8400</v>
      </c>
      <c r="L24" s="241">
        <f t="shared" si="6"/>
        <v>0.021925429232157571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1"/>
      <c r="E25" s="391"/>
      <c r="F25" s="391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0.00010440680586741702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0.0035237296980253239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14010</v>
      </c>
      <c r="L28" s="244">
        <f>Table1522[[#Totals],[اجمالي]]/$G$84</f>
        <v>0.03656848375506281</v>
      </c>
    </row>
    <row r="29" ht="18.75" s="216" customFormat="1">
      <c r="C29" s="217"/>
      <c r="D29" s="638" t="s">
        <v>99</v>
      </c>
      <c r="E29" s="638"/>
      <c r="F29" s="638"/>
      <c r="G29" s="638"/>
      <c r="H29" s="638"/>
      <c r="I29" s="638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40</v>
      </c>
      <c r="J31" s="243">
        <f ref="J31:J32" t="shared" si="8">H31*$H$2/1000</f>
        <v>560</v>
      </c>
      <c r="K31" s="240">
        <f ref="K31:K32" t="shared" si="9">B31*J31</f>
        <v>4480</v>
      </c>
      <c r="L31" s="241">
        <f>(K31)/$G$84</f>
        <v>0.011693562257150705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40</v>
      </c>
      <c r="J32" s="243">
        <f t="shared" si="8"/>
        <v>60</v>
      </c>
      <c r="K32" s="240">
        <f t="shared" si="9"/>
        <v>1920</v>
      </c>
      <c r="L32" s="251">
        <f>(K32)/$G$84</f>
        <v>0.0050115266816360164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6400</v>
      </c>
      <c r="L33" s="244">
        <f>Table1624[[#Totals],[اجمالي]]/$G$84</f>
        <v>0.016705088938786722</v>
      </c>
    </row>
    <row r="34" ht="18.75" s="216" customFormat="1">
      <c r="C34" s="217"/>
      <c r="D34" s="638" t="s">
        <v>102</v>
      </c>
      <c r="E34" s="638"/>
      <c r="F34" s="638"/>
      <c r="G34" s="638"/>
      <c r="H34" s="638"/>
      <c r="I34" s="638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0.0062644083520450207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100</v>
      </c>
      <c r="K37" s="240">
        <f t="shared" si="10"/>
        <v>200</v>
      </c>
      <c r="L37" s="241">
        <f t="shared" si="11"/>
        <v>0.00052203402933708506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220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0.0001957627610014069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0.0001957627610014069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0.00065254253667135632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0.0019576276100140688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0.00052203402933708506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475</v>
      </c>
      <c r="J46" s="248"/>
      <c r="K46" s="240">
        <f>B46*Table1319[[#This Row],[سعر الكيلو]]</f>
        <v>9500</v>
      </c>
      <c r="L46" s="251">
        <f t="shared" si="11"/>
        <v>0.02479661639351154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525</v>
      </c>
      <c r="J47" s="248"/>
      <c r="K47" s="240">
        <f>B47*Table1319[[#This Row],[سعر الكيلو]]</f>
        <v>10500</v>
      </c>
      <c r="L47" s="251">
        <f t="shared" si="11"/>
        <v>0.027406786540196966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190</v>
      </c>
      <c r="J48" s="248"/>
      <c r="K48" s="240">
        <f>B48*Table1319[[#This Row],[سعر الكيلو]]</f>
        <v>950</v>
      </c>
      <c r="L48" s="251">
        <f t="shared" si="11"/>
        <v>0.0024796616393511538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190</v>
      </c>
      <c r="J49" s="248"/>
      <c r="K49" s="240">
        <f>B49*Table1319[[#This Row],[سعر الكيلو]]</f>
        <v>950</v>
      </c>
      <c r="L49" s="251">
        <f t="shared" si="11"/>
        <v>0.0024796616393511538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25850</v>
      </c>
      <c r="L50" s="244">
        <f>Table1319[[#Totals],[اجمالي]]/$G$84</f>
        <v>0.06747289829181824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38" t="s">
        <v>119</v>
      </c>
      <c r="E52" s="638"/>
      <c r="F52" s="638"/>
      <c r="G52" s="638"/>
      <c r="H52" s="638"/>
      <c r="I52" s="638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210</v>
      </c>
      <c r="J54" s="403">
        <f>Table161027[[#This Row],[سعر الكيلو]]*Table161027[[#This Row],[الوزن]]</f>
        <v>367.5</v>
      </c>
      <c r="K54" s="240">
        <f ref="K54:K55" t="shared" si="13">B54*J54</f>
        <v>1837.5</v>
      </c>
      <c r="L54" s="241">
        <f>(Table161027[[#This Row],[اجمالي]])/$G$84</f>
        <v>0.0047961876445344687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7000</v>
      </c>
      <c r="K55" s="240">
        <f t="shared" si="13"/>
        <v>35000</v>
      </c>
      <c r="L55" s="241">
        <f>(Table161027[[#This Row],[اجمالي]])/$G$84</f>
        <v>0.091355955133989891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36837.5</v>
      </c>
      <c r="L56" s="241">
        <f>Table161027[[#Totals],[اجمالي]]/$G$84</f>
        <v>0.096152142778524352</v>
      </c>
    </row>
    <row r="57" ht="18.75" s="216" customFormat="1">
      <c r="C57" s="217"/>
      <c r="D57" s="638" t="s">
        <v>123</v>
      </c>
      <c r="E57" s="638"/>
      <c r="F57" s="638"/>
      <c r="G57" s="638"/>
      <c r="H57" s="638"/>
      <c r="I57" s="638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398">
        <f>'Cutting Ro-2'!$O$7</f>
        <v>2015.0737400897231</v>
      </c>
      <c r="I59" s="247"/>
      <c r="J59" s="403">
        <f>IF((Table161128[[#This Row],[عدد]]&gt;0),'Cutting Ro-2'!O8,0)</f>
        <v>193447.07904861341</v>
      </c>
      <c r="K59" s="240">
        <f>Table161128[[#This Row],[عدد]]*Table161128[[#This Row],[سعر البرجولا كاملة]]</f>
        <v>193447.07904861341</v>
      </c>
      <c r="L59" s="241">
        <f>(K59)/$G$84</f>
        <v>0.50492979069618626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193447.07904861341</v>
      </c>
      <c r="K60" s="240">
        <f>Table161128[[#This Row],[عدد]]*Table161128[[#This Row],[سعر البرجولا كاملة]]</f>
        <v>19344.707904861341</v>
      </c>
      <c r="L60" s="241">
        <f>(K60)/$G$84</f>
        <v>0.050492979069618631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212791.78695347474</v>
      </c>
      <c r="L61" s="244">
        <f>Table161128[[#Totals],[اجمالي]]/$G$84</f>
        <v>0.555422769765805</v>
      </c>
    </row>
    <row r="62" ht="18.75" s="216" customFormat="1">
      <c r="C62" s="217"/>
      <c r="D62" s="638" t="s">
        <v>131</v>
      </c>
      <c r="E62" s="638"/>
      <c r="F62" s="638"/>
      <c r="G62" s="638"/>
      <c r="H62" s="638"/>
      <c r="I62" s="638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IF((تسعير!T25="B"),(Table118[[#Totals],[اجمالي الميزان]]+Table1624[[#Totals],[الوزن]]+Table1421[[#Totals],[الوزن]]),0)</f>
        <v>773.25</v>
      </c>
      <c r="C64" s="214" t="s">
        <v>132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23197.5</v>
      </c>
      <c r="L64" s="241">
        <f>(K64)/$G$84</f>
        <v>0.060549421977735156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23197.5</v>
      </c>
      <c r="L65" s="241">
        <f>Table161330[[#Totals],[اجمالي]]/$G$84</f>
        <v>0.060549421977735156</v>
      </c>
    </row>
    <row r="66" ht="18.75" s="216" customFormat="1">
      <c r="C66" s="217"/>
      <c r="D66" s="638" t="s">
        <v>133</v>
      </c>
      <c r="E66" s="638"/>
      <c r="F66" s="638"/>
      <c r="G66" s="638"/>
      <c r="H66" s="638"/>
      <c r="I66" s="638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العمل]]="المصنع"),Sheet2!$B$58,IF((Table161229[[#This Row],[موقع العمل]]="الاسكندرية"),Sheet2!$B$58,Sheet2!$B$59))</f>
        <v>250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0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375</v>
      </c>
      <c r="K68" s="240">
        <f ref="K68:K80" t="shared" si="14">B68*J68</f>
        <v>1500</v>
      </c>
      <c r="L68" s="241">
        <f ref="L68:L80" t="shared" si="15">(K68)/$G$84</f>
        <v>0.0039152552200281375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العمل]]="المصنع"),Sheet2!$B$58,IF((Table161229[[#This Row],[موقع العمل]]="الاسكندرية"),Sheet2!$B$58,Sheet2!$B$59))</f>
        <v>250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250</v>
      </c>
      <c r="K69" s="240">
        <f t="shared" si="14"/>
        <v>750</v>
      </c>
      <c r="L69" s="241">
        <f t="shared" si="15"/>
        <v>0.0019576276100140688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العمل]]="المصنع"),Sheet2!$B$58,IF((Table161229[[#This Row],[موقع العمل]]="الاسكندرية"),Sheet2!$B$58,Sheet2!$B$59))</f>
        <v>250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750</v>
      </c>
      <c r="K70" s="240">
        <f t="shared" si="14"/>
        <v>2250</v>
      </c>
      <c r="L70" s="241">
        <f t="shared" si="15"/>
        <v>0.0058728828300422071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العمل]]="المصنع"),Sheet2!$B$58,IF((Table161229[[#This Row],[موقع العمل]]="الاسكندرية"),Sheet2!$B$58,Sheet2!$B$59))</f>
        <v>250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500</v>
      </c>
      <c r="K71" s="240">
        <f t="shared" si="14"/>
        <v>1500</v>
      </c>
      <c r="L71" s="241">
        <f t="shared" si="15"/>
        <v>0.0039152552200281375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العمل]]="المصنع"),Sheet2!$B$58,IF((Table161229[[#This Row],[موقع العمل]]="الاسكندرية"),Sheet2!$B$58,Sheet2!$B$59))</f>
        <v>450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1575</v>
      </c>
      <c r="K72" s="240">
        <f t="shared" si="14"/>
        <v>6300</v>
      </c>
      <c r="L72" s="241">
        <f t="shared" si="15"/>
        <v>0.016444071924118179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العمل]]="المصنع"),Sheet2!$B$58,IF((Table161229[[#This Row],[موقع العمل]]="الاسكندرية"),Sheet2!$B$58,Sheet2!$B$59))</f>
        <v>450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2100</v>
      </c>
      <c r="K73" s="240">
        <f t="shared" si="14"/>
        <v>6300</v>
      </c>
      <c r="L73" s="241">
        <f t="shared" si="15"/>
        <v>0.016444071924118179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العمل]]="المصنع"),Sheet2!$B$58,IF((Table161229[[#This Row],[موقع العمل]]="الاسكندرية"),Sheet2!$B$58,Sheet2!$B$59))</f>
        <v>450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العمل]]="المصنع"),Sheet2!$B$58,IF((Table161229[[#This Row],[موقع العمل]]="الاسكندرية"),Sheet2!$B$58,Sheet2!$B$59))</f>
        <v>450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1575</v>
      </c>
      <c r="K75" s="240">
        <f t="shared" si="14"/>
        <v>6300</v>
      </c>
      <c r="L75" s="241">
        <f t="shared" si="15"/>
        <v>0.016444071924118179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0.0068908491872495224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0.011745765660084414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0.007830510440056275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0.0060033913373764777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0.005637967516840519</v>
      </c>
      <c r="N80" s="207"/>
      <c r="O80" s="207"/>
      <c r="P80" s="207"/>
      <c r="Q80" s="207"/>
      <c r="R80" s="207"/>
      <c r="S80" s="207"/>
      <c r="T80" s="207"/>
    </row>
    <row r="81" ht="18.75">
      <c r="A81" s="560" t="s">
        <v>58</v>
      </c>
      <c r="B81" s="561"/>
      <c r="C81" s="562" t="s">
        <v>58</v>
      </c>
      <c r="D81" s="560"/>
      <c r="E81" s="560"/>
      <c r="F81" s="563"/>
      <c r="G81" s="563"/>
      <c r="H81" s="799">
        <f>SUBTOTAL(109,Table161229[Column12])</f>
        <v>4290</v>
      </c>
      <c r="I81" s="560"/>
      <c r="J81" s="564"/>
      <c r="K81" s="565">
        <f>SUBTOTAL(109,Table161229[اجمالي])</f>
        <v>39500</v>
      </c>
      <c r="L81" s="566">
        <f>Table161229[[#Totals],[اجمالي]]/$G$84</f>
        <v>0.1031017207940743</v>
      </c>
    </row>
    <row r="82" ht="18.75">
      <c r="A82" s="216"/>
      <c r="B82" s="216"/>
      <c r="C82" s="217"/>
      <c r="D82" s="631"/>
      <c r="E82" s="631"/>
      <c r="F82" s="631"/>
      <c r="G82" s="631"/>
      <c r="H82" s="631"/>
      <c r="I82" s="631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82"/>
      <c r="G84" s="283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383116.78695347474</v>
      </c>
      <c r="H84" s="211"/>
      <c r="I84" s="211"/>
      <c r="J84" s="243"/>
      <c r="K84" s="284"/>
      <c r="L84" s="285"/>
    </row>
    <row r="85" ht="18.75">
      <c r="A85" s="211"/>
      <c r="B85" s="212"/>
      <c r="C85" s="213" t="s">
        <v>156</v>
      </c>
      <c r="D85" s="214"/>
      <c r="E85" s="211"/>
      <c r="F85" s="312">
        <f>IF((F80="المقطم"),0.3,IF((F80="التجمع"),0.3,IF((F80="الشيخ زايد"),0.3,IF((F80="الاسكندرية"),0.5,IF((F74="الساحل"),0.5,0.35)))))</f>
        <v>0.3</v>
      </c>
      <c r="G85" s="283">
        <f>G84*(1+Table1832[[#This Row],[Column3]])</f>
        <v>498051.82303951716</v>
      </c>
      <c r="H85" s="211"/>
      <c r="I85" s="211"/>
      <c r="J85" s="243"/>
      <c r="K85" s="284"/>
      <c r="L85" s="285"/>
    </row>
    <row r="86" ht="18.75">
      <c r="A86" s="211"/>
      <c r="B86" s="219"/>
      <c r="H86" s="211"/>
      <c r="I86" s="211"/>
      <c r="J86" s="243"/>
      <c r="K86" s="284"/>
      <c r="L86" s="285"/>
    </row>
    <row r="87" ht="18.75">
      <c r="A87" s="211"/>
      <c r="B87" s="212"/>
      <c r="H87" s="211"/>
      <c r="I87" s="242"/>
      <c r="J87" s="243"/>
      <c r="K87" s="284"/>
      <c r="L87" s="285"/>
    </row>
    <row r="88" ht="18.75">
      <c r="A88" s="211"/>
      <c r="B88" s="219"/>
      <c r="H88" s="211"/>
      <c r="I88" s="242"/>
      <c r="J88" s="247"/>
      <c r="K88" s="284"/>
      <c r="L88" s="285"/>
    </row>
    <row r="89" ht="18.75">
      <c r="A89" s="211"/>
      <c r="B89" s="212"/>
      <c r="H89" s="211"/>
      <c r="I89" s="211"/>
      <c r="J89" s="242"/>
      <c r="K89" s="284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C117277F-FFCC-4FBF-8337-6C0B6C9BD916}">
      <formula1>$U$4:$U$5</formula1>
    </dataValidation>
    <dataValidation type="list" allowBlank="1" showInputMessage="1" showErrorMessage="1" sqref="F72:F80" xr:uid="{E05D1EBE-03F3-47C1-9A6E-E3C31968F07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25" zoomScaleNormal="25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82" t="s">
        <v>444</v>
      </c>
      <c r="B1" s="271">
        <f>(F1*D1)/10000</f>
        <v>12.5</v>
      </c>
      <c r="C1" s="272" t="s">
        <v>428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235</v>
      </c>
      <c r="E3" s="187">
        <v>2</v>
      </c>
      <c r="F3" s="384">
        <f>B3*C3*D3*E3</f>
        <v>5287.5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9" t="s">
        <v>17</v>
      </c>
      <c r="M3" s="640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41">
        <f>NOW()</f>
        <v>45683.5405487963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450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235</v>
      </c>
      <c r="E4" s="187">
        <f>CEILING(D1/60,1)+1</f>
        <v>10</v>
      </c>
      <c r="F4" s="384">
        <f>B4*C4*D4*E4</f>
        <v>3290.0000000000005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340</v>
      </c>
      <c r="V6" s="240">
        <f>M6*U6</f>
        <v>1020</v>
      </c>
      <c r="W6" s="241">
        <f>(V6)/$R$71</f>
        <v>0.0158772405839228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456</v>
      </c>
      <c r="B7" s="187">
        <f>(((D1/(E4-1)+10)*(E4-1))*F1)/10000</f>
        <v>14.75</v>
      </c>
      <c r="D7" s="187">
        <v>225</v>
      </c>
      <c r="F7" s="38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1140</v>
      </c>
      <c r="V7" s="240">
        <f>M7*U7</f>
        <v>2850</v>
      </c>
      <c r="W7" s="241">
        <f>(V7)/$R$71</f>
        <v>0.044362878102137231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3870</v>
      </c>
      <c r="W8" s="244">
        <f>Table158[[#Totals],[اجمالي]]/$R$71</f>
        <v>0.06024011868606003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0.0062263688564403131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0.0034245028710421723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0.0020235698783431016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183</v>
      </c>
      <c r="B14" s="195">
        <f>IF((تسعير!AT9=wavy1!A20),1,0)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0.0031131844282201566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86" t="s">
        <v>58</v>
      </c>
      <c r="B15" s="386"/>
      <c r="C15" s="386"/>
      <c r="D15" s="386"/>
      <c r="E15" s="386">
        <f>Table8[[#Totals],[اجمالي التكلفة]]/B1</f>
        <v>1882.9</v>
      </c>
      <c r="F15" s="387">
        <f>SUBTOTAL(109,Table8[اجمالي التكلفة])</f>
        <v>23536.25</v>
      </c>
      <c r="G15" s="386"/>
      <c r="H15" s="386"/>
      <c r="I15" s="386"/>
      <c r="J15" s="386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0.037358213138641877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0.052145839172687621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0"/>
      <c r="L21" s="211">
        <v>3</v>
      </c>
      <c r="M21" s="219">
        <f>IF((N3="A1"),2,IF((N3="A2"),2,0))</f>
        <v>0</v>
      </c>
      <c r="N21" s="220" t="s">
        <v>474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280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30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0.00070046649634953522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0.00070046649634953522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0.00038914805352751957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0.0023348883211651173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0.0012452737712880626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100</v>
      </c>
      <c r="V32" s="240">
        <f t="shared" si="3"/>
        <v>210.52631578947367</v>
      </c>
      <c r="W32" s="241">
        <f t="shared" si="4" ca="1"/>
        <v>0.0032770362402317435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IF((تسعير!AT5="B"),(Table158[[#Totals],[الوزن]]+Table1662[[#Totals],[الوزن]]),0)</f>
        <v>71.25</v>
      </c>
      <c r="N40" s="213" t="s">
        <v>132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0.033272158576602921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0.036969065085114362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2625</v>
      </c>
      <c r="W42" s="251">
        <f t="shared" si="4" ca="1"/>
        <v>0.040860545620389557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950</v>
      </c>
      <c r="W43" s="251">
        <f t="shared" si="4" ca="1"/>
        <v>0.014787626034045744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950</v>
      </c>
      <c r="W44" s="251">
        <f t="shared" si="4" ca="1"/>
        <v>0.014787626034045744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9593.0263157894733</v>
      </c>
      <c r="W45" s="244">
        <f>Table1359[[#Totals],[اجمالي]]/$R$71</f>
        <v>0.14932430072910985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23536.25</v>
      </c>
      <c r="V50" s="240">
        <f>M50*Table161368[[#This Row],[سعر الشبك ]]</f>
        <v>23536.25</v>
      </c>
      <c r="W50" s="241">
        <f t="shared" si="6" ca="1"/>
        <v>0.36636343499348328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23536.25</v>
      </c>
      <c r="V51" s="240">
        <f>M51*Table161368[[#This Row],[سعر الشبك ]]</f>
        <v>2353.625</v>
      </c>
      <c r="W51" s="241">
        <f t="shared" si="6" ca="1"/>
        <v>0.036636343499348328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25889.875</v>
      </c>
      <c r="W52" s="244">
        <f>Table161368[[#Totals],[اجمالي]]/$R$71</f>
        <v>0.40299977849283164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العمل]]="المصنع"),Sheet2!$B$58,IF((Table161267[[#This Row],[موقع العمل]]="الاسكندرية"),Sheet2!$B$58,Sheet2!$B$59))</f>
        <v>250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5" s="240">
        <f ref="V55:V67" t="shared" si="7" ca="1">M55*U55</f>
        <v>500</v>
      </c>
      <c r="W55" s="241">
        <f ref="W55:W67" t="shared" si="8" ca="1">(V55)/$R$71</f>
        <v>0.0077829610705503916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العمل]]="المصنع"),Sheet2!$B$58,IF((Table161267[[#This Row],[موقع العمل]]="الاسكندرية"),Sheet2!$B$58,Sheet2!$B$59))</f>
        <v>250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6" s="240">
        <f t="shared" si="7" ca="1"/>
        <v>500</v>
      </c>
      <c r="W56" s="241">
        <f t="shared" si="8" ca="1"/>
        <v>0.0077829610705503916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العمل]]="المصنع"),Sheet2!$B$58,IF((Table161267[[#This Row],[موقع العمل]]="الاسكندرية"),Sheet2!$B$58,Sheet2!$B$59))</f>
        <v>250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7" s="240">
        <f t="shared" si="7" ca="1"/>
        <v>750</v>
      </c>
      <c r="W57" s="241">
        <f t="shared" si="8" ca="1"/>
        <v>0.011674441605825587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العمل]]="المصنع"),Sheet2!$B$58,IF((Table161267[[#This Row],[موقع العمل]]="الاسكندرية"),Sheet2!$B$58,Sheet2!$B$59))</f>
        <v>250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8" s="240">
        <f t="shared" si="7" ca="1"/>
        <v>750</v>
      </c>
      <c r="W58" s="241">
        <f t="shared" si="8" ca="1"/>
        <v>0.011674441605825587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العمل]]="المصنع"),Sheet2!$B$58,IF((Table161267[[#This Row],[موقع العمل]]="الاسكندرية"),Sheet2!$B$58,Sheet2!$B$59))</f>
        <v>450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59" s="240">
        <f t="shared" si="7" ca="1"/>
        <v>4200</v>
      </c>
      <c r="W59" s="241">
        <f t="shared" si="8" ca="1"/>
        <v>0.065376872992623292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العمل]]="المصنع"),Sheet2!$B$58,IF((Table161267[[#This Row],[موقع العمل]]="الاسكندرية"),Sheet2!$B$58,Sheet2!$B$59))</f>
        <v>450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60" s="240">
        <f t="shared" si="7" ca="1"/>
        <v>3150</v>
      </c>
      <c r="W60" s="241">
        <f t="shared" si="8" ca="1"/>
        <v>0.049032654744467469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العمل]]="المصنع"),Sheet2!$B$58,IF((Table161267[[#This Row],[موقع العمل]]="الاسكندرية"),Sheet2!$B$58,Sheet2!$B$59))</f>
        <v>450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العمل]]="المصنع"),Sheet2!$B$58,IF((Table161267[[#This Row],[موقع العمل]]="الاسكندرية"),Sheet2!$B$58,Sheet2!$B$59))</f>
        <v>450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525</v>
      </c>
      <c r="V62" s="240">
        <f t="shared" si="7" ca="1"/>
        <v>2100</v>
      </c>
      <c r="W62" s="241">
        <f t="shared" si="8" ca="1"/>
        <v>0.032688436496311646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0.041094034452506069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0.027240363746926372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0.071603241849063609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0.00933955328466047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SUBTOTAL(109,Table161267[Column12])</f>
        <v>4290</v>
      </c>
      <c r="T68" s="560"/>
      <c r="U68" s="564"/>
      <c r="V68" s="565">
        <f>SUBTOTAL(109,Table161267[اجمالي])</f>
        <v>21540</v>
      </c>
      <c r="W68" s="566">
        <f>Table161267[[#Totals],[اجمالي]]/$R$71</f>
        <v>0.33528996291931085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Table161267[[#Totals],[اجمالي]]+Table161368[[#Totals],[اجمالي]]+Table1359[[#Totals],[اجمالي]]+Table1662[[#Totals],[اجمالي]]+Table1561[[#Totals],[اجمالي]]+Table158[[#Totals],[اجمالي]]</f>
        <v>64242.901315789473</v>
      </c>
      <c r="S71" s="211"/>
      <c r="T71" s="211"/>
      <c r="U71" s="243"/>
      <c r="V71" s="284"/>
      <c r="W71" s="285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R71*(1+Table1870[[#This Row],[Column3]])</f>
        <v>83515.771710526315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2CA97E07-D030-45C1-AB00-6840B2C3CFCA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N25" zoomScale="70" zoomScaleNormal="70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82" t="s">
        <v>444</v>
      </c>
      <c r="B1" s="271">
        <f>(F1*D1)/10000</f>
        <v>35</v>
      </c>
      <c r="C1" s="272" t="s">
        <v>428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235</v>
      </c>
      <c r="E3" s="187">
        <v>2</v>
      </c>
      <c r="F3" s="384">
        <f>B3*C3*D3*E3</f>
        <v>7402.5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9" t="s">
        <v>17</v>
      </c>
      <c r="M3" s="640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41">
        <f>NOW()</f>
        <v>45683.540548819445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450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235</v>
      </c>
      <c r="E4" s="187">
        <f>CEILING(D1/60,1)+1</f>
        <v>13</v>
      </c>
      <c r="F4" s="384">
        <f>B4*C4*D4*E4</f>
        <v>8554.0000000000018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340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456</v>
      </c>
      <c r="B7" s="187">
        <f>(((D1/(E4-1)+10)*(E4-1))*F1)/10000</f>
        <v>41.000000000000007</v>
      </c>
      <c r="D7" s="187">
        <v>225</v>
      </c>
      <c r="F7" s="38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1140</v>
      </c>
      <c r="V7" s="240">
        <f>M7*U7</f>
        <v>4560</v>
      </c>
      <c r="W7" s="241">
        <f>(V7)/$R$71</f>
        <v>0.059691424409878839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4560</v>
      </c>
      <c r="W8" s="244">
        <f>Table15855[[#Totals],[اجمالي]]/$R$71</f>
        <v>0.059691424409878839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0.0052360898605156875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0.0028798494232836281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0.0017017292046675983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183</v>
      </c>
      <c r="B14" s="195">
        <f>IF((تسعير!BE9=A20),1,0)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0.010472179721031375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86" t="s">
        <v>58</v>
      </c>
      <c r="B17" s="386"/>
      <c r="C17" s="386"/>
      <c r="D17" s="386"/>
      <c r="E17" s="386">
        <f>Table823[[#Totals],[اجمالي التكلفة]]/B1</f>
        <v>1100.9</v>
      </c>
      <c r="F17" s="387">
        <f>SUBTOTAL(109,Table823[اجمالي التكلفة])</f>
        <v>38531.5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0.020289848209498289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0"/>
      <c r="L21" s="211">
        <v>3</v>
      </c>
      <c r="M21" s="219">
        <f>IF((N3="c1"),4,IF((N3="c2"),4,0))</f>
        <v>4</v>
      </c>
      <c r="N21" s="220" t="s">
        <v>474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280</v>
      </c>
      <c r="V21" s="240">
        <f>M21*U21</f>
        <v>1120</v>
      </c>
      <c r="W21" s="241">
        <f>(V21)/$R$71</f>
        <v>0.014661051609443926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30</v>
      </c>
      <c r="V22" s="240">
        <f>M22*U22</f>
        <v>480</v>
      </c>
      <c r="W22" s="251">
        <f>(V22)/$R$71</f>
        <v>0.0062833078326188247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1600</v>
      </c>
      <c r="W23" s="244">
        <f>Table166241[[#Totals],[اجمالي]]/$R$71</f>
        <v>0.02094435944206275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0.0039619746611235379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0.00058906010930801487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0.00058906010930801487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0.00098176684884669131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0.0058906010930801483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0.0015708269581547062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100</v>
      </c>
      <c r="V32" s="240">
        <f t="shared" si="3"/>
        <v>210.52631578947367</v>
      </c>
      <c r="W32" s="241">
        <f t="shared" si="4"/>
        <v>0.0027558367686924667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0.040317891925970795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0.062178567093623786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5250</v>
      </c>
      <c r="W42" s="251">
        <f t="shared" si="4"/>
        <v>0.0687236794192684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0.0022583255568404165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0.0022583255568404165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0" t="s">
        <v>58</v>
      </c>
      <c r="M45" s="511"/>
      <c r="N45" s="512" t="s">
        <v>58</v>
      </c>
      <c r="O45" s="513"/>
      <c r="P45" s="513"/>
      <c r="Q45" s="513"/>
      <c r="R45" s="510" t="s">
        <v>118</v>
      </c>
      <c r="S45" s="510"/>
      <c r="T45" s="510"/>
      <c r="U45" s="514"/>
      <c r="V45" s="515">
        <f>SUBTOTAL(109,Table135926[اجمالي])</f>
        <v>14673.232982456142</v>
      </c>
      <c r="W45" s="516">
        <f>Table135926[[#Totals],[اجمالي]]/$R$71</f>
        <v>0.19207591610105743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38531.5</v>
      </c>
      <c r="V50" s="240">
        <f>M50*Table16136845[[#This Row],[سعر الشبك ]]</f>
        <v>38531.5</v>
      </c>
      <c r="W50" s="241">
        <f t="shared" si="6"/>
        <v>0.50438599115115057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38531.5</v>
      </c>
      <c r="V51" s="240">
        <f>M51*Table16136845[[#This Row],[سعر الشبك ]]</f>
        <v>3853.15</v>
      </c>
      <c r="W51" s="241">
        <f t="shared" si="6"/>
        <v>0.050438599115115057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42384.65</v>
      </c>
      <c r="W52" s="244">
        <f>Table16136845[[#Totals],[اجمالي]]/$R$71</f>
        <v>0.55482459026626563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العمل]]="المصنع"),Sheet2!$B$58,IF((Table16126744[[#This Row],[موقع العمل]]="الاسكندرية"),Sheet2!$B$58,Sheet2!$B$59))</f>
        <v>250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5" s="240">
        <f ref="V55:V67" t="shared" si="7">M55*U55</f>
        <v>1000</v>
      </c>
      <c r="W55" s="241">
        <f ref="W55:W67" t="shared" si="8">(V55)/$R$71</f>
        <v>0.013090224651289218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العمل]]="المصنع"),Sheet2!$B$58,IF((Table16126744[[#This Row],[موقع العمل]]="الاسكندرية"),Sheet2!$B$58,Sheet2!$B$59))</f>
        <v>250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6" s="240">
        <f t="shared" si="7"/>
        <v>1000</v>
      </c>
      <c r="W56" s="241">
        <f t="shared" si="8"/>
        <v>0.013090224651289218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العمل]]="المصنع"),Sheet2!$B$58,IF((Table16126744[[#This Row],[موقع العمل]]="الاسكندرية"),Sheet2!$B$58,Sheet2!$B$59))</f>
        <v>250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7" s="240">
        <f t="shared" si="7"/>
        <v>500</v>
      </c>
      <c r="W57" s="241">
        <f t="shared" si="8"/>
        <v>0.006545112325644609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العمل]]="المصنع"),Sheet2!$B$58,IF((Table16126744[[#This Row],[موقع العمل]]="الاسكندرية"),Sheet2!$B$58,Sheet2!$B$59))</f>
        <v>250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8" s="240">
        <f t="shared" si="7"/>
        <v>750</v>
      </c>
      <c r="W58" s="241">
        <f t="shared" si="8"/>
        <v>0.0098176684884669144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العمل]]="المصنع"),Sheet2!$B$58,IF((Table16126744[[#This Row],[موقع العمل]]="الاسكندرية"),Sheet2!$B$58,Sheet2!$B$59))</f>
        <v>450</v>
      </c>
      <c r="P59" s="211">
        <f>SUMIF(Table176946[Column1],Table16126744[[#This Row],[موقع العمل]],$AB$2:$AB$20)</f>
        <v>75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59" s="240">
        <f t="shared" si="7"/>
        <v>2100</v>
      </c>
      <c r="W59" s="241">
        <f t="shared" si="8"/>
        <v>0.027489471767707357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العمل]]="المصنع"),Sheet2!$B$58,IF((Table16126744[[#This Row],[موقع العمل]]="الاسكندرية"),Sheet2!$B$58,Sheet2!$B$59))</f>
        <v>450</v>
      </c>
      <c r="P60" s="211">
        <f>SUMIF(Table176946[Column1],Table16126744[[#This Row],[موقع العمل]],$AB$2:$AB$20)</f>
        <v>75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العمل]]="المصنع"),Sheet2!$B$58,IF((Table16126744[[#This Row],[موقع العمل]]="الاسكندرية"),Sheet2!$B$58,Sheet2!$B$59))</f>
        <v>450</v>
      </c>
      <c r="P61" s="211">
        <f>SUMIF(Table176946[Column1],Table16126744[[#This Row],[موقع العمل]],$AB$2:$AB$20)</f>
        <v>75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العمل]]="المصنع"),Sheet2!$B$58,IF((Table16126744[[#This Row],[موقع العمل]]="الاسكندرية"),Sheet2!$B$58,Sheet2!$B$59))</f>
        <v>450</v>
      </c>
      <c r="P62" s="211">
        <f>SUMIF(Table176946[Column1],Table16126744[[#This Row],[موقع العمل]],$AB$2:$AB$20)</f>
        <v>75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62" s="240">
        <f t="shared" si="7"/>
        <v>1575</v>
      </c>
      <c r="W62" s="241">
        <f t="shared" si="8"/>
        <v>0.020617103825780518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0.031416539163094122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0.030107516697965204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SUBTOTAL(109,Table16126744[Column12])</f>
        <v>4390</v>
      </c>
      <c r="T68" s="560"/>
      <c r="U68" s="564"/>
      <c r="V68" s="565">
        <f>SUBTOTAL(109,Table16126744[اجمالي])</f>
        <v>11625</v>
      </c>
      <c r="W68" s="566">
        <f>Table16126744[[#Totals],[اجمالي]]/$R$71</f>
        <v>0.15217386157123716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Table16126744[[#Totals],[اجمالي]]+Table16136845[[#Totals],[اجمالي]]+Table135926[[#Totals],[اجمالي]]+Table166241[[#Totals],[اجمالي]]+Table156140[[#Totals],[اجمالي]]+Table15855[[#Totals],[اجمالي]]</f>
        <v>76392.88298245614</v>
      </c>
      <c r="S71" s="211"/>
      <c r="T71" s="211"/>
      <c r="U71" s="243"/>
      <c r="V71" s="284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R71*(1+Table187054[[#This Row],[Column3]])</f>
        <v>99310.747877192989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3C260E08-D367-49DD-9ED6-C842DE632C53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A61" zoomScaleNormal="100" workbookViewId="0">
      <selection activeCell="D66" sqref="D66"/>
    </sheetView>
  </sheetViews>
  <sheetFormatPr defaultColWidth="9.140625" defaultRowHeight="15"/>
  <cols>
    <col min="1" max="1" width="11.28515625" customWidth="1" style="315"/>
    <col min="2" max="2" width="11.5703125" customWidth="1" style="315"/>
    <col min="3" max="3" width="38" customWidth="1" style="315"/>
    <col min="4" max="4" width="12.28515625" customWidth="1" style="315"/>
    <col min="5" max="5" width="16.28515625" customWidth="1" style="316"/>
    <col min="6" max="6" width="11.85546875" customWidth="1" style="315"/>
    <col min="7" max="7" width="7.42578125" customWidth="1" style="315"/>
    <col min="8" max="8" width="22.7109375" customWidth="1" style="315"/>
    <col min="9" max="9" width="11.85546875" customWidth="1" style="315"/>
    <col min="10" max="10" width="11.5703125" customWidth="1" style="315"/>
    <col min="11" max="11" width="13.140625" customWidth="1" style="315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17"/>
      <c r="B1" s="318"/>
      <c r="C1" s="318"/>
      <c r="D1" s="318"/>
      <c r="E1" s="319"/>
      <c r="F1" s="318"/>
      <c r="G1" s="318"/>
      <c r="H1" s="318"/>
      <c r="I1" s="318"/>
      <c r="J1" s="318"/>
      <c r="K1" s="318"/>
      <c r="L1" s="351"/>
      <c r="M1" s="351"/>
      <c r="N1" s="351"/>
      <c r="O1" s="351"/>
      <c r="P1" s="352"/>
      <c r="R1" s="374"/>
      <c r="S1" s="318"/>
      <c r="T1" s="318"/>
      <c r="U1" s="318"/>
      <c r="V1" s="319"/>
      <c r="W1" s="318"/>
      <c r="X1" s="318"/>
      <c r="Y1" s="318"/>
      <c r="Z1" s="318"/>
      <c r="AA1" s="318"/>
      <c r="AB1" s="318"/>
      <c r="AC1" s="351"/>
      <c r="AD1" s="351"/>
      <c r="AE1" s="351"/>
      <c r="AF1" s="351"/>
      <c r="AG1" s="352"/>
    </row>
    <row r="2" ht="18.75">
      <c r="A2" s="552" t="s">
        <v>478</v>
      </c>
      <c r="B2" s="316" t="s">
        <v>198</v>
      </c>
      <c r="C2" s="316" t="s">
        <v>479</v>
      </c>
      <c r="E2" s="316" t="s">
        <v>9</v>
      </c>
      <c r="F2" s="315" t="s">
        <v>30</v>
      </c>
      <c r="H2" s="321" t="s">
        <v>9</v>
      </c>
      <c r="I2" s="353" t="s">
        <v>480</v>
      </c>
      <c r="J2" s="354" t="s">
        <v>481</v>
      </c>
      <c r="K2" s="355" t="s">
        <v>482</v>
      </c>
      <c r="M2" s="356" t="s">
        <v>483</v>
      </c>
      <c r="N2" s="356" t="s">
        <v>484</v>
      </c>
      <c r="O2" s="0" t="s">
        <v>9</v>
      </c>
      <c r="P2" s="357"/>
      <c r="R2" s="332"/>
      <c r="S2" s="315" t="s">
        <v>198</v>
      </c>
      <c r="T2" s="315" t="s">
        <v>479</v>
      </c>
      <c r="U2" s="315"/>
      <c r="V2" s="316" t="s">
        <v>9</v>
      </c>
      <c r="W2" s="315" t="s">
        <v>30</v>
      </c>
      <c r="X2" s="315"/>
      <c r="Y2" s="331" t="s">
        <v>9</v>
      </c>
      <c r="Z2" s="379" t="s">
        <v>480</v>
      </c>
      <c r="AA2" s="323" t="s">
        <v>481</v>
      </c>
      <c r="AB2" s="323" t="s">
        <v>482</v>
      </c>
      <c r="AD2" s="0" t="s">
        <v>483</v>
      </c>
      <c r="AE2" s="0" t="s">
        <v>484</v>
      </c>
      <c r="AF2" s="0" t="s">
        <v>9</v>
      </c>
      <c r="AG2" s="357"/>
    </row>
    <row r="3" ht="22.5" customHeight="1">
      <c r="A3" s="322" t="s">
        <v>485</v>
      </c>
      <c r="B3" s="323">
        <v>2.5</v>
      </c>
      <c r="C3" s="323">
        <v>11.75</v>
      </c>
      <c r="E3" s="323" t="s">
        <v>180</v>
      </c>
      <c r="F3" s="323">
        <f>Sheet2!B42</f>
        <v>450</v>
      </c>
      <c r="H3" s="556" t="s">
        <v>486</v>
      </c>
      <c r="I3" s="358">
        <v>2</v>
      </c>
      <c r="J3" s="359">
        <v>75</v>
      </c>
      <c r="K3" s="360">
        <f ref="K3:K10" t="shared" si="0">I3*J3</f>
        <v>150</v>
      </c>
      <c r="M3" s="361" t="s">
        <v>487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1" t="str">
        <f>IF((N6&gt;0),"OK","WAIT")</f>
        <v>OK</v>
      </c>
      <c r="P3" s="357"/>
      <c r="R3" s="332"/>
      <c r="S3" s="375" t="s">
        <v>453</v>
      </c>
      <c r="T3" s="323">
        <v>17</v>
      </c>
      <c r="U3" s="315"/>
      <c r="V3" s="323" t="s">
        <v>180</v>
      </c>
      <c r="W3" s="323">
        <f>Sheet2!B42</f>
        <v>450</v>
      </c>
      <c r="X3" s="315"/>
      <c r="Y3" s="331" t="s">
        <v>488</v>
      </c>
      <c r="Z3" s="367">
        <v>8</v>
      </c>
      <c r="AA3" s="323">
        <v>50</v>
      </c>
      <c r="AB3" s="323">
        <f ref="AB3:AB11" t="shared" si="1">Z3*AA3</f>
        <v>400</v>
      </c>
      <c r="AD3" s="380" t="s">
        <v>487</v>
      </c>
      <c r="AE3" s="380">
        <f>IF((تسعير!AH28="3*3"),1,IF((تسعير!AH28="4*4"),2,no))</f>
        <v>2</v>
      </c>
      <c r="AF3" s="380"/>
      <c r="AG3" s="357"/>
    </row>
    <row r="4" ht="19.5" customHeight="1">
      <c r="A4" s="322" t="s">
        <v>485</v>
      </c>
      <c r="B4" s="323">
        <v>2.7</v>
      </c>
      <c r="C4" s="323">
        <v>13.5</v>
      </c>
      <c r="E4" s="323" t="s">
        <v>489</v>
      </c>
      <c r="F4" s="323">
        <f>Sheet2!B43</f>
        <v>130</v>
      </c>
      <c r="H4" s="556" t="s">
        <v>490</v>
      </c>
      <c r="I4" s="358">
        <v>2</v>
      </c>
      <c r="J4" s="359"/>
      <c r="K4" s="360">
        <f t="shared" si="0"/>
        <v>0</v>
      </c>
      <c r="M4" s="361" t="s">
        <v>491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200</v>
      </c>
      <c r="T4" s="323">
        <v>18.75</v>
      </c>
      <c r="U4" s="315"/>
      <c r="V4" s="323" t="s">
        <v>489</v>
      </c>
      <c r="W4" s="323">
        <f>Sheet2!B43</f>
        <v>130</v>
      </c>
      <c r="X4" s="315"/>
      <c r="Y4" s="331" t="s">
        <v>490</v>
      </c>
      <c r="Z4" s="367">
        <v>2</v>
      </c>
      <c r="AA4" s="323">
        <v>15</v>
      </c>
      <c r="AB4" s="323">
        <f t="shared" si="1"/>
        <v>30</v>
      </c>
      <c r="AD4" s="380" t="s">
        <v>491</v>
      </c>
      <c r="AE4" s="380">
        <f>IF((AE3=1),T3,IF((AE3=2),Table122[[#This Row],[ميزان]],no))</f>
        <v>18.75</v>
      </c>
      <c r="AF4" s="380"/>
      <c r="AG4" s="357"/>
    </row>
    <row r="5" ht="18.75">
      <c r="A5" s="322" t="s">
        <v>485</v>
      </c>
      <c r="B5" s="323">
        <v>3</v>
      </c>
      <c r="C5" s="323">
        <v>13.5</v>
      </c>
      <c r="E5" s="323" t="s">
        <v>201</v>
      </c>
      <c r="F5" s="323">
        <f>Sheet2!B44</f>
        <v>175</v>
      </c>
      <c r="H5" s="556" t="s">
        <v>492</v>
      </c>
      <c r="I5" s="358">
        <v>16</v>
      </c>
      <c r="J5" s="359">
        <v>10</v>
      </c>
      <c r="K5" s="360">
        <f t="shared" si="0"/>
        <v>160</v>
      </c>
      <c r="M5" s="361" t="s">
        <v>493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3"/>
      <c r="T5" s="323"/>
      <c r="U5" s="315"/>
      <c r="V5" s="323" t="s">
        <v>201</v>
      </c>
      <c r="W5" s="323">
        <f>Sheet2!B44</f>
        <v>175</v>
      </c>
      <c r="X5" s="315"/>
      <c r="Y5" s="331" t="s">
        <v>494</v>
      </c>
      <c r="Z5" s="367">
        <v>1</v>
      </c>
      <c r="AA5" s="323">
        <v>150</v>
      </c>
      <c r="AB5" s="323">
        <f t="shared" si="1"/>
        <v>150</v>
      </c>
      <c r="AD5" s="380" t="s">
        <v>493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.75">
      <c r="A6" s="322" t="s">
        <v>485</v>
      </c>
      <c r="B6" s="323">
        <v>3.5</v>
      </c>
      <c r="C6" s="323">
        <v>14.6</v>
      </c>
      <c r="E6" s="323" t="s">
        <v>495</v>
      </c>
      <c r="F6" s="323">
        <v>250</v>
      </c>
      <c r="H6" s="556" t="s">
        <v>496</v>
      </c>
      <c r="I6" s="358">
        <v>16</v>
      </c>
      <c r="J6" s="359">
        <v>1</v>
      </c>
      <c r="K6" s="360">
        <f t="shared" si="0"/>
        <v>16</v>
      </c>
      <c r="M6" s="361" t="s">
        <v>497</v>
      </c>
      <c r="N6" s="361">
        <f>(N5+'شماسي و كانتليفر'!F10)*(N4)</f>
        <v>3172.5</v>
      </c>
      <c r="O6" s="361" t="str">
        <f>IF((N5=0),"WAIT","OK")</f>
        <v>OK</v>
      </c>
      <c r="P6" s="357"/>
      <c r="R6" s="332"/>
      <c r="S6" s="323"/>
      <c r="T6" s="323">
        <v>37</v>
      </c>
      <c r="U6" s="315"/>
      <c r="V6" s="323" t="s">
        <v>498</v>
      </c>
      <c r="W6" s="323">
        <v>250</v>
      </c>
      <c r="X6" s="315"/>
      <c r="Y6" s="331" t="s">
        <v>499</v>
      </c>
      <c r="Z6" s="367">
        <v>1</v>
      </c>
      <c r="AA6" s="323">
        <v>150</v>
      </c>
      <c r="AB6" s="323">
        <f t="shared" si="1"/>
        <v>150</v>
      </c>
      <c r="AD6" s="380" t="s">
        <v>497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4406.25</v>
      </c>
      <c r="AF6" s="380"/>
      <c r="AG6" s="357"/>
    </row>
    <row r="7" ht="18.75">
      <c r="A7" s="322" t="s">
        <v>179</v>
      </c>
      <c r="B7" s="323">
        <v>2</v>
      </c>
      <c r="C7" s="323">
        <v>10.5</v>
      </c>
      <c r="E7" s="323" t="s">
        <v>9</v>
      </c>
      <c r="F7" s="323" t="s">
        <v>30</v>
      </c>
      <c r="H7" s="556" t="s">
        <v>500</v>
      </c>
      <c r="I7" s="358">
        <v>2</v>
      </c>
      <c r="J7" s="359">
        <v>80</v>
      </c>
      <c r="K7" s="360">
        <f t="shared" si="0"/>
        <v>160</v>
      </c>
      <c r="M7" s="361" t="s">
        <v>501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3"/>
      <c r="T7" s="323">
        <v>45</v>
      </c>
      <c r="U7" s="315"/>
      <c r="V7" s="323" t="s">
        <v>9</v>
      </c>
      <c r="W7" s="323" t="s">
        <v>30</v>
      </c>
      <c r="X7" s="315"/>
      <c r="Y7" s="331" t="s">
        <v>502</v>
      </c>
      <c r="Z7" s="367">
        <v>1</v>
      </c>
      <c r="AA7" s="323">
        <v>150</v>
      </c>
      <c r="AB7" s="323">
        <f t="shared" si="1"/>
        <v>150</v>
      </c>
      <c r="AD7" s="380" t="s">
        <v>501</v>
      </c>
      <c r="AE7" s="380">
        <f>IF((تسعير!AJ28="اسباني"),W3,IF((تسعير!AJ28="بولي استر"),W5,IF((تسعير!AJ28="hdpe"),W4,IF((تسعير!AJ28="مصري"),W6,0))))</f>
        <v>175</v>
      </c>
      <c r="AF7" s="380"/>
      <c r="AG7" s="357"/>
    </row>
    <row r="8" ht="18.75">
      <c r="A8" s="322" t="s">
        <v>179</v>
      </c>
      <c r="B8" s="323">
        <v>2.5</v>
      </c>
      <c r="C8" s="323">
        <v>11.75</v>
      </c>
      <c r="E8" s="323" t="s">
        <v>176</v>
      </c>
      <c r="F8" s="323">
        <f>Table626[[#This Row],[Column2]]</f>
        <v>60</v>
      </c>
      <c r="H8" s="556" t="s">
        <v>503</v>
      </c>
      <c r="I8" s="358">
        <v>2</v>
      </c>
      <c r="J8" s="359">
        <v>20</v>
      </c>
      <c r="K8" s="360">
        <f t="shared" si="0"/>
        <v>40</v>
      </c>
      <c r="M8" s="361" t="s">
        <v>504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17.1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3"/>
      <c r="T8" s="323"/>
      <c r="U8" s="315"/>
      <c r="V8" s="323" t="s">
        <v>176</v>
      </c>
      <c r="W8" s="323">
        <f>Sheet2!B15/1000</f>
        <v>60</v>
      </c>
      <c r="X8" s="315"/>
      <c r="Y8" s="331" t="s">
        <v>505</v>
      </c>
      <c r="Z8" s="367">
        <v>2</v>
      </c>
      <c r="AA8" s="323">
        <v>50</v>
      </c>
      <c r="AB8" s="323">
        <f t="shared" si="1"/>
        <v>100</v>
      </c>
      <c r="AD8" s="380" t="s">
        <v>504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.75">
      <c r="A9" s="322" t="s">
        <v>179</v>
      </c>
      <c r="B9" s="323">
        <v>3</v>
      </c>
      <c r="C9" s="323">
        <v>13.5</v>
      </c>
      <c r="E9" s="323" t="s">
        <v>168</v>
      </c>
      <c r="F9" s="323">
        <f>Table626[[#This Row],[Column2]]</f>
        <v>25</v>
      </c>
      <c r="H9" s="556" t="s">
        <v>506</v>
      </c>
      <c r="I9" s="358">
        <v>7</v>
      </c>
      <c r="J9" s="359">
        <v>5</v>
      </c>
      <c r="K9" s="360">
        <f t="shared" si="0"/>
        <v>35</v>
      </c>
      <c r="M9" s="361" t="s">
        <v>507</v>
      </c>
      <c r="N9" s="361">
        <f>N8*N7</f>
        <v>7695.0000000000009</v>
      </c>
      <c r="O9" s="361"/>
      <c r="P9" s="357"/>
      <c r="R9" s="332"/>
      <c r="S9" s="323"/>
      <c r="T9" s="323"/>
      <c r="U9" s="315"/>
      <c r="V9" s="323" t="s">
        <v>168</v>
      </c>
      <c r="W9" s="323">
        <f>Sheet2!B41</f>
        <v>25</v>
      </c>
      <c r="X9" s="315"/>
      <c r="Y9" s="331" t="s">
        <v>508</v>
      </c>
      <c r="Z9" s="367">
        <v>36</v>
      </c>
      <c r="AA9" s="323">
        <v>25</v>
      </c>
      <c r="AB9" s="323">
        <f t="shared" si="1"/>
        <v>900</v>
      </c>
      <c r="AD9" s="380" t="s">
        <v>507</v>
      </c>
      <c r="AE9" s="380">
        <f>AE8*AE7</f>
        <v>4200</v>
      </c>
      <c r="AF9" s="380"/>
      <c r="AG9" s="357"/>
    </row>
    <row r="10" ht="18.75">
      <c r="A10" s="322" t="s">
        <v>179</v>
      </c>
      <c r="B10" s="323">
        <v>3.3</v>
      </c>
      <c r="C10" s="323">
        <v>16.5</v>
      </c>
      <c r="E10" s="323" t="s">
        <v>225</v>
      </c>
      <c r="F10" s="323">
        <f>W11</f>
        <v>210</v>
      </c>
      <c r="H10" s="556" t="s">
        <v>509</v>
      </c>
      <c r="I10" s="358">
        <v>8</v>
      </c>
      <c r="J10" s="359">
        <v>50</v>
      </c>
      <c r="K10" s="360">
        <f t="shared" si="0"/>
        <v>400</v>
      </c>
      <c r="M10" s="361" t="s">
        <v>510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4361</v>
      </c>
      <c r="O10" s="361"/>
      <c r="P10" s="357"/>
      <c r="R10" s="332"/>
      <c r="S10" s="323"/>
      <c r="T10" s="323"/>
      <c r="U10" s="315"/>
      <c r="V10" s="323" t="s">
        <v>511</v>
      </c>
      <c r="W10" s="323">
        <v>90</v>
      </c>
      <c r="X10" s="315"/>
      <c r="Y10" s="331" t="s">
        <v>512</v>
      </c>
      <c r="Z10" s="367">
        <v>1</v>
      </c>
      <c r="AA10" s="323">
        <v>75</v>
      </c>
      <c r="AB10" s="323">
        <f t="shared" si="1"/>
        <v>75</v>
      </c>
      <c r="AD10" s="380" t="s">
        <v>510</v>
      </c>
      <c r="AE10" s="380">
        <f>IF(تسعير!AG28="جملة",(((W12+W13)/2)+Table424[[#Totals],[قيمة]]),IF(تسعير!AG28="قطاعي",(((W12+W13))+Table424[[#Totals],[قيمة]]),0))</f>
        <v>7830</v>
      </c>
      <c r="AF10" s="380"/>
      <c r="AG10" s="357"/>
    </row>
    <row r="11" ht="18.75">
      <c r="A11" s="553"/>
      <c r="B11" s="553"/>
      <c r="C11" s="555"/>
      <c r="E11" s="324" t="s">
        <v>513</v>
      </c>
      <c r="F11" s="325">
        <v>450</v>
      </c>
      <c r="H11" s="366" t="s">
        <v>514</v>
      </c>
      <c r="I11" s="362"/>
      <c r="J11" s="363"/>
      <c r="K11" s="364">
        <v>250</v>
      </c>
      <c r="M11" s="361" t="s">
        <v>515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5"/>
      <c r="T11" s="315"/>
      <c r="U11" s="315"/>
      <c r="V11" s="323" t="s">
        <v>225</v>
      </c>
      <c r="W11" s="323">
        <f>Sheet2!B14/1000</f>
        <v>210</v>
      </c>
      <c r="X11" s="315"/>
      <c r="Y11" s="331" t="s">
        <v>516</v>
      </c>
      <c r="Z11" s="367">
        <v>1</v>
      </c>
      <c r="AA11" s="323">
        <v>75</v>
      </c>
      <c r="AB11" s="323">
        <f t="shared" si="1"/>
        <v>75</v>
      </c>
      <c r="AD11" s="380" t="s">
        <v>515</v>
      </c>
      <c r="AE11" s="380">
        <f>IF(تسعير!AK28="no",0,W14)</f>
        <v>1200</v>
      </c>
      <c r="AF11" s="380"/>
      <c r="AG11" s="357"/>
    </row>
    <row r="12" ht="18.75">
      <c r="A12" s="320"/>
      <c r="E12" s="326" t="s">
        <v>517</v>
      </c>
      <c r="F12" s="327">
        <v>450</v>
      </c>
      <c r="H12" s="365" t="s">
        <v>518</v>
      </c>
      <c r="I12" s="358"/>
      <c r="J12" s="359"/>
      <c r="K12" s="365">
        <v>2700</v>
      </c>
      <c r="M12" s="361" t="s">
        <v>519</v>
      </c>
      <c r="N12" s="361">
        <f>'شماسي و كانتليفر'!K12</f>
        <v>2700</v>
      </c>
      <c r="O12" s="361"/>
      <c r="P12" s="357"/>
      <c r="R12" s="332"/>
      <c r="S12" s="315"/>
      <c r="T12" s="315"/>
      <c r="U12" s="315"/>
      <c r="V12" s="323" t="s">
        <v>513</v>
      </c>
      <c r="W12" s="323">
        <v>500</v>
      </c>
      <c r="X12" s="315"/>
      <c r="Y12" s="380" t="s">
        <v>518</v>
      </c>
      <c r="Z12" s="367"/>
      <c r="AA12" s="323"/>
      <c r="AB12" s="217">
        <f>Sheet2!B45</f>
        <v>4000</v>
      </c>
      <c r="AD12" s="380" t="s">
        <v>520</v>
      </c>
      <c r="AE12" s="380">
        <f>IF(تسعير!AG28="نصف جملة",((AE6+AE9+AE10+AE11+تسعير!AL28)*1.25),IF(تسعير!AG28="جملة",(((AE6+AE9+AE10+AE11+تسعير!AL28)*1.275)),((AE6+AE9+AE10+AE11+تسعير!AL28)*1.3)))</f>
        <v>22927.125</v>
      </c>
      <c r="AF12" s="380"/>
      <c r="AG12" s="357"/>
    </row>
    <row r="13" ht="18.75">
      <c r="A13" s="320"/>
      <c r="E13" s="328" t="s">
        <v>521</v>
      </c>
      <c r="F13" s="329">
        <v>1200</v>
      </c>
      <c r="H13" s="330" t="s">
        <v>58</v>
      </c>
      <c r="I13" s="363"/>
      <c r="J13" s="363"/>
      <c r="K13" s="366">
        <f>SUBTOTAL(109,Table4[قيمة])</f>
        <v>3911</v>
      </c>
      <c r="M13" s="361" t="s">
        <v>520</v>
      </c>
      <c r="N13" s="361">
        <f>IF(تسعير!AI8="نصف جملة",((N6+N9+N10+N11+تسعير!AO8)*1.275),IF(تسعير!AI8="جملة",(((N6+N9+N10+N11+تسعير!AO8)*1.25)),((N6+N9+N10+N11+تسعير!AO8)*1.3)))</f>
        <v>20535.625</v>
      </c>
      <c r="O13" s="361"/>
      <c r="P13" s="357"/>
      <c r="R13" s="332"/>
      <c r="S13" s="315"/>
      <c r="T13" s="315"/>
      <c r="U13" s="315"/>
      <c r="V13" s="323" t="s">
        <v>517</v>
      </c>
      <c r="W13" s="323">
        <v>500</v>
      </c>
      <c r="X13" s="315"/>
      <c r="Y13" s="331" t="s">
        <v>522</v>
      </c>
      <c r="Z13" s="367">
        <v>8</v>
      </c>
      <c r="AA13" s="323">
        <v>100</v>
      </c>
      <c r="AB13" s="323">
        <f>Table424[[#This Row],[سعر الوحدة]]*Table424[[#This Row],[عدد/الشمسية]]</f>
        <v>800</v>
      </c>
      <c r="AG13" s="357"/>
    </row>
    <row r="14" ht="18.75">
      <c r="A14" s="320"/>
      <c r="H14" s="331"/>
      <c r="I14" s="367"/>
      <c r="J14" s="323"/>
      <c r="K14" s="323"/>
      <c r="M14" s="361"/>
      <c r="N14" s="361"/>
      <c r="O14" s="361"/>
      <c r="P14" s="357"/>
      <c r="R14" s="332"/>
      <c r="S14" s="315"/>
      <c r="T14" s="315"/>
      <c r="U14" s="315"/>
      <c r="V14" s="323" t="s">
        <v>521</v>
      </c>
      <c r="W14" s="323">
        <f>Sheet2!B54</f>
        <v>1200</v>
      </c>
      <c r="X14" s="315"/>
      <c r="Y14" s="331"/>
      <c r="Z14" s="367"/>
      <c r="AA14" s="323"/>
      <c r="AB14" s="323"/>
      <c r="AG14" s="357"/>
    </row>
    <row r="15" ht="18.75">
      <c r="A15" s="320"/>
      <c r="H15" s="316" t="s">
        <v>198</v>
      </c>
      <c r="I15" s="315" t="s">
        <v>523</v>
      </c>
      <c r="J15" s="315" t="s">
        <v>524</v>
      </c>
      <c r="K15" s="315" t="s">
        <v>525</v>
      </c>
      <c r="M15" s="361"/>
      <c r="N15" s="361"/>
      <c r="O15" s="361"/>
      <c r="P15" s="357"/>
      <c r="R15" s="332"/>
      <c r="S15" s="315"/>
      <c r="T15" s="315"/>
      <c r="U15" s="315"/>
      <c r="V15" s="316"/>
      <c r="W15" s="315"/>
      <c r="X15" s="315"/>
      <c r="Y15" s="331" t="s">
        <v>58</v>
      </c>
      <c r="Z15" s="323"/>
      <c r="AA15" s="323"/>
      <c r="AB15" s="323">
        <f>SUBTOTAL(109,Table424[قيمة])</f>
        <v>6830</v>
      </c>
      <c r="AG15" s="357"/>
    </row>
    <row r="16" ht="18.75">
      <c r="A16" s="320"/>
      <c r="E16" s="316" t="s">
        <v>9</v>
      </c>
      <c r="F16" s="316" t="s">
        <v>30</v>
      </c>
      <c r="H16" s="323" t="s">
        <v>526</v>
      </c>
      <c r="I16" s="323">
        <v>5.8</v>
      </c>
      <c r="J16" s="323">
        <v>8.6</v>
      </c>
      <c r="K16" s="323">
        <v>11.4</v>
      </c>
      <c r="M16" s="361"/>
      <c r="N16" s="361">
        <f>N6+N9+N10+N11+تسعير!AO8</f>
        <v>16428.5</v>
      </c>
      <c r="O16" s="361"/>
      <c r="P16" s="357"/>
      <c r="R16" s="332"/>
      <c r="S16" s="315"/>
      <c r="T16" s="315"/>
      <c r="U16" s="315"/>
      <c r="V16" s="316"/>
      <c r="W16" s="315"/>
      <c r="X16" s="315"/>
      <c r="Y16" s="331"/>
      <c r="Z16" s="367"/>
      <c r="AA16" s="323"/>
      <c r="AB16" s="323"/>
      <c r="AG16" s="357"/>
    </row>
    <row r="17" ht="18.75">
      <c r="A17" s="332"/>
      <c r="E17" s="316" t="s">
        <v>199</v>
      </c>
      <c r="F17" s="315" t="s">
        <v>527</v>
      </c>
      <c r="H17" s="323" t="s">
        <v>528</v>
      </c>
      <c r="I17" s="323">
        <v>5.65</v>
      </c>
      <c r="J17" s="323" t="s">
        <v>529</v>
      </c>
      <c r="K17" s="323" t="s">
        <v>529</v>
      </c>
      <c r="P17" s="357"/>
      <c r="R17" s="332"/>
      <c r="V17" s="316" t="s">
        <v>9</v>
      </c>
      <c r="W17" s="315" t="s">
        <v>30</v>
      </c>
      <c r="X17" s="315"/>
      <c r="Y17" s="316" t="s">
        <v>198</v>
      </c>
      <c r="Z17" s="315" t="s">
        <v>523</v>
      </c>
      <c r="AA17" s="315" t="s">
        <v>524</v>
      </c>
      <c r="AB17" s="315" t="s">
        <v>525</v>
      </c>
      <c r="AG17" s="357"/>
    </row>
    <row r="18" ht="18.75">
      <c r="A18" s="332"/>
      <c r="E18" s="316" t="s">
        <v>178</v>
      </c>
      <c r="F18" s="315" t="s">
        <v>214</v>
      </c>
      <c r="H18" s="323" t="s">
        <v>530</v>
      </c>
      <c r="I18" s="323">
        <v>6.1</v>
      </c>
      <c r="J18" s="323" t="s">
        <v>529</v>
      </c>
      <c r="K18" s="323" t="s">
        <v>529</v>
      </c>
      <c r="P18" s="357"/>
      <c r="R18" s="332"/>
      <c r="V18" s="323" t="s">
        <v>199</v>
      </c>
      <c r="W18" s="331" t="s">
        <v>527</v>
      </c>
      <c r="X18" s="315"/>
      <c r="Y18" s="323" t="s">
        <v>453</v>
      </c>
      <c r="Z18" s="323">
        <v>10</v>
      </c>
      <c r="AA18" s="323">
        <v>13</v>
      </c>
      <c r="AB18" s="323">
        <v>16</v>
      </c>
      <c r="AG18" s="357"/>
    </row>
    <row r="19" ht="18.75">
      <c r="A19" s="332"/>
      <c r="E19" s="316" t="s">
        <v>531</v>
      </c>
      <c r="F19" s="315" t="s">
        <v>181</v>
      </c>
      <c r="H19" s="323" t="s">
        <v>532</v>
      </c>
      <c r="I19" s="323">
        <v>6.5</v>
      </c>
      <c r="J19" s="323" t="s">
        <v>529</v>
      </c>
      <c r="K19" s="323" t="s">
        <v>529</v>
      </c>
      <c r="P19" s="357"/>
      <c r="R19" s="332"/>
      <c r="V19" s="323" t="s">
        <v>178</v>
      </c>
      <c r="W19" s="331" t="s">
        <v>214</v>
      </c>
      <c r="X19" s="315"/>
      <c r="Y19" s="323" t="s">
        <v>200</v>
      </c>
      <c r="Z19" s="323">
        <v>16</v>
      </c>
      <c r="AA19" s="323">
        <v>20</v>
      </c>
      <c r="AB19" s="323">
        <v>24</v>
      </c>
      <c r="AG19" s="357"/>
    </row>
    <row r="20" ht="18.75">
      <c r="A20" s="332"/>
      <c r="F20" s="315" t="s">
        <v>533</v>
      </c>
      <c r="H20" s="323" t="s">
        <v>534</v>
      </c>
      <c r="I20" s="323">
        <v>7.5</v>
      </c>
      <c r="J20" s="323" t="s">
        <v>529</v>
      </c>
      <c r="K20" s="323" t="s">
        <v>529</v>
      </c>
      <c r="P20" s="357"/>
      <c r="R20" s="332"/>
      <c r="V20" s="323"/>
      <c r="W20" s="331" t="s">
        <v>181</v>
      </c>
      <c r="X20" s="315"/>
      <c r="Y20" s="323"/>
      <c r="Z20" s="323"/>
      <c r="AA20" s="323"/>
      <c r="AB20" s="323"/>
      <c r="AG20" s="357"/>
    </row>
    <row r="21" ht="18.75">
      <c r="A21" s="332"/>
      <c r="H21" s="323" t="s">
        <v>535</v>
      </c>
      <c r="I21" s="323">
        <v>7.1</v>
      </c>
      <c r="J21" s="323">
        <v>10.6</v>
      </c>
      <c r="K21" s="323">
        <v>14.1</v>
      </c>
      <c r="P21" s="357"/>
      <c r="R21" s="332"/>
      <c r="V21" s="316"/>
      <c r="W21" s="315"/>
      <c r="X21" s="315"/>
      <c r="Y21" s="323"/>
      <c r="Z21" s="323"/>
      <c r="AA21" s="323"/>
      <c r="AB21" s="323"/>
      <c r="AG21" s="357"/>
    </row>
    <row r="22" ht="18.75">
      <c r="A22" s="332"/>
      <c r="H22" s="323" t="s">
        <v>536</v>
      </c>
      <c r="I22" s="323">
        <v>8.5</v>
      </c>
      <c r="J22" s="323">
        <v>12.8</v>
      </c>
      <c r="K22" s="323">
        <v>17.1</v>
      </c>
      <c r="P22" s="357"/>
      <c r="R22" s="332"/>
      <c r="AG22" s="357"/>
    </row>
    <row r="23" ht="18.75">
      <c r="A23" s="332"/>
      <c r="H23" s="323" t="s">
        <v>537</v>
      </c>
      <c r="I23" s="323">
        <v>9.4</v>
      </c>
      <c r="J23" s="323">
        <v>14</v>
      </c>
      <c r="K23" s="323">
        <v>18.5</v>
      </c>
      <c r="P23" s="357"/>
      <c r="R23" s="332"/>
      <c r="AG23" s="357"/>
    </row>
    <row r="24" ht="18.75">
      <c r="A24" s="320"/>
      <c r="H24" s="554"/>
      <c r="I24" s="554"/>
      <c r="J24" s="554"/>
      <c r="K24" s="554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7"/>
      <c r="B26" s="318"/>
      <c r="C26" s="318"/>
      <c r="D26" s="318"/>
      <c r="E26" s="319"/>
      <c r="F26" s="318"/>
      <c r="G26" s="318"/>
      <c r="H26" s="318"/>
      <c r="I26" s="318"/>
      <c r="J26" s="318"/>
      <c r="K26" s="318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479</v>
      </c>
      <c r="C27" s="337" t="s">
        <v>29</v>
      </c>
      <c r="D27" s="337" t="s">
        <v>538</v>
      </c>
      <c r="E27" s="338" t="s">
        <v>451</v>
      </c>
      <c r="F27" s="337" t="s">
        <v>539</v>
      </c>
      <c r="G27" s="337" t="s">
        <v>445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2</v>
      </c>
      <c r="B28" s="323">
        <v>80</v>
      </c>
      <c r="C28" s="331" t="s">
        <v>540</v>
      </c>
      <c r="D28" s="323">
        <f>Sheet2!B12/1000</f>
        <v>40</v>
      </c>
      <c r="E28" s="316">
        <f>Table12[[#This Row],[سعر]]*Table12[[#This Row],[ميزان]]*Table12[[#This Row],[عدد]]</f>
        <v>6400</v>
      </c>
      <c r="F28" s="315">
        <f>16*3.14*Table12[[#This Row],[عدد]]*0.05</f>
        <v>5.0240000000000009</v>
      </c>
      <c r="G28" s="315">
        <f>Table12[[#This Row],[ميزان]]*Table12[[#This Row],[عدد]]</f>
        <v>160</v>
      </c>
      <c r="U28" s="377"/>
    </row>
    <row r="29" ht="35.25" customHeight="1">
      <c r="A29" s="339">
        <f>IF((تسعير!T53="بالتات"),(تسعير!T47+1),0)</f>
        <v>0</v>
      </c>
      <c r="B29" s="323">
        <v>64</v>
      </c>
      <c r="C29" s="331" t="s">
        <v>541</v>
      </c>
      <c r="D29" s="323">
        <f>Sheet2!B12/1000</f>
        <v>40</v>
      </c>
      <c r="E29" s="316">
        <f>Table12[[#This Row],[سعر]]*Table12[[#This Row],[ميزان]]*Table12[[#This Row],[عدد]]</f>
        <v>0</v>
      </c>
      <c r="F29" s="340">
        <f>16*3.14*Table12[[#This Row],[عدد]]*0.04</f>
        <v>0</v>
      </c>
      <c r="G29" s="315">
        <f>Table12[[#This Row],[ميزان]]*Table12[[#This Row],[عدد]]</f>
        <v>0</v>
      </c>
      <c r="I29" s="216"/>
      <c r="J29" s="216"/>
      <c r="K29" s="217"/>
      <c r="L29" s="638" t="s">
        <v>133</v>
      </c>
      <c r="M29" s="638"/>
      <c r="N29" s="638"/>
      <c r="O29" s="638"/>
      <c r="P29" s="638"/>
      <c r="Q29" s="638"/>
      <c r="R29" s="216"/>
      <c r="S29" s="216"/>
      <c r="T29" s="216"/>
      <c r="U29" s="377"/>
    </row>
    <row r="30" ht="35.25" customHeight="1">
      <c r="A30" s="339">
        <f>A28+A29</f>
        <v>2</v>
      </c>
      <c r="B30" s="323">
        <v>28</v>
      </c>
      <c r="C30" s="331" t="s">
        <v>542</v>
      </c>
      <c r="D30" s="323">
        <f>Sheet2!B12/1000</f>
        <v>40</v>
      </c>
      <c r="E30" s="316">
        <f>Table12[[#This Row],[سعر]]*Table12[[#This Row],[ميزان]]*Table12[[#This Row],[عدد]]</f>
        <v>2240</v>
      </c>
      <c r="F30" s="315">
        <f>3*6*Table12[[#This Row],[عدد]]/10</f>
        <v>3.6</v>
      </c>
      <c r="G30" s="315">
        <f>Table12[[#This Row],[ميزان]]*Table12[[#This Row],[عدد]]</f>
        <v>56</v>
      </c>
      <c r="I30" s="211" t="s">
        <v>543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3">
        <v>15</v>
      </c>
      <c r="C31" s="331" t="s">
        <v>544</v>
      </c>
      <c r="D31" s="323">
        <f>(Sheet2!B12/1000)+20</f>
        <v>60</v>
      </c>
      <c r="E31" s="316">
        <f>Table12[[#This Row],[سعر]]*Table12[[#This Row],[ميزان]]*Table12[[#This Row],[عدد]]</f>
        <v>1800</v>
      </c>
      <c r="F31" s="315">
        <f>0.15*Table12[[#This Row],[عدد]]*6</f>
        <v>1.7999999999999998</v>
      </c>
      <c r="I31" s="212">
        <v>4</v>
      </c>
      <c r="J31" s="371" t="s">
        <v>139</v>
      </c>
      <c r="K31" s="211">
        <f>IF((Table161243[[#This Row],[موقع العمل]]="المصنع"),Sheet2!$B$58,IF((Table161243[[#This Row],[موقع العمل]]="الاسكندرية"),Sheet2!$B$58,Sheet2!$B$59))</f>
        <v>250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1" s="240">
        <f>Table161243[[#This Row],[الايام]]*Q31</f>
        <v>1000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3">
        <v>23</v>
      </c>
      <c r="C32" s="331" t="s">
        <v>545</v>
      </c>
      <c r="D32" s="323">
        <f>(Sheet2!B12/1000)+20</f>
        <v>60</v>
      </c>
      <c r="E32" s="316">
        <f>Table12[[#This Row],[سعر]]*Table12[[#This Row],[ميزان]]*Table12[[#This Row],[عدد]]</f>
        <v>5520</v>
      </c>
      <c r="F32" s="315">
        <f>0.15*Table12[[#This Row],[عدد]]*6</f>
        <v>3.5999999999999996</v>
      </c>
      <c r="I32" s="212">
        <v>2</v>
      </c>
      <c r="J32" s="371" t="s">
        <v>141</v>
      </c>
      <c r="K32" s="211">
        <f>IF((Table161243[[#This Row],[موقع العمل]]="المصنع"),Sheet2!$B$58,IF((Table161243[[#This Row],[موقع العمل]]="الاسكندرية"),Sheet2!$B$58,Sheet2!$B$59))</f>
        <v>250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2" s="240">
        <f>Table161243[[#This Row],[الايام]]*Q32</f>
        <v>500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3">
        <v>1</v>
      </c>
      <c r="C33" s="331" t="s">
        <v>246</v>
      </c>
      <c r="D33" s="323">
        <f>Sheet2!B50</f>
        <v>150</v>
      </c>
      <c r="E33" s="316">
        <f>Table12[[#This Row],[سعر]]*Table12[[#This Row],[ميزان]]*Table12[[#This Row],[عدد]]</f>
        <v>300</v>
      </c>
      <c r="I33" s="212">
        <v>3</v>
      </c>
      <c r="J33" s="371" t="s">
        <v>142</v>
      </c>
      <c r="K33" s="211">
        <f>IF((Table161243[[#This Row],[موقع العمل]]="المصنع"),Sheet2!$B$58,IF((Table161243[[#This Row],[موقع العمل]]="الاسكندرية"),Sheet2!$B$58,Sheet2!$B$59))</f>
        <v>250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3" s="240">
        <f>Table161243[[#This Row],[الايام]]*Q33</f>
        <v>1500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3">
        <v>1</v>
      </c>
      <c r="C34" s="331" t="s">
        <v>546</v>
      </c>
      <c r="D34" s="323">
        <f>Sheet2!B51</f>
        <v>150</v>
      </c>
      <c r="E34" s="316">
        <f>Table12[[#This Row],[سعر]]*Table12[[#This Row],[ميزان]]*Table12[[#This Row],[عدد]]</f>
        <v>1800</v>
      </c>
      <c r="I34" s="212">
        <v>0</v>
      </c>
      <c r="J34" s="371" t="s">
        <v>143</v>
      </c>
      <c r="K34" s="211">
        <f>IF((Table161243[[#This Row],[موقع العمل]]="المصنع"),Sheet2!$B$58,IF((Table161243[[#This Row],[موقع العمل]]="الاسكندرية"),Sheet2!$B$58,Sheet2!$B$59))</f>
        <v>250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3">
        <v>1</v>
      </c>
      <c r="C35" s="331" t="s">
        <v>547</v>
      </c>
      <c r="D35" s="323">
        <f>Sheet2!B53</f>
        <v>80</v>
      </c>
      <c r="E35" s="316">
        <f>Table12[[#This Row],[سعر]]*Table12[[#This Row],[ميزان]]*Table12[[#This Row],[عدد]]</f>
        <v>320</v>
      </c>
      <c r="I35" s="212">
        <v>4</v>
      </c>
      <c r="J35" s="371" t="s">
        <v>144</v>
      </c>
      <c r="K35" s="211">
        <f>IF((Table161243[[#This Row],[موقع العمل]]="المصنع"),Sheet2!$B$58,IF((Table161243[[#This Row],[موقع العمل]]="الاسكندرية"),Sheet2!$B$58,Sheet2!$B$59))</f>
        <v>450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5" s="240">
        <f>Table161243[[#This Row],[الايام]]*Q35</f>
        <v>2200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3">
        <v>1</v>
      </c>
      <c r="C36" s="331" t="s">
        <v>548</v>
      </c>
      <c r="D36" s="323">
        <f>Sheet2!B47</f>
        <v>130</v>
      </c>
      <c r="E36" s="316">
        <f>Table12[[#This Row],[سعر]]*Table12[[#This Row],[ميزان]]*Table12[[#This Row],[عدد]]</f>
        <v>4290</v>
      </c>
      <c r="I36" s="212">
        <v>3</v>
      </c>
      <c r="J36" s="371" t="s">
        <v>145</v>
      </c>
      <c r="K36" s="211">
        <f>IF((Table161243[[#This Row],[موقع العمل]]="المصنع"),Sheet2!$B$58,IF((Table161243[[#This Row],[موقع العمل]]="الاسكندرية"),Sheet2!$B$58,Sheet2!$B$59))</f>
        <v>450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1100</v>
      </c>
      <c r="R36" s="240">
        <f>Table161243[[#This Row],[الايام]]*Q36</f>
        <v>3300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11.2</v>
      </c>
      <c r="B37" s="323">
        <v>1</v>
      </c>
      <c r="C37" s="331" t="s">
        <v>107</v>
      </c>
      <c r="D37" s="323">
        <f>Sheet2!B27</f>
        <v>510</v>
      </c>
      <c r="E37" s="342">
        <f>Table12[[#This Row],[سعر]]*Table12[[#This Row],[ميزان]]*Table12[[#This Row],[عدد]]</f>
        <v>5712</v>
      </c>
      <c r="F37" s="315">
        <f>ROUND((Table12[[#This Row],[Column7]]*1.8),1)</f>
        <v>20.2</v>
      </c>
      <c r="G37" s="343">
        <f>ROUND((F29+F30+F28+F48+F52+F31+F32)*0.8,1)</f>
        <v>11.2</v>
      </c>
      <c r="I37" s="212">
        <v>3</v>
      </c>
      <c r="J37" s="371" t="s">
        <v>146</v>
      </c>
      <c r="K37" s="211">
        <f>IF((Table161243[[#This Row],[موقع العمل]]="المصنع"),Sheet2!$B$58,IF((Table161243[[#This Row],[موقع العمل]]="الاسكندرية"),Sheet2!$B$58,Sheet2!$B$59))</f>
        <v>450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7" s="240">
        <f>Table161243[[#This Row],[الايام]]*Q37</f>
        <v>1650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11.2</v>
      </c>
      <c r="B38" s="323">
        <v>1</v>
      </c>
      <c r="C38" s="331" t="s">
        <v>106</v>
      </c>
      <c r="D38" s="323">
        <f>Sheet2!B26</f>
        <v>220</v>
      </c>
      <c r="E38" s="342">
        <f>Table12[[#This Row],[سعر]]*Table12[[#This Row],[ميزان]]*Table12[[#This Row],[عدد]]</f>
        <v>2464</v>
      </c>
      <c r="F38" s="315">
        <f>ROUND((Table12[[#This Row],[Column7]]*1.8),1)</f>
        <v>20.2</v>
      </c>
      <c r="G38" s="343">
        <f>ROUND((F29+F30+F28+F48+F52+F31+F32)*0.8,1)</f>
        <v>11.2</v>
      </c>
      <c r="I38" s="212">
        <v>0</v>
      </c>
      <c r="J38" s="371" t="s">
        <v>147</v>
      </c>
      <c r="K38" s="211">
        <f>IF((Table161243[[#This Row],[موقع العمل]]="المصنع"),Sheet2!$B$58,IF((Table161243[[#This Row],[موقع العمل]]="الاسكندرية"),Sheet2!$B$58,Sheet2!$B$59))</f>
        <v>450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5.6</v>
      </c>
      <c r="B39" s="323">
        <v>1</v>
      </c>
      <c r="C39" s="331" t="s">
        <v>45</v>
      </c>
      <c r="D39" s="323">
        <f>Sheet2!B26</f>
        <v>220</v>
      </c>
      <c r="E39" s="342">
        <f>Table12[[#This Row],[سعر]]*Table12[[#This Row],[ميزان]]*Table12[[#This Row],[عدد]]</f>
        <v>1232</v>
      </c>
      <c r="F39" s="315">
        <f>ROUND((Table12[[#This Row],[Column7]]*1.8),1)</f>
        <v>10.1</v>
      </c>
      <c r="G39" s="343">
        <f>ROUND((F29+F30+F28+F48+F52+F31+F32)*0.4,1)</f>
        <v>5.6</v>
      </c>
      <c r="I39" s="212">
        <f>(I35+I36+I37+I38)*2</f>
        <v>20</v>
      </c>
      <c r="J39" s="371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77"/>
    </row>
    <row r="40" ht="35.25" customHeight="1">
      <c r="A40" s="341">
        <f>ROUND((F29+F30)*0.4/3,0)</f>
        <v>0</v>
      </c>
      <c r="B40" s="323">
        <v>1</v>
      </c>
      <c r="C40" s="331" t="s">
        <v>103</v>
      </c>
      <c r="D40" s="323">
        <f>Sheet2!B24</f>
        <v>400</v>
      </c>
      <c r="E40" s="342">
        <f>Table12[[#This Row],[سعر]]*Table12[[#This Row],[ميزان]]*Table12[[#This Row],[عدد]]</f>
        <v>0</v>
      </c>
      <c r="I40" s="212">
        <f>((P35+P36+P37+P38)*2)-2</f>
        <v>6</v>
      </c>
      <c r="J40" s="371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77"/>
    </row>
    <row r="41" ht="35.25" customHeight="1">
      <c r="A41" s="341">
        <f>ROUND((F29+F30)*0.4,0)</f>
        <v>1</v>
      </c>
      <c r="B41" s="323">
        <v>1</v>
      </c>
      <c r="C41" s="331" t="s">
        <v>108</v>
      </c>
      <c r="D41" s="323">
        <f>Sheet2!B48</f>
        <v>25</v>
      </c>
      <c r="E41" s="342">
        <f>Table12[[#This Row],[سعر]]*Table12[[#This Row],[ميزان]]*Table12[[#This Row],[عدد]]</f>
        <v>25</v>
      </c>
      <c r="I41" s="212">
        <v>2</v>
      </c>
      <c r="J41" s="371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77"/>
    </row>
    <row r="42" ht="35.25" customHeight="1">
      <c r="A42" s="341">
        <f>ROUND((F29+F30)*0.4,0)</f>
        <v>1</v>
      </c>
      <c r="B42" s="323">
        <v>1</v>
      </c>
      <c r="C42" s="331" t="s">
        <v>110</v>
      </c>
      <c r="D42" s="323">
        <f>Sheet2!B48</f>
        <v>25</v>
      </c>
      <c r="E42" s="342">
        <f>Table12[[#This Row],[سعر]]*Table12[[#This Row],[ميزان]]*Table12[[#This Row],[عدد]]</f>
        <v>25</v>
      </c>
      <c r="I42" s="212">
        <v>2</v>
      </c>
      <c r="J42" s="371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3100</v>
      </c>
      <c r="P42" s="247"/>
      <c r="Q42" s="243">
        <f>Table161243[[#This Row],[Column12]]</f>
        <v>3100</v>
      </c>
      <c r="R42" s="240">
        <f t="shared" si="3"/>
        <v>6200</v>
      </c>
      <c r="S42" s="241" t="e">
        <f t="shared" si="2"/>
        <v>#DIV/0!</v>
      </c>
      <c r="U42" s="377"/>
    </row>
    <row r="43" ht="35.25" customHeight="1">
      <c r="A43" s="341">
        <f>ROUND((F29+F30)*0.4,0)</f>
        <v>1</v>
      </c>
      <c r="B43" s="323">
        <v>1</v>
      </c>
      <c r="C43" s="331" t="s">
        <v>111</v>
      </c>
      <c r="D43" s="323">
        <v>25</v>
      </c>
      <c r="E43" s="342">
        <f>Table12[[#This Row],[سعر]]*Table12[[#This Row],[ميزان]]*Table12[[#This Row],[عدد]]</f>
        <v>25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77"/>
    </row>
    <row r="44" ht="35.25" customHeight="1">
      <c r="A44" s="341">
        <f>ROUND((F29+F30)*0.4,0)</f>
        <v>1</v>
      </c>
      <c r="B44" s="323">
        <v>1</v>
      </c>
      <c r="C44" s="331" t="s">
        <v>113</v>
      </c>
      <c r="D44" s="323">
        <f>Sheet2!B48</f>
        <v>25</v>
      </c>
      <c r="E44" s="342">
        <f>Table12[[#This Row],[سعر]]*Table12[[#This Row],[ميزان]]*Table12[[#This Row],[عدد]]</f>
        <v>25</v>
      </c>
      <c r="I44" s="561"/>
      <c r="J44" s="562" t="s">
        <v>58</v>
      </c>
      <c r="K44" s="560"/>
      <c r="L44" s="560"/>
      <c r="M44" s="563"/>
      <c r="N44" s="563"/>
      <c r="O44" s="799">
        <f>SUBTOTAL(109,Table161243[Column12])</f>
        <v>5090</v>
      </c>
      <c r="P44" s="560"/>
      <c r="Q44" s="564"/>
      <c r="R44" s="565">
        <f>SUBTOTAL(109,Table161243[اجمالي])</f>
        <v>23970</v>
      </c>
      <c r="S44" s="566" t="e">
        <f>Table161243[[#Totals],[اجمالي]]/$G$84</f>
        <v>#DIV/0!</v>
      </c>
      <c r="U44" s="377"/>
    </row>
    <row r="45" ht="35.25" customHeight="1">
      <c r="A45" s="341">
        <f>ROUND((F29+F30)*0.4/3,0)</f>
        <v>0</v>
      </c>
      <c r="B45" s="323">
        <v>1</v>
      </c>
      <c r="C45" s="331" t="s">
        <v>114</v>
      </c>
      <c r="D45" s="323">
        <v>40</v>
      </c>
      <c r="E45" s="342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3">
        <v>1</v>
      </c>
      <c r="C46" s="331" t="s">
        <v>132</v>
      </c>
      <c r="D46" s="323">
        <v>20</v>
      </c>
      <c r="E46" s="316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2</v>
      </c>
      <c r="B47" s="323">
        <v>1</v>
      </c>
      <c r="C47" s="331" t="s">
        <v>549</v>
      </c>
      <c r="D47" s="323">
        <f>Sheet2!B49</f>
        <v>1200</v>
      </c>
      <c r="E47" s="342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77"/>
    </row>
    <row r="48" ht="25.5" customHeight="1">
      <c r="A48" s="341">
        <f>IF((تسعير!T53="بالتات"),(A28+A29),0)</f>
        <v>0</v>
      </c>
      <c r="B48" s="323">
        <v>30</v>
      </c>
      <c r="C48" s="331" t="s">
        <v>550</v>
      </c>
      <c r="D48" s="323">
        <f>Sheet2!B12/1000</f>
        <v>40</v>
      </c>
      <c r="E48" s="342">
        <f>Table12[[#This Row],[سعر]]*Table12[[#This Row],[ميزان]]*Table12[[#This Row],[عدد]]</f>
        <v>0</v>
      </c>
      <c r="F48" s="315">
        <f>0.5*0.5*Table12[[#This Row],[عدد]]</f>
        <v>0</v>
      </c>
      <c r="G48" s="315">
        <f>Table12[[#This Row],[ميزان]]*Table12[[#This Row],[عدد]]</f>
        <v>0</v>
      </c>
      <c r="J48" s="213" t="s">
        <v>551</v>
      </c>
      <c r="K48" s="214"/>
      <c r="L48" s="211"/>
      <c r="M48" s="282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0</v>
      </c>
      <c r="B49" s="323">
        <v>1</v>
      </c>
      <c r="C49" s="331" t="s">
        <v>552</v>
      </c>
      <c r="D49" s="323">
        <v>250</v>
      </c>
      <c r="E49" s="342">
        <f>Table12[[#This Row],[سعر]]*Table12[[#This Row],[ميزان]]*Table12[[#This Row],[عدد]]</f>
        <v>0</v>
      </c>
      <c r="J49" s="372" t="s">
        <v>553</v>
      </c>
      <c r="K49" s="214"/>
      <c r="L49" s="211"/>
      <c r="M49" s="282"/>
      <c r="N49" s="283">
        <f>Table12[[#Totals],[Column5]]+Table161243[[#Totals],[اجمالي]]</f>
        <v>60148</v>
      </c>
      <c r="U49" s="377"/>
    </row>
    <row r="50" ht="25.5" customHeight="1">
      <c r="A50" s="341">
        <f>A47*2</f>
        <v>4</v>
      </c>
      <c r="B50" s="323">
        <v>10</v>
      </c>
      <c r="C50" s="331" t="s">
        <v>554</v>
      </c>
      <c r="D50" s="323">
        <f>Sheet2!B12/1000</f>
        <v>40</v>
      </c>
      <c r="E50" s="342">
        <f>Table12[[#This Row],[سعر]]*Table12[[#This Row],[ميزان]]*Table12[[#This Row],[عدد]]</f>
        <v>1600</v>
      </c>
      <c r="J50" s="213" t="s">
        <v>155</v>
      </c>
      <c r="K50" s="214"/>
      <c r="L50" s="211"/>
      <c r="M50" s="282"/>
      <c r="N50" s="283">
        <f>N49+N48</f>
        <v>60148</v>
      </c>
      <c r="U50" s="377"/>
    </row>
    <row r="51" ht="25.5" customHeight="1">
      <c r="A51" s="341">
        <f>ROUND((F29+F30)*0.4/3,0)</f>
        <v>0</v>
      </c>
      <c r="B51" s="323">
        <v>1</v>
      </c>
      <c r="C51" s="331" t="s">
        <v>81</v>
      </c>
      <c r="D51" s="323">
        <f>Sheet2!B28</f>
        <v>400</v>
      </c>
      <c r="E51" s="342">
        <f>Table12[[#This Row],[سعر]]*Table12[[#This Row],[ميزان]]*Table12[[#This Row],[عدد]]</f>
        <v>0</v>
      </c>
      <c r="J51" s="213" t="s">
        <v>156</v>
      </c>
      <c r="K51" s="214"/>
      <c r="L51" s="211"/>
      <c r="M51" s="312">
        <f>IF((M40="المقطم"),0.3,IF((M40="التجمع"),0.3,IF((M40="الشيخ زايد"),0.3,IF((M40="الاسكندرية"),0.5,IF((M40="الساحل"),0.5,0.35)))))</f>
        <v>0.3</v>
      </c>
      <c r="N51" s="283">
        <f>N50*(1+Table1856[[#This Row],[Column3]])</f>
        <v>78192.400000000009</v>
      </c>
      <c r="U51" s="377"/>
    </row>
    <row r="52" ht="25.5" customHeight="1">
      <c r="A52" s="341">
        <f>A48*4</f>
        <v>0</v>
      </c>
      <c r="B52" s="323">
        <v>1</v>
      </c>
      <c r="C52" s="331" t="s">
        <v>555</v>
      </c>
      <c r="D52" s="323">
        <f>Sheet2!B12/1000</f>
        <v>40</v>
      </c>
      <c r="E52" s="342">
        <f>Table12[[#This Row],[سعر]]*Table12[[#This Row],[ميزان]]*Table12[[#This Row],[عدد]]</f>
        <v>0</v>
      </c>
      <c r="F52" s="315">
        <f>0.15*0.15/2*Table12[[#This Row],[عدد]]</f>
        <v>0</v>
      </c>
      <c r="G52" s="315">
        <f>Table12[[#This Row],[ميزان]]*Table12[[#This Row],[عدد]]</f>
        <v>0</v>
      </c>
      <c r="U52" s="377"/>
    </row>
    <row r="53" ht="25.5" customHeight="1">
      <c r="A53" s="341">
        <f>ROUND((F29+F30)*0.4/3,0)</f>
        <v>0</v>
      </c>
      <c r="B53" s="323">
        <v>1</v>
      </c>
      <c r="C53" s="331" t="s">
        <v>556</v>
      </c>
      <c r="D53" s="323">
        <v>200</v>
      </c>
      <c r="E53" s="342">
        <f>Table12[[#This Row],[سعر]]*Table12[[#This Row],[ميزان]]*Table12[[#This Row],[عدد]]</f>
        <v>0</v>
      </c>
      <c r="U53" s="377"/>
    </row>
    <row r="54">
      <c r="A54" s="344" t="s">
        <v>58</v>
      </c>
      <c r="E54" s="342">
        <f>SUBTOTAL(109,Table12[Column5])</f>
        <v>36178</v>
      </c>
      <c r="F54" s="345">
        <f>Table12[[#Totals],[Column5]]/(تسعير!T54*تسعير!T55/10000)</f>
        <v>1447.12</v>
      </c>
      <c r="G54" s="315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7"/>
      <c r="B59" s="318"/>
      <c r="C59" s="318"/>
      <c r="D59" s="318"/>
      <c r="E59" s="319"/>
      <c r="F59" s="318"/>
      <c r="G59" s="318"/>
      <c r="H59" s="318"/>
      <c r="I59" s="318"/>
      <c r="J59" s="318"/>
      <c r="K59" s="318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479</v>
      </c>
      <c r="C60" s="337" t="s">
        <v>29</v>
      </c>
      <c r="D60" s="337" t="s">
        <v>538</v>
      </c>
      <c r="E60" s="338" t="s">
        <v>451</v>
      </c>
      <c r="F60" s="337" t="s">
        <v>539</v>
      </c>
      <c r="G60" s="337" t="s">
        <v>445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.75">
      <c r="A61" s="350">
        <f>IF((تسعير!T71="بالتات"),0,(تسعير!T65+1))</f>
        <v>2</v>
      </c>
      <c r="B61" s="323">
        <v>80</v>
      </c>
      <c r="C61" s="331" t="s">
        <v>540</v>
      </c>
      <c r="D61" s="323">
        <f>Sheet2!$B$12/1000</f>
        <v>40</v>
      </c>
      <c r="E61" s="316">
        <f>Table1257[[#This Row],[سعر]]*Table1257[[#This Row],[ميزان]]*Table1257[[#This Row],[عدد]]</f>
        <v>6400</v>
      </c>
      <c r="F61" s="315">
        <f>16*3.14*Table1257[[#This Row],[عدد]]*0.05</f>
        <v>5.0240000000000009</v>
      </c>
      <c r="G61" s="315">
        <f>Table1257[[#This Row],[ميزان]]*Table1257[[#This Row],[عدد]]</f>
        <v>160</v>
      </c>
    </row>
    <row r="62" ht="18.75">
      <c r="A62" s="350">
        <f>IF((تسعير!T71="بالتات"),(تسعير!T65+1),0)</f>
        <v>0</v>
      </c>
      <c r="B62" s="323">
        <v>64</v>
      </c>
      <c r="C62" s="331" t="s">
        <v>541</v>
      </c>
      <c r="D62" s="323">
        <f>Sheet2!$B$12/1000</f>
        <v>40</v>
      </c>
      <c r="E62" s="316">
        <f>Table1257[[#This Row],[سعر]]*Table1257[[#This Row],[ميزان]]*Table1257[[#This Row],[عدد]]</f>
        <v>0</v>
      </c>
      <c r="F62" s="340">
        <f>16*3.14*Table1257[[#This Row],[عدد]]*0.04</f>
        <v>0</v>
      </c>
      <c r="G62" s="315">
        <f>Table1257[[#This Row],[ميزان]]*Table1257[[#This Row],[عدد]]</f>
        <v>0</v>
      </c>
      <c r="I62" s="216"/>
      <c r="J62" s="216"/>
      <c r="K62" s="217"/>
      <c r="L62" s="638" t="s">
        <v>133</v>
      </c>
      <c r="M62" s="638"/>
      <c r="N62" s="638"/>
      <c r="O62" s="638"/>
      <c r="P62" s="638"/>
      <c r="Q62" s="638"/>
      <c r="R62" s="216"/>
      <c r="S62" s="216"/>
      <c r="T62" s="216"/>
    </row>
    <row r="63" ht="18.75">
      <c r="A63" s="350">
        <f>A61+A62</f>
        <v>2</v>
      </c>
      <c r="B63" s="323">
        <v>28</v>
      </c>
      <c r="C63" s="331" t="s">
        <v>542</v>
      </c>
      <c r="D63" s="323">
        <f>Sheet2!$B$12/1000</f>
        <v>40</v>
      </c>
      <c r="E63" s="316">
        <f>Table1257[[#This Row],[سعر]]*Table1257[[#This Row],[ميزان]]*Table1257[[#This Row],[عدد]]</f>
        <v>2240</v>
      </c>
      <c r="F63" s="315">
        <f>3*6*Table1257[[#This Row],[عدد]]/10</f>
        <v>3.6</v>
      </c>
      <c r="G63" s="315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3">
        <v>15</v>
      </c>
      <c r="C64" s="331" t="s">
        <v>544</v>
      </c>
      <c r="D64" s="323">
        <f>(Sheet2!B12/1000)+20</f>
        <v>60</v>
      </c>
      <c r="E64" s="316">
        <f>Table1257[[#This Row],[سعر]]*Table1257[[#This Row],[ميزان]]*Table1257[[#This Row],[عدد]]</f>
        <v>5400</v>
      </c>
      <c r="F64" s="315">
        <f>0.15*Table1257[[#This Row],[عدد]]*6</f>
        <v>5.3999999999999995</v>
      </c>
      <c r="I64" s="212">
        <v>4</v>
      </c>
      <c r="J64" s="371" t="s">
        <v>139</v>
      </c>
      <c r="K64" s="211">
        <f>IF((Table16124360[[#This Row],[موقع العمل]]="المصنع"),Sheet2!$B$58,IF((Table16124360[[#This Row],[موقع العمل]]="الاسكندرية"),Sheet2!$B$58,Sheet2!$B$59))</f>
        <v>250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3">
        <v>23</v>
      </c>
      <c r="C65" s="331" t="s">
        <v>557</v>
      </c>
      <c r="D65" s="323">
        <f>(Sheet2!B12/1000)+20</f>
        <v>60</v>
      </c>
      <c r="E65" s="316">
        <f>Table1257[[#This Row],[سعر]]*Table1257[[#This Row],[ميزان]]*Table1257[[#This Row],[عدد]]</f>
        <v>5520</v>
      </c>
      <c r="F65" s="315">
        <f>0.15*Table1257[[#This Row],[عدد]]*6</f>
        <v>3.5999999999999996</v>
      </c>
      <c r="I65" s="212">
        <v>2</v>
      </c>
      <c r="J65" s="371" t="s">
        <v>141</v>
      </c>
      <c r="K65" s="211">
        <f>IF((Table16124360[[#This Row],[موقع العمل]]="المصنع"),Sheet2!$B$58,IF((Table16124360[[#This Row],[موقع العمل]]="الاسكندرية"),Sheet2!$B$58,Sheet2!$B$59))</f>
        <v>250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50">
        <f>A63</f>
        <v>2</v>
      </c>
      <c r="B66" s="323">
        <v>1</v>
      </c>
      <c r="C66" s="331" t="s">
        <v>246</v>
      </c>
      <c r="D66" s="323">
        <f>Sheet2!B50</f>
        <v>150</v>
      </c>
      <c r="E66" s="316">
        <f>Table1257[[#This Row],[سعر]]*Table1257[[#This Row],[ميزان]]*Table1257[[#This Row],[عدد]]</f>
        <v>300</v>
      </c>
      <c r="I66" s="212">
        <v>3</v>
      </c>
      <c r="J66" s="371" t="s">
        <v>142</v>
      </c>
      <c r="K66" s="211">
        <f>IF((Table16124360[[#This Row],[موقع العمل]]="المصنع"),Sheet2!$B$58,IF((Table16124360[[#This Row],[موقع العمل]]="الاسكندرية"),Sheet2!$B$58,Sheet2!$B$59))</f>
        <v>250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50">
        <f>(A64+A65)*2</f>
        <v>20</v>
      </c>
      <c r="B67" s="323">
        <v>1</v>
      </c>
      <c r="C67" s="331" t="s">
        <v>546</v>
      </c>
      <c r="D67" s="323">
        <f>Sheet2!B51</f>
        <v>150</v>
      </c>
      <c r="E67" s="316">
        <f>Table1257[[#This Row],[سعر]]*Table1257[[#This Row],[ميزان]]*Table1257[[#This Row],[عدد]]</f>
        <v>3000</v>
      </c>
      <c r="I67" s="212">
        <v>0</v>
      </c>
      <c r="J67" s="371" t="s">
        <v>143</v>
      </c>
      <c r="K67" s="211">
        <f>IF((Table16124360[[#This Row],[موقع العمل]]="المصنع"),Sheet2!$B$58,IF((Table16124360[[#This Row],[موقع العمل]]="الاسكندرية"),Sheet2!$B$58,Sheet2!$B$59))</f>
        <v>250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3">
        <v>1</v>
      </c>
      <c r="C68" s="331" t="s">
        <v>547</v>
      </c>
      <c r="D68" s="323">
        <f>Sheet2!B53</f>
        <v>80</v>
      </c>
      <c r="E68" s="316">
        <f>Table1257[[#This Row],[سعر]]*Table1257[[#This Row],[ميزان]]*Table1257[[#This Row],[عدد]]</f>
        <v>320</v>
      </c>
      <c r="I68" s="212">
        <v>4</v>
      </c>
      <c r="J68" s="371" t="s">
        <v>144</v>
      </c>
      <c r="K68" s="211">
        <f>IF((Table16124360[[#This Row],[موقع العمل]]="المصنع"),Sheet2!$B$58,IF((Table16124360[[#This Row],[موقع العمل]]="الاسكندرية"),Sheet2!$B$58,Sheet2!$B$59))</f>
        <v>450</v>
      </c>
      <c r="L68" s="211">
        <f>SUMIF(Table17[Column1],Table16124360[[#This Row],[موقع العمل]],Table17[بدل الوجبة])</f>
        <v>150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1800</v>
      </c>
      <c r="R68" s="240">
        <f>Table16124360[[#This Row],[عدد]]*Q68</f>
        <v>7200</v>
      </c>
      <c r="S68" s="241" t="e">
        <f t="shared" si="5"/>
        <v>#DIV/0!</v>
      </c>
    </row>
    <row r="69" ht="21">
      <c r="A69" s="350">
        <f>تسعير!T65</f>
        <v>1</v>
      </c>
      <c r="B69" s="323">
        <v>1</v>
      </c>
      <c r="C69" s="331" t="s">
        <v>512</v>
      </c>
      <c r="D69" s="323">
        <f>Sheet2!B52</f>
        <v>250</v>
      </c>
      <c r="E69" s="316">
        <f>Table1257[[#This Row],[سعر]]*Table1257[[#This Row],[ميزان]]*Table1257[[#This Row],[عدد]]</f>
        <v>250</v>
      </c>
      <c r="F69" s="315">
        <f>16*3.14*Table1257[[#This Row],[عدد]]</f>
        <v>50.24</v>
      </c>
      <c r="I69" s="212">
        <v>3</v>
      </c>
      <c r="J69" s="371" t="s">
        <v>145</v>
      </c>
      <c r="K69" s="211">
        <f>IF((Table16124360[[#This Row],[موقع العمل]]="المصنع"),Sheet2!$B$58,IF((Table16124360[[#This Row],[موقع العمل]]="الاسكندرية"),Sheet2!$B$58,Sheet2!$B$59))</f>
        <v>450</v>
      </c>
      <c r="L69" s="211">
        <f>SUMIF(Table17[Column1],Table16124360[[#This Row],[موقع العمل]],Table17[بدل الوجبة])</f>
        <v>150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1200</v>
      </c>
      <c r="R69" s="240">
        <f>Table16124360[[#This Row],[عدد]]*Q69</f>
        <v>3600</v>
      </c>
      <c r="S69" s="241" t="e">
        <f t="shared" si="5"/>
        <v>#DIV/0!</v>
      </c>
    </row>
    <row r="70" ht="21">
      <c r="A70" s="350">
        <f>تسعير!T65*36</f>
        <v>36</v>
      </c>
      <c r="B70" s="323">
        <v>1</v>
      </c>
      <c r="C70" s="331" t="s">
        <v>548</v>
      </c>
      <c r="D70" s="323">
        <f>Sheet2!B47</f>
        <v>130</v>
      </c>
      <c r="E70" s="316">
        <f>Table1257[[#This Row],[سعر]]*Table1257[[#This Row],[ميزان]]*Table1257[[#This Row],[عدد]]</f>
        <v>4680</v>
      </c>
      <c r="I70" s="212">
        <v>3</v>
      </c>
      <c r="J70" s="371" t="s">
        <v>146</v>
      </c>
      <c r="K70" s="211">
        <f>IF((Table16124360[[#This Row],[موقع العمل]]="المصنع"),Sheet2!$B$58,IF((Table16124360[[#This Row],[موقع العمل]]="الاسكندرية"),Sheet2!$B$58,Sheet2!$B$59))</f>
        <v>450</v>
      </c>
      <c r="L70" s="211">
        <f>SUMIF(Table17[Column1],Table16124360[[#This Row],[موقع العمل]],Table17[بدل الوجبة])</f>
        <v>150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600</v>
      </c>
      <c r="R70" s="240">
        <f>Table16124360[[#This Row],[عدد]]*Q70</f>
        <v>1800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14.1</v>
      </c>
      <c r="B71" s="323">
        <v>1</v>
      </c>
      <c r="C71" s="331" t="s">
        <v>107</v>
      </c>
      <c r="D71" s="323">
        <f>Sheet2!B27</f>
        <v>510</v>
      </c>
      <c r="E71" s="342">
        <f>Table1257[[#This Row],[سعر]]*Table1257[[#This Row],[ميزان]]*Table1257[[#This Row],[عدد]]</f>
        <v>7191</v>
      </c>
      <c r="F71" s="315">
        <f>ROUND((Table1257[[#This Row],[Column7]]*1.8),1)</f>
        <v>25.4</v>
      </c>
      <c r="G71" s="343">
        <f>ROUND((F62+F63+F61+F82+F86+F64+F65)*0.8,1)</f>
        <v>14.1</v>
      </c>
      <c r="I71" s="212">
        <v>0</v>
      </c>
      <c r="J71" s="371" t="s">
        <v>147</v>
      </c>
      <c r="K71" s="211">
        <f>IF((Table16124360[[#This Row],[موقع العمل]]="المصنع"),Sheet2!$B$58,IF((Table16124360[[#This Row],[موقع العمل]]="الاسكندرية"),Sheet2!$B$58,Sheet2!$B$59))</f>
        <v>450</v>
      </c>
      <c r="L71" s="211">
        <f>SUMIF(Table17[Column1],Table16124360[[#This Row],[موقع العمل]],Table17[بدل الوجبة])</f>
        <v>150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1.76</v>
      </c>
      <c r="B72" s="323">
        <v>1</v>
      </c>
      <c r="C72" s="331" t="s">
        <v>106</v>
      </c>
      <c r="D72" s="323">
        <f>Sheet2!B26</f>
        <v>220</v>
      </c>
      <c r="E72" s="342">
        <f>Table1257[[#This Row],[سعر]]*Table1257[[#This Row],[ميزان]]*Table1257[[#This Row],[عدد]]</f>
        <v>387.2</v>
      </c>
      <c r="F72" s="315">
        <f>ROUND((Table1257[[#This Row],[Column7]]*1.8),1)</f>
        <v>3.2</v>
      </c>
      <c r="G72" s="343">
        <f>ROUND((F62+F63+F61+F82+F86+F64+F65)*0.1,2)</f>
        <v>1.76</v>
      </c>
      <c r="I72" s="212">
        <f>(I68+I69+I70+I71)*2</f>
        <v>20</v>
      </c>
      <c r="J72" s="371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3.4</v>
      </c>
      <c r="B73" s="323">
        <v>1</v>
      </c>
      <c r="C73" s="331" t="s">
        <v>45</v>
      </c>
      <c r="D73" s="323">
        <f>Sheet2!B25</f>
        <v>100</v>
      </c>
      <c r="E73" s="342">
        <f>Table1257[[#This Row],[سعر]]*Table1257[[#This Row],[ميزان]]*Table1257[[#This Row],[عدد]]</f>
        <v>340</v>
      </c>
      <c r="F73" s="315">
        <f>ROUND((Table1257[[#This Row],[Column7]]*1.8),1)</f>
        <v>6.1</v>
      </c>
      <c r="G73" s="343">
        <f>ROUND((F62+F63+F61+F82+F86)*0.4,1)</f>
        <v>3.4</v>
      </c>
      <c r="I73" s="212">
        <f>((P68+P69+P70+P71)*2)-2</f>
        <v>10</v>
      </c>
      <c r="J73" s="371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1">
        <f>ROUND((F62+F63)*0.4/3,0)</f>
        <v>0</v>
      </c>
      <c r="B74" s="323">
        <v>1</v>
      </c>
      <c r="C74" s="331" t="s">
        <v>103</v>
      </c>
      <c r="D74" s="323">
        <f>Sheet2!B24</f>
        <v>400</v>
      </c>
      <c r="E74" s="342">
        <f>Table1257[[#This Row],[سعر]]*Table1257[[#This Row],[ميزان]]*Table1257[[#This Row],[عدد]]</f>
        <v>0</v>
      </c>
      <c r="I74" s="212">
        <v>2</v>
      </c>
      <c r="J74" s="371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1500</v>
      </c>
      <c r="P74" s="247"/>
      <c r="Q74" s="243">
        <f>Table16124360[[#This Row],[Column12]]</f>
        <v>1500</v>
      </c>
      <c r="R74" s="240">
        <f t="shared" si="6"/>
        <v>3000</v>
      </c>
      <c r="S74" s="241" t="e">
        <f t="shared" si="5"/>
        <v>#DIV/0!</v>
      </c>
    </row>
    <row r="75" ht="21">
      <c r="A75" s="381">
        <f>ROUND((F62+F63)*0.4,0)</f>
        <v>1</v>
      </c>
      <c r="B75" s="323">
        <v>1</v>
      </c>
      <c r="C75" s="331" t="s">
        <v>108</v>
      </c>
      <c r="D75" s="323">
        <f>Sheet2!B48</f>
        <v>25</v>
      </c>
      <c r="E75" s="342">
        <f>Table1257[[#This Row],[سعر]]*Table1257[[#This Row],[ميزان]]*Table1257[[#This Row],[عدد]]</f>
        <v>25</v>
      </c>
      <c r="I75" s="212">
        <v>2</v>
      </c>
      <c r="J75" s="371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1">
        <f>ROUND((F62+F63)*0.4,0)</f>
        <v>1</v>
      </c>
      <c r="B76" s="323">
        <v>1</v>
      </c>
      <c r="C76" s="331" t="s">
        <v>110</v>
      </c>
      <c r="D76" s="323">
        <f>Sheet2!B48</f>
        <v>25</v>
      </c>
      <c r="E76" s="342">
        <f>Table1257[[#This Row],[سعر]]*Table1257[[#This Row],[ميزان]]*Table1257[[#This Row],[عدد]]</f>
        <v>25</v>
      </c>
      <c r="I76" s="212">
        <f>I73</f>
        <v>10</v>
      </c>
      <c r="J76" s="371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1100</v>
      </c>
      <c r="P76" s="247"/>
      <c r="Q76" s="243">
        <f>Table16124360[[#This Row],[Column12]]</f>
        <v>1100</v>
      </c>
      <c r="R76" s="240">
        <f t="shared" si="6"/>
        <v>11000</v>
      </c>
      <c r="S76" s="241" t="e">
        <f t="shared" si="5"/>
        <v>#DIV/0!</v>
      </c>
    </row>
    <row r="77" ht="18.75">
      <c r="A77" s="381">
        <f>ROUND((F62+F63)*0.4,0)</f>
        <v>1</v>
      </c>
      <c r="B77" s="323">
        <v>1</v>
      </c>
      <c r="C77" s="331" t="s">
        <v>111</v>
      </c>
      <c r="D77" s="323">
        <v>25</v>
      </c>
      <c r="E77" s="342">
        <f>Table1257[[#This Row],[سعر]]*Table1257[[#This Row],[ميزان]]*Table1257[[#This Row],[عدد]]</f>
        <v>25</v>
      </c>
      <c r="I77" s="561"/>
      <c r="J77" s="562" t="s">
        <v>58</v>
      </c>
      <c r="K77" s="560"/>
      <c r="L77" s="560"/>
      <c r="M77" s="563"/>
      <c r="N77" s="563"/>
      <c r="O77" s="799">
        <f>SUBTOTAL(109,Table16124360[Column12])</f>
        <v>4780</v>
      </c>
      <c r="P77" s="560"/>
      <c r="Q77" s="564"/>
      <c r="R77" s="565">
        <f>SUBTOTAL(109,Table16124360[اجمالي])</f>
        <v>35250</v>
      </c>
      <c r="S77" s="566" t="e">
        <f>Table16124360[[#Totals],[اجمالي]]/$G$84</f>
        <v>#DIV/0!</v>
      </c>
    </row>
    <row r="78" ht="18.75">
      <c r="A78" s="381">
        <f>ROUND((F62+F63)*0.4,0)</f>
        <v>1</v>
      </c>
      <c r="B78" s="323">
        <v>1</v>
      </c>
      <c r="C78" s="331" t="s">
        <v>113</v>
      </c>
      <c r="D78" s="323">
        <v>18</v>
      </c>
      <c r="E78" s="342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1">
        <f>ROUND((F62+F63)*0.4/3,0)</f>
        <v>0</v>
      </c>
      <c r="B79" s="323">
        <v>1</v>
      </c>
      <c r="C79" s="331" t="s">
        <v>114</v>
      </c>
      <c r="D79" s="323">
        <v>40</v>
      </c>
      <c r="E79" s="342">
        <f>Table1257[[#This Row],[سعر]]*Table1257[[#This Row],[ميزان]]*Table1257[[#This Row],[عدد]]</f>
        <v>0</v>
      </c>
    </row>
    <row r="80" ht="18.75">
      <c r="A80" s="381">
        <f>IF((تسعير!T64="A"),0,IF((تسعير!T64="B"),(G86+G82+G63+G62+G61)))</f>
        <v>0</v>
      </c>
      <c r="B80" s="323">
        <v>1</v>
      </c>
      <c r="C80" s="331" t="s">
        <v>132</v>
      </c>
      <c r="D80" s="323">
        <v>20</v>
      </c>
      <c r="E80" s="316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1">
        <f>IF((تسعير!T71="بالتات"),0,(A61+A62))</f>
        <v>2</v>
      </c>
      <c r="B81" s="323">
        <v>1</v>
      </c>
      <c r="C81" s="331" t="s">
        <v>549</v>
      </c>
      <c r="D81" s="323">
        <f>Sheet2!B49</f>
        <v>1200</v>
      </c>
      <c r="E81" s="342">
        <f>Table1257[[#This Row],[سعر]]*Table1257[[#This Row],[ميزان]]*Table1257[[#This Row],[عدد]]</f>
        <v>2400</v>
      </c>
      <c r="J81" s="213" t="s">
        <v>551</v>
      </c>
      <c r="K81" s="214"/>
      <c r="L81" s="211"/>
      <c r="M81" s="282"/>
      <c r="N81" s="214">
        <f>IF((تسعير!T70='شماسي و كانتليفر'!F19),(N82-E61-E81-Table1257[[#This Row],[Column5]]-E83-E84-E86-R75-R74-R72-(P64*K64)),0)</f>
        <v>0</v>
      </c>
    </row>
    <row r="82" ht="18.75">
      <c r="A82" s="381">
        <f>IF((تسعير!T71="بالتات"),(A61+A62),0)</f>
        <v>0</v>
      </c>
      <c r="B82" s="323">
        <v>30</v>
      </c>
      <c r="C82" s="331" t="s">
        <v>550</v>
      </c>
      <c r="D82" s="323">
        <f>Sheet2!B12/1000</f>
        <v>40</v>
      </c>
      <c r="E82" s="342">
        <f>Table1257[[#This Row],[سعر]]*Table1257[[#This Row],[ميزان]]*Table1257[[#This Row],[عدد]]</f>
        <v>0</v>
      </c>
      <c r="F82" s="315">
        <f>0.5*0.5*Table1257[[#This Row],[عدد]]</f>
        <v>0</v>
      </c>
      <c r="G82" s="315">
        <f>Table1257[[#This Row],[ميزان]]*Table1257[[#This Row],[عدد]]</f>
        <v>0</v>
      </c>
      <c r="J82" s="372" t="s">
        <v>553</v>
      </c>
      <c r="K82" s="214"/>
      <c r="L82" s="211"/>
      <c r="M82" s="282"/>
      <c r="N82" s="283">
        <f>Table1257[[#Totals],[Column5]]+Table16124360[[#Totals],[اجمالي]]</f>
        <v>74971.2</v>
      </c>
    </row>
    <row r="83" ht="18.75">
      <c r="A83" s="381">
        <f>A82*2</f>
        <v>0</v>
      </c>
      <c r="B83" s="323">
        <v>1</v>
      </c>
      <c r="C83" s="331" t="s">
        <v>552</v>
      </c>
      <c r="D83" s="323">
        <v>600</v>
      </c>
      <c r="E83" s="342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82"/>
      <c r="N83" s="283">
        <f>N82+N81</f>
        <v>74971.2</v>
      </c>
    </row>
    <row r="84" ht="18.75">
      <c r="A84" s="381">
        <f>A81*1.5</f>
        <v>3</v>
      </c>
      <c r="B84" s="323">
        <v>10</v>
      </c>
      <c r="C84" s="331" t="s">
        <v>554</v>
      </c>
      <c r="D84" s="323">
        <f>Sheet2!B12/1000</f>
        <v>40</v>
      </c>
      <c r="E84" s="342">
        <f>Table1257[[#This Row],[سعر]]*Table1257[[#This Row],[ميزان]]*Table1257[[#This Row],[عدد]]</f>
        <v>1200</v>
      </c>
      <c r="J84" s="213" t="s">
        <v>156</v>
      </c>
      <c r="K84" s="214"/>
      <c r="L84" s="211"/>
      <c r="M84" s="312">
        <f>IF((M73="المقطم"),0.3,IF((M73="التجمع"),0.3,IF((M73="الشيخ زايد"),0.3,IF((M73="الاسكندرية"),0.5,IF((M73="الساحل"),0.5,0.35)))))</f>
        <v>0.35</v>
      </c>
      <c r="N84" s="283">
        <f>N83*(1+Table185665[[#This Row],[Column3]])</f>
        <v>101211.12000000001</v>
      </c>
    </row>
    <row r="85" ht="18.75">
      <c r="A85" s="381">
        <f>ROUND((F62+F63)*0.4/3,0)</f>
        <v>0</v>
      </c>
      <c r="B85" s="323">
        <v>1</v>
      </c>
      <c r="C85" s="331" t="s">
        <v>81</v>
      </c>
      <c r="D85" s="323">
        <f>Sheet2!B28</f>
        <v>400</v>
      </c>
      <c r="E85" s="342">
        <f>Table1257[[#This Row],[سعر]]*Table1257[[#This Row],[ميزان]]*Table1257[[#This Row],[عدد]]</f>
        <v>0</v>
      </c>
    </row>
    <row r="86" ht="18.75">
      <c r="A86" s="381">
        <f>A82*4</f>
        <v>0</v>
      </c>
      <c r="B86" s="323">
        <v>1</v>
      </c>
      <c r="C86" s="331" t="s">
        <v>555</v>
      </c>
      <c r="D86" s="323">
        <f>Sheet2!B12/1000</f>
        <v>40</v>
      </c>
      <c r="E86" s="342">
        <f>Table1257[[#This Row],[سعر]]*Table1257[[#This Row],[ميزان]]*Table1257[[#This Row],[عدد]]</f>
        <v>0</v>
      </c>
      <c r="F86" s="315">
        <f>0.15*0.15/2*Table1257[[#This Row],[عدد]]</f>
        <v>0</v>
      </c>
      <c r="G86" s="315">
        <f>Table1257[[#This Row],[ميزان]]*Table1257[[#This Row],[عدد]]</f>
        <v>0</v>
      </c>
    </row>
    <row r="87" ht="18.75">
      <c r="A87" s="381">
        <f>ROUND((F62+F63)*0.4/3,0)</f>
        <v>0</v>
      </c>
      <c r="B87" s="323">
        <v>1</v>
      </c>
      <c r="C87" s="331" t="s">
        <v>556</v>
      </c>
      <c r="D87" s="323">
        <v>200</v>
      </c>
      <c r="E87" s="342">
        <f>Table1257[[#This Row],[سعر]]*Table1257[[#This Row],[ميزان]]*Table1257[[#This Row],[عدد]]</f>
        <v>0</v>
      </c>
    </row>
    <row r="88">
      <c r="A88" s="344" t="s">
        <v>58</v>
      </c>
      <c r="E88" s="342">
        <f>SUBTOTAL(109,Table1257[Column5])</f>
        <v>39721.2</v>
      </c>
      <c r="F88" s="345" t="e">
        <f>Table1257[[#Totals],[Column5]]/(تسعير!S87*تسعير!S88/10000)</f>
        <v>#DIV/0!</v>
      </c>
      <c r="G88" s="315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F9E0BACB-6061-4232-8F3F-C62518B05848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B54" zoomScale="70" zoomScaleNormal="70" workbookViewId="0">
      <selection activeCell="A123" sqref="A12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35" t="s">
        <v>558</v>
      </c>
      <c r="B1" s="536">
        <f>(F1*D1)/10000</f>
        <v>21.39</v>
      </c>
      <c r="C1" s="537" t="s">
        <v>428</v>
      </c>
      <c r="D1" s="538">
        <f>تسعير!AT34</f>
        <v>310</v>
      </c>
      <c r="E1" s="537" t="s">
        <v>125</v>
      </c>
      <c r="F1" s="538">
        <f>تسعير!AT33</f>
        <v>690</v>
      </c>
      <c r="G1" s="537" t="s">
        <v>172</v>
      </c>
      <c r="H1" s="538" t="str">
        <f>تسعير!AT26</f>
        <v>خشبي</v>
      </c>
      <c r="I1" s="539" t="str">
        <f>تسعير!AT32</f>
        <v>قواعد عادية</v>
      </c>
      <c r="J1" s="539"/>
      <c r="K1" s="192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559</v>
      </c>
      <c r="AW1" s="189">
        <f>(BA1*AY1)/10000</f>
        <v>16</v>
      </c>
      <c r="AX1" s="190" t="s">
        <v>428</v>
      </c>
      <c r="AY1" s="191">
        <f>تسعير!$AT$54</f>
        <v>400</v>
      </c>
      <c r="AZ1" s="190" t="s">
        <v>125</v>
      </c>
      <c r="BA1" s="191">
        <f>تسعير!$AT$53</f>
        <v>400</v>
      </c>
      <c r="BB1" s="192"/>
      <c r="BC1" s="192"/>
      <c r="BD1" s="192" t="str">
        <f>تسعير!AT52</f>
        <v>بالتات</v>
      </c>
      <c r="BE1" s="192"/>
      <c r="BF1" s="192"/>
      <c r="BG1" s="632" t="s">
        <v>0</v>
      </c>
      <c r="BH1" s="633"/>
      <c r="BI1" s="634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0" t="s">
        <v>9</v>
      </c>
      <c r="B2" s="541" t="s">
        <v>28</v>
      </c>
      <c r="C2" s="541" t="s">
        <v>560</v>
      </c>
      <c r="D2" s="541" t="s">
        <v>30</v>
      </c>
      <c r="E2" s="541" t="s">
        <v>561</v>
      </c>
      <c r="F2" s="541" t="s">
        <v>562</v>
      </c>
      <c r="G2" s="531"/>
      <c r="H2" s="542" t="s">
        <v>563</v>
      </c>
      <c r="I2" s="542"/>
      <c r="J2" s="542" t="s">
        <v>564</v>
      </c>
      <c r="L2" s="635"/>
      <c r="M2" s="636"/>
      <c r="N2" s="637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560</v>
      </c>
      <c r="AY2" s="194" t="s">
        <v>30</v>
      </c>
      <c r="AZ2" s="194" t="s">
        <v>561</v>
      </c>
      <c r="BA2" s="194" t="s">
        <v>562</v>
      </c>
      <c r="BC2" s="195" t="s">
        <v>563</v>
      </c>
      <c r="BD2" s="195"/>
      <c r="BE2" s="195" t="s">
        <v>564</v>
      </c>
      <c r="BG2" s="635"/>
      <c r="BH2" s="636"/>
      <c r="BI2" s="637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0" t="s">
        <v>565</v>
      </c>
      <c r="B3" s="543">
        <f>ROUNDUP((12+((ROUNDUP((D1-210),15))/15)),0)</f>
        <v>19</v>
      </c>
      <c r="C3" s="544">
        <f>F1-16.5</f>
        <v>673.5</v>
      </c>
      <c r="D3" s="541" t="s">
        <v>566</v>
      </c>
      <c r="E3" s="541">
        <v>2.3</v>
      </c>
      <c r="F3" s="541" t="e">
        <f>IF(($H$1="سادة"),(J3*H3*E3*($U$2+(Sheet2!B41*1000))/1000),(J3*H3*E3*($U$2+(Sheet2!B15))/1000))</f>
        <v>#DIV/0!</v>
      </c>
      <c r="G3" s="531"/>
      <c r="H3" s="542">
        <f>IF(AND((C3&gt;=150),(C3&lt;201)),4,IF(AND((C3&gt;=201),(C3&lt;251)),5,IF(AND((C3&gt;=251),(C3&lt;401)),4,IF(AND((C3&gt;=401),(C3&lt;501)),5,0))))</f>
        <v>0</v>
      </c>
      <c r="I3" s="281">
        <f ref="I3:I8" t="shared" si="0">(H3*100)/C3</f>
        <v>0</v>
      </c>
      <c r="J3" s="545" t="e">
        <f ref="J3:J8" t="shared" si="1">B3/(ROUNDDOWN(I3,0))</f>
        <v>#DIV/0!</v>
      </c>
      <c r="L3" s="639" t="s">
        <v>17</v>
      </c>
      <c r="M3" s="640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B22</v>
      </c>
      <c r="O3" s="207"/>
      <c r="P3" s="207"/>
      <c r="Q3" s="234" t="s">
        <v>18</v>
      </c>
      <c r="R3" s="641">
        <f>NOW()</f>
        <v>45683.540548854166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565</v>
      </c>
      <c r="AW3" s="196">
        <f>ROUNDUP((12+((ROUNDUP((AY1-210),18))/18)),0)</f>
        <v>23</v>
      </c>
      <c r="AX3" s="197">
        <f>BA1-16.5</f>
        <v>383.5</v>
      </c>
      <c r="AY3" s="194" t="s">
        <v>566</v>
      </c>
      <c r="AZ3" s="194">
        <v>2</v>
      </c>
      <c r="BA3" s="194">
        <f>IF((تسعير!$AT$46="سادة"),(BE3*BC3*AZ3*(Sheet2!$B$14+(Sheet2!B41*1000))/1000),(BE3*BC3*AZ3*(Sheet2!$B$14+Sheet2!$B$15)/1000))</f>
        <v>49680</v>
      </c>
      <c r="BC3" s="258">
        <f>IF(AND((AX3&gt;=150),(AX3&lt;201)),4,IF(AND((AX3&gt;=201),(AX3&lt;251)),5,IF(AND((AX3&gt;=251),(AX3&lt;401)),4,IF(AND((AX3&gt;=401),(AX3&lt;501)),5,0))))</f>
        <v>4</v>
      </c>
      <c r="BD3" s="259">
        <f>(BC3*100)/AX3</f>
        <v>1.0430247718383312</v>
      </c>
      <c r="BE3" s="263">
        <f>AW3/(ROUNDDOWN(BD3,0))</f>
        <v>23</v>
      </c>
      <c r="BG3" s="639" t="s">
        <v>17</v>
      </c>
      <c r="BH3" s="640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41">
        <f>NOW()</f>
        <v>45683.540548854166</v>
      </c>
      <c r="BN3" s="642"/>
      <c r="BO3" s="642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0" t="s">
        <v>567</v>
      </c>
      <c r="B4" s="541">
        <v>2</v>
      </c>
      <c r="C4" s="543">
        <f>F1</f>
        <v>690</v>
      </c>
      <c r="D4" s="541" t="s">
        <v>566</v>
      </c>
      <c r="E4" s="541">
        <v>3.8</v>
      </c>
      <c r="F4" s="541">
        <f>IF(($H$1="سادة"),(J4*H4*E4*($U$2+(Sheet2!B41*1000))/1000),(J4*H4*E4*($U$2+(Sheet2!B15))/1000))</f>
        <v>14363.999999999998</v>
      </c>
      <c r="G4" s="546"/>
      <c r="H4" s="542">
        <f>IF(AND((C4&gt;=200),(C4&lt;250)),5,IF(AND((C4&gt;=250),(C4&lt;=350)),7,IF(AND((C4&gt;350),(C4&lt;501)),5,IF(AND((C4&gt;=501),(C4&lt;701)),7,0))))</f>
        <v>7</v>
      </c>
      <c r="I4" s="281">
        <f t="shared" si="0"/>
        <v>1.0144927536231885</v>
      </c>
      <c r="J4" s="545">
        <f t="shared" si="1"/>
        <v>2</v>
      </c>
      <c r="K4" s="1"/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55"/>
      <c r="AU4" s="207"/>
      <c r="AV4" s="193" t="s">
        <v>568</v>
      </c>
      <c r="AW4" s="194">
        <v>2</v>
      </c>
      <c r="AX4" s="196">
        <f>BA1</f>
        <v>400</v>
      </c>
      <c r="AY4" s="194" t="s">
        <v>566</v>
      </c>
      <c r="AZ4" s="194">
        <v>1.7</v>
      </c>
      <c r="BA4" s="194">
        <f>IF((تسعير!$AT$46="سادة"),(BE4*BC4*AZ4*(Sheet2!$B$14+(Sheet2!B41*1000))/1000),(BE4*BC4*AZ4*(Sheet2!$B$14+Sheet2!$B$15)/1000))</f>
        <v>4590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1.25</v>
      </c>
      <c r="BE4" s="264">
        <f ref="BE4:BE5" t="shared" si="4">AW4/(ROUNDDOWN(BD4,0))</f>
        <v>2</v>
      </c>
      <c r="BG4" s="208"/>
      <c r="BH4" s="208"/>
      <c r="BI4" s="209"/>
      <c r="BJ4" s="638" t="s">
        <v>20</v>
      </c>
      <c r="BK4" s="638"/>
      <c r="BL4" s="638"/>
      <c r="BM4" s="638"/>
      <c r="BN4" s="638"/>
      <c r="BO4" s="638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451</v>
      </c>
      <c r="CO4" s="255"/>
    </row>
    <row r="5" ht="18.75" s="187" customFormat="1">
      <c r="A5" s="540" t="s">
        <v>569</v>
      </c>
      <c r="B5" s="541">
        <v>2</v>
      </c>
      <c r="C5" s="543">
        <f>D1</f>
        <v>310</v>
      </c>
      <c r="D5" s="541" t="s">
        <v>566</v>
      </c>
      <c r="E5" s="541">
        <v>3.8</v>
      </c>
      <c r="F5" s="541">
        <f>IF(($H$1="سادة"),(J5*H5*E5*($U$2+(Sheet2!B41*1000))/1000),(J5*H5*E5*($U$2+(Sheet2!B15))/1000))</f>
        <v>7181.9999999999991</v>
      </c>
      <c r="G5" s="546"/>
      <c r="H5" s="542">
        <f>IF(AND((C5&gt;=200),(C5&lt;=250)),5,IF(AND((C5&gt;250),(C5&lt;=350)),7,IF(AND((C5&gt;350),(C5&lt;501)),5,IF(AND((C5&gt;=501),(C5&lt;701)),7,0))))</f>
        <v>7</v>
      </c>
      <c r="I5" s="281">
        <f t="shared" si="0"/>
        <v>2.2580645161290325</v>
      </c>
      <c r="J5" s="545">
        <f t="shared" si="1"/>
        <v>1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570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569</v>
      </c>
      <c r="AW5" s="194">
        <v>2</v>
      </c>
      <c r="AX5" s="196">
        <f>AY1</f>
        <v>400</v>
      </c>
      <c r="AY5" s="194" t="s">
        <v>566</v>
      </c>
      <c r="AZ5" s="194">
        <v>1.7</v>
      </c>
      <c r="BA5" s="194">
        <f>IF((تسعير!$AT$46="سادة"),(BE5*BC5*AZ5*(Sheet2!$B$14+(Sheet2!B41*1000))/1000),(BE5*BC5*AZ5*(Sheet2!$B$14+Sheet2!$B$15)/1000))</f>
        <v>4590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570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453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0" t="s">
        <v>571</v>
      </c>
      <c r="B6" s="541">
        <v>2</v>
      </c>
      <c r="C6" s="543">
        <f>F1</f>
        <v>690</v>
      </c>
      <c r="D6" s="541" t="s">
        <v>566</v>
      </c>
      <c r="E6" s="541">
        <v>1.7</v>
      </c>
      <c r="F6" s="541">
        <f>IF(($H$1="سادة"),(J6*H6*E6*($U$2+(Sheet2!B41*1000))/1000),(J6*H6*E6*($U$2+(Sheet2!B15))/1000))</f>
        <v>6426</v>
      </c>
      <c r="G6" s="546"/>
      <c r="H6" s="542">
        <f>IF(AND((C6&gt;=200),(C6&lt;=250)),5,IF(AND((C6&gt;250),(C6&lt;=350)),7,IF(AND((C6&gt;350),(C6&lt;501)),5,IF(AND((C6&gt;=501),(C6&lt;701)),7,0))))</f>
        <v>7</v>
      </c>
      <c r="I6" s="281">
        <f t="shared" si="0"/>
        <v>1.0144927536231885</v>
      </c>
      <c r="J6" s="545">
        <f t="shared" si="1"/>
        <v>2</v>
      </c>
      <c r="K6" s="1"/>
      <c r="L6" s="211">
        <v>1</v>
      </c>
      <c r="M6" s="212">
        <f>IF(OR((N3="a11"),(N3="a112"),(N3="a21"),(N3="a22"),(N3="a31"),(N3="a32")),1,2)</f>
        <v>2</v>
      </c>
      <c r="N6" s="213" t="s">
        <v>572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7.1999999999999993</v>
      </c>
      <c r="R6" s="211"/>
      <c r="S6" s="211">
        <v>57</v>
      </c>
      <c r="T6" s="211">
        <f>Table15880[[#This Row],[المسطح]]*Table15880[[#This Row],[عدد]]</f>
        <v>14.399999999999999</v>
      </c>
      <c r="U6" s="239">
        <f>S6*$S$2/1000</f>
        <v>2280</v>
      </c>
      <c r="V6" s="240">
        <f>M6*U6</f>
        <v>4560</v>
      </c>
      <c r="W6" s="241" t="e">
        <f>(V6)/$R$68</f>
        <v>#DIV/0!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573</v>
      </c>
      <c r="AW6" s="194">
        <v>1</v>
      </c>
      <c r="AX6" s="194">
        <f>(15.6*(AW3-1)+4)</f>
        <v>347.2</v>
      </c>
      <c r="AY6" s="194" t="s">
        <v>566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574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2280</v>
      </c>
      <c r="BQ6" s="240">
        <f>BH6*BP6</f>
        <v>2280</v>
      </c>
      <c r="BR6" s="241" t="e">
        <f>(BQ6)/$R$68</f>
        <v>#DIV/0!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455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0" t="s">
        <v>575</v>
      </c>
      <c r="B7" s="541">
        <v>2</v>
      </c>
      <c r="C7" s="543">
        <f>D1</f>
        <v>310</v>
      </c>
      <c r="D7" s="541" t="s">
        <v>566</v>
      </c>
      <c r="E7" s="541">
        <v>1.7</v>
      </c>
      <c r="F7" s="541">
        <f>IF(($H$1="سادة"),(J7*H7*E7*($U$2+(Sheet2!B41*1000))/1000),(J7*H7*E7*($U$2+(Sheet2!B15))/1000))</f>
        <v>3213</v>
      </c>
      <c r="G7" s="546"/>
      <c r="H7" s="542">
        <f>IF(AND((C7&gt;=200),(C7&lt;=250)),5,IF(AND((C7&gt;250),(C7&lt;=350)),7,IF(AND((C7&gt;350),(C7&lt;501)),5,IF(AND((C7&gt;=501),(C7&lt;701)),7,0))))</f>
        <v>7</v>
      </c>
      <c r="I7" s="281">
        <f t="shared" si="0"/>
        <v>2.2580645161290325</v>
      </c>
      <c r="J7" s="545">
        <f t="shared" si="1"/>
        <v>1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576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1480</v>
      </c>
      <c r="V7" s="240">
        <f>M7*U7</f>
        <v>5920</v>
      </c>
      <c r="W7" s="241" t="e">
        <f>(V7)/$R$68</f>
        <v>#DIV/0!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IF((تسعير!AT45="A"),IF(((Table15880[[#Totals],[المسطح]]+Table166273[[#Totals],[Column12]])&gt;0),(Table15880[[#Totals],[المسطح]]+Table166273[[#Totals],[Column12]]+1)*Table66374[[#This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577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576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1480</v>
      </c>
      <c r="BQ7" s="240">
        <f>BH7*BP7</f>
        <v>5920</v>
      </c>
      <c r="BR7" s="241" t="e">
        <f>(BQ7)/$R$68</f>
        <v>#DIV/0!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457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0" t="s">
        <v>578</v>
      </c>
      <c r="B8" s="541">
        <v>2</v>
      </c>
      <c r="C8" s="541">
        <f>C3</f>
        <v>673.5</v>
      </c>
      <c r="D8" s="541" t="s">
        <v>566</v>
      </c>
      <c r="E8" s="541">
        <v>0.65</v>
      </c>
      <c r="F8" s="541" t="e">
        <f>IF(($H$1="سادة"),(J8*H8*E8*($U$2+(Sheet2!B41*1000))/1000),(J8*H8*E8*($U$2+(Sheet2!B15))/1000))</f>
        <v>#DIV/0!</v>
      </c>
      <c r="G8" s="546"/>
      <c r="H8" s="542">
        <f>IF(AND((C8&gt;=150),(C8&lt;201)),4,IF(AND((C8&gt;=201),(C8&lt;251)),5,IF(AND((C8&gt;=251),(C8&lt;401)),4,IF(AND((C8&gt;=401),(C8&lt;501)),5,0))))</f>
        <v>0</v>
      </c>
      <c r="I8" s="281">
        <f t="shared" si="0"/>
        <v>0</v>
      </c>
      <c r="J8" s="545" t="e">
        <f t="shared" si="1"/>
        <v>#DIV/0!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579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1760</v>
      </c>
      <c r="V8" s="240">
        <f>M8*U8</f>
        <v>7040</v>
      </c>
      <c r="W8" s="241" t="e">
        <f>(V8)/$R$68</f>
        <v>#DIV/0!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580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579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1760</v>
      </c>
      <c r="BQ8" s="240">
        <f>BH8*BP8</f>
        <v>7040</v>
      </c>
      <c r="BR8" s="241" t="e">
        <f>(BQ8)/$R$68</f>
        <v>#DIV/0!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459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0" t="s">
        <v>573</v>
      </c>
      <c r="B9" s="541">
        <v>2</v>
      </c>
      <c r="C9" s="541">
        <f>(15.6*(B3-1)+4)</f>
        <v>284.8</v>
      </c>
      <c r="D9" s="541" t="s">
        <v>566</v>
      </c>
      <c r="E9" s="541">
        <v>1000</v>
      </c>
      <c r="F9" s="541">
        <f>E9*B9</f>
        <v>2000</v>
      </c>
      <c r="G9" s="546"/>
      <c r="H9" s="547"/>
      <c r="I9" s="531"/>
      <c r="J9" s="531"/>
      <c r="L9" s="211">
        <v>5</v>
      </c>
      <c r="M9" s="212">
        <v>0</v>
      </c>
      <c r="N9" s="213" t="s">
        <v>574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3360</v>
      </c>
      <c r="V9" s="240">
        <f>M9*U9</f>
        <v>0</v>
      </c>
      <c r="W9" s="241" t="e">
        <f>(V9)/$R$68</f>
        <v>#DIV/0!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581</v>
      </c>
      <c r="AW9" s="194">
        <v>1</v>
      </c>
      <c r="AX9" s="196">
        <v>100</v>
      </c>
      <c r="AY9" s="194" t="s">
        <v>566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574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3360</v>
      </c>
      <c r="BQ9" s="240">
        <f>BH9*BP9</f>
        <v>0</v>
      </c>
      <c r="BR9" s="241" t="e">
        <f>(BQ9)/$R$68</f>
        <v>#DIV/0!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461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0" t="s">
        <v>577</v>
      </c>
      <c r="B10" s="541"/>
      <c r="C10" s="541">
        <f>B3*2</f>
        <v>38</v>
      </c>
      <c r="D10" s="541" t="s">
        <v>28</v>
      </c>
      <c r="E10" s="541">
        <v>20</v>
      </c>
      <c r="F10" s="541">
        <f>E10*C10</f>
        <v>760</v>
      </c>
      <c r="G10" s="546"/>
      <c r="H10" s="547"/>
      <c r="I10" s="531"/>
      <c r="J10" s="531"/>
      <c r="L10" s="211">
        <v>5</v>
      </c>
      <c r="M10" s="212">
        <f>IF(OR((N3="B11"),(N3="B12"),(N3="B21"),(N3="B22"),(N3="B31"),(N3="B32")),3,0)</f>
        <v>3</v>
      </c>
      <c r="N10" s="215" t="s">
        <v>582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2.16</v>
      </c>
      <c r="R10" s="242" t="s">
        <v>43</v>
      </c>
      <c r="S10" s="211"/>
      <c r="T10" s="211">
        <f>Table15880[[#This Row],[المسطح]]*Table15880[[#This Row],[عدد]]</f>
        <v>6.48</v>
      </c>
      <c r="U10" s="243">
        <f>S10*$S$2/1000</f>
        <v>0</v>
      </c>
      <c r="V10" s="240">
        <f>M10*U10</f>
        <v>0</v>
      </c>
      <c r="W10" s="241" t="e">
        <f>(V10)/$R$68</f>
        <v>#DIV/0!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IF(AND((تسعير!$AT$45="B"),(Table15880[[#Totals],[المسطح]]+Table166273[[#Totals],[Column12]])&gt;0),(((Table15880[[#Totals],[المسطح]]+Table166273[[#Totals],[Column12]])+1)*Table66374[[#This Row],[المعدل]]),0)</f>
        <v>21.983999999999998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583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582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 t="e">
        <f>(BQ10)/$R$68</f>
        <v>#DIV/0!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463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0" t="s">
        <v>580</v>
      </c>
      <c r="B11" s="541"/>
      <c r="C11" s="541">
        <f>B3*2</f>
        <v>38</v>
      </c>
      <c r="D11" s="541" t="s">
        <v>28</v>
      </c>
      <c r="E11" s="541">
        <v>18</v>
      </c>
      <c r="F11" s="541">
        <f>E11*C11</f>
        <v>684</v>
      </c>
      <c r="G11" s="546"/>
      <c r="H11" s="547"/>
      <c r="I11" s="531"/>
      <c r="J11" s="531"/>
      <c r="L11" s="211"/>
      <c r="M11" s="212"/>
      <c r="N11" s="213" t="s">
        <v>58</v>
      </c>
      <c r="O11" s="214"/>
      <c r="P11" s="214"/>
      <c r="Q11" s="216">
        <f>SUBTOTAL(109,Table15880[المسطح])</f>
        <v>25.680000000000003</v>
      </c>
      <c r="R11" s="211"/>
      <c r="S11" s="211">
        <f>(S6*M6)+(S7*M7)+(M8*S8)+(S9*M9)</f>
        <v>438</v>
      </c>
      <c r="T11" s="211">
        <f>SUBTOTAL(109,Table15880[اجمالي المسطح])</f>
        <v>86.160000000000011</v>
      </c>
      <c r="U11" s="242"/>
      <c r="V11" s="240">
        <f>SUBTOTAL(109,Table15880[اجمالي])</f>
        <v>17520</v>
      </c>
      <c r="W11" s="244" t="e">
        <f>Table15880[[#Totals],[اجمالي]]/$R$68</f>
        <v>#DIV/0!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IF(AND((تسعير!$AT$45="B"),(Table15880[[#Totals],[المسطح]]+Table166273[[#Totals],[Column12]])&gt;0),(((Table15880[[#Totals],[المسطح]]+Table166273[[#Totals],[Column12]])+1)*Table66374[[#This Row],[المعدل]]),0)</f>
        <v>21.983999999999998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584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15240</v>
      </c>
      <c r="BR11" s="244" t="e">
        <f>Table1588090[[#Totals],[اجمالي]]/$R$68</f>
        <v>#DIV/0!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465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0" t="s">
        <v>581</v>
      </c>
      <c r="B12" s="541">
        <v>1</v>
      </c>
      <c r="C12" s="543">
        <v>100</v>
      </c>
      <c r="D12" s="541" t="s">
        <v>566</v>
      </c>
      <c r="E12" s="541">
        <v>250</v>
      </c>
      <c r="F12" s="541">
        <f>Table80102114[[#This Row],[wt/m]]*Table80102114[[#This Row],[عدد]]</f>
        <v>250</v>
      </c>
      <c r="G12" s="546"/>
      <c r="H12" s="547"/>
      <c r="I12" s="531"/>
      <c r="J12" s="548"/>
      <c r="L12" s="216"/>
      <c r="M12" s="216"/>
      <c r="N12" s="217"/>
      <c r="O12" s="638" t="s">
        <v>76</v>
      </c>
      <c r="P12" s="638"/>
      <c r="Q12" s="638"/>
      <c r="R12" s="638"/>
      <c r="S12" s="638"/>
      <c r="T12" s="638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IF(AND((تسعير!$AT$45="B"),(Table15880[[#Totals],[المسطح]]+Table166273[[#Totals],[Column12]])&gt;0),(((Table15880[[#Totals],[المسطح]]+Table166273[[#Totals],[Column12]])+1)*Table66374[[#This Row],[المعدل]]),0)</f>
        <v>3.664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585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38" t="s">
        <v>76</v>
      </c>
      <c r="BK12" s="638"/>
      <c r="BL12" s="638"/>
      <c r="BM12" s="638"/>
      <c r="BN12" s="638"/>
      <c r="BO12" s="638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467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0" t="s">
        <v>586</v>
      </c>
      <c r="B13" s="541"/>
      <c r="C13" s="541">
        <v>4</v>
      </c>
      <c r="D13" s="541" t="s">
        <v>373</v>
      </c>
      <c r="E13" s="541">
        <v>250</v>
      </c>
      <c r="F13" s="541">
        <f>C13*E13</f>
        <v>1000</v>
      </c>
      <c r="G13" s="546"/>
      <c r="H13" s="531"/>
      <c r="I13" s="546"/>
      <c r="J13" s="54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IF(AND((تسعير!$AT$45="B"),(Table15880[[#Totals],[المسطح]]+Table166273[[#Totals],[Column12]])&gt;0),(((Table15880[[#Totals],[المسطح]]+Table166273[[#Totals],[Column12]])+1)*Table66374[[#This Row],[المعدل]]),0)</f>
        <v>3.664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183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0" t="s">
        <v>587</v>
      </c>
      <c r="B14" s="541"/>
      <c r="C14" s="541">
        <v>8</v>
      </c>
      <c r="D14" s="541" t="s">
        <v>28</v>
      </c>
      <c r="E14" s="541">
        <v>300</v>
      </c>
      <c r="F14" s="541">
        <f>C14*E14</f>
        <v>2400</v>
      </c>
      <c r="G14" s="546"/>
      <c r="H14" s="531"/>
      <c r="I14" s="546"/>
      <c r="J14" s="546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 t="e">
        <f>(V14)/$R$68</f>
        <v>#DIV/0!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5443.7281250000005</v>
      </c>
      <c r="AX14" s="194"/>
      <c r="AY14" s="194"/>
      <c r="AZ14" s="194"/>
      <c r="BA14" s="194">
        <f>SUBTOTAL(109,Table8091[price])</f>
        <v>79181.5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 t="e">
        <f>(BQ14)/$R$68</f>
        <v>#DIV/0!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0" t="s">
        <v>584</v>
      </c>
      <c r="B15" s="541"/>
      <c r="C15" s="541">
        <f>B3*2</f>
        <v>38</v>
      </c>
      <c r="D15" s="541" t="s">
        <v>28</v>
      </c>
      <c r="E15" s="541">
        <v>120</v>
      </c>
      <c r="F15" s="541">
        <f>C15*E15</f>
        <v>4560</v>
      </c>
      <c r="G15" s="546"/>
      <c r="H15" s="531"/>
      <c r="I15" s="531"/>
      <c r="J15" s="531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 t="e">
        <f>(V15)/$R$68</f>
        <v>#DIV/0!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110</v>
      </c>
      <c r="BQ15" s="240">
        <f t="shared" si="6"/>
        <v>220</v>
      </c>
      <c r="BR15" s="241" t="e">
        <f>(BQ15)/$R$68</f>
        <v>#DIV/0!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0" t="s">
        <v>585</v>
      </c>
      <c r="B16" s="541"/>
      <c r="C16" s="541">
        <f>B3*2</f>
        <v>38</v>
      </c>
      <c r="D16" s="541" t="s">
        <v>28</v>
      </c>
      <c r="E16" s="541">
        <v>120</v>
      </c>
      <c r="F16" s="541">
        <f>C16*E16</f>
        <v>4560</v>
      </c>
      <c r="G16" s="546"/>
      <c r="H16" s="531"/>
      <c r="I16" s="531"/>
      <c r="J16" s="531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 t="e">
        <f>(V16)/$R$68</f>
        <v>#DIV/0!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130</v>
      </c>
      <c r="BQ16" s="240">
        <f t="shared" si="6"/>
        <v>130</v>
      </c>
      <c r="BR16" s="241" t="e">
        <f>(BQ16)/$R$68</f>
        <v>#DIV/0!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0" t="s">
        <v>588</v>
      </c>
      <c r="B17" s="541">
        <v>2</v>
      </c>
      <c r="C17" s="541"/>
      <c r="D17" s="541" t="s">
        <v>566</v>
      </c>
      <c r="E17" s="541">
        <v>1000</v>
      </c>
      <c r="F17" s="541">
        <f>B17*E17</f>
        <v>2000</v>
      </c>
      <c r="G17" s="546"/>
      <c r="H17" s="531"/>
      <c r="I17" s="531"/>
      <c r="J17" s="53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8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50</v>
      </c>
      <c r="V17" s="240">
        <f t="shared" si="5"/>
        <v>400</v>
      </c>
      <c r="W17" s="241" t="e">
        <f>(V17)/$R$68</f>
        <v>#DIV/0!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50</v>
      </c>
      <c r="BQ17" s="240">
        <f t="shared" si="6"/>
        <v>800</v>
      </c>
      <c r="BR17" s="241" t="e">
        <f>(BQ17)/$R$68</f>
        <v>#DIV/0!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0" t="s">
        <v>589</v>
      </c>
      <c r="B18" s="541"/>
      <c r="C18" s="541">
        <f>ROUNDUP(((C3*B3)/100),0)</f>
        <v>128</v>
      </c>
      <c r="D18" s="541" t="s">
        <v>566</v>
      </c>
      <c r="E18" s="541">
        <v>10</v>
      </c>
      <c r="F18" s="541">
        <f>C18*E18</f>
        <v>1280</v>
      </c>
      <c r="G18" s="546"/>
      <c r="H18" s="531"/>
      <c r="I18" s="531"/>
      <c r="J18" s="531"/>
      <c r="L18" s="211">
        <v>7</v>
      </c>
      <c r="M18" s="212">
        <f>IF(OR((N3="B11"),(N3="B12"),(N3="B21"),(N3="B22"),(N3="B31"),(N3="B32")),2,0)</f>
        <v>2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5"/>
        <v>2400</v>
      </c>
      <c r="W18" s="241" t="e">
        <f>(V18)/$R$68</f>
        <v>#DIV/0!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6"/>
        <v>0</v>
      </c>
      <c r="BR18" s="241" t="e">
        <f>(BQ18)/$R$68</f>
        <v>#DIV/0!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590</v>
      </c>
      <c r="B19" s="557"/>
      <c r="C19" s="557">
        <f>C18</f>
        <v>128</v>
      </c>
      <c r="D19" s="557"/>
      <c r="E19" s="557">
        <v>20</v>
      </c>
      <c r="F19" s="541">
        <f ref="F19:F20" t="shared" si="7">C19*E19</f>
        <v>2560</v>
      </c>
      <c r="G19" s="531"/>
      <c r="H19" s="531"/>
      <c r="I19" s="531"/>
      <c r="J19" s="531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3950</v>
      </c>
      <c r="W19" s="244" t="e">
        <f>Table156172[[#Totals],[اجمالي]]/$R$68</f>
        <v>#DIV/0!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1950</v>
      </c>
      <c r="BR19" s="244" t="e">
        <f>Table15617282[[#Totals],[اجمالي]]/$R$68</f>
        <v>#DIV/0!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0" t="s">
        <v>591</v>
      </c>
      <c r="B20" s="541" t="s">
        <v>592</v>
      </c>
      <c r="C20" s="541">
        <f>ROUNDUP((B3/3),0)</f>
        <v>7</v>
      </c>
      <c r="D20" s="541" t="s">
        <v>28</v>
      </c>
      <c r="E20" s="541">
        <v>250</v>
      </c>
      <c r="F20" s="541">
        <f t="shared" si="7"/>
        <v>1750</v>
      </c>
      <c r="G20" s="531"/>
      <c r="H20" s="531"/>
      <c r="I20" s="531"/>
      <c r="J20" s="531"/>
      <c r="L20" s="216"/>
      <c r="M20" s="216"/>
      <c r="N20" s="217"/>
      <c r="O20" s="638" t="s">
        <v>99</v>
      </c>
      <c r="P20" s="638"/>
      <c r="Q20" s="638"/>
      <c r="R20" s="638"/>
      <c r="S20" s="638"/>
      <c r="T20" s="638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38" t="s">
        <v>99</v>
      </c>
      <c r="BK20" s="638"/>
      <c r="BL20" s="638"/>
      <c r="BM20" s="638"/>
      <c r="BN20" s="638"/>
      <c r="BO20" s="638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0" t="s">
        <v>593</v>
      </c>
      <c r="B21" s="541" t="s">
        <v>594</v>
      </c>
      <c r="C21" s="541">
        <f>C20</f>
        <v>7</v>
      </c>
      <c r="D21" s="541" t="s">
        <v>28</v>
      </c>
      <c r="E21" s="541">
        <v>40</v>
      </c>
      <c r="F21" s="541">
        <f>E21*C21</f>
        <v>280</v>
      </c>
      <c r="G21" s="531"/>
      <c r="H21" s="531"/>
      <c r="I21" s="531"/>
      <c r="J21" s="53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0" t="s">
        <v>595</v>
      </c>
      <c r="B22" s="541" t="s">
        <v>28</v>
      </c>
      <c r="C22" s="541">
        <v>2</v>
      </c>
      <c r="D22" s="541" t="s">
        <v>28</v>
      </c>
      <c r="E22" s="541">
        <v>1500</v>
      </c>
      <c r="F22" s="541">
        <f>E22*C22</f>
        <v>3000</v>
      </c>
      <c r="G22" s="531"/>
      <c r="H22" s="531"/>
      <c r="I22" s="531"/>
      <c r="J22" s="531"/>
      <c r="L22" s="211"/>
      <c r="M22" s="212">
        <f>IF((I1="قواعد عادية"),0,2)</f>
        <v>0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480</v>
      </c>
      <c r="V22" s="240">
        <f>M22*U22</f>
        <v>0</v>
      </c>
      <c r="W22" s="249" t="e">
        <f>(V22)/$R$68</f>
        <v>#DIV/0!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480</v>
      </c>
      <c r="BQ22" s="240">
        <f>BH22*BP22</f>
        <v>960</v>
      </c>
      <c r="BR22" s="249" t="e">
        <f>(BQ22)/$R$68</f>
        <v>#DIV/0!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0" t="s">
        <v>183</v>
      </c>
      <c r="B23" s="541" t="s">
        <v>28</v>
      </c>
      <c r="C23" s="541">
        <v>1</v>
      </c>
      <c r="D23" s="541" t="s">
        <v>28</v>
      </c>
      <c r="E23" s="541">
        <f>Sheet2!B57</f>
        <v>9000</v>
      </c>
      <c r="F23" s="541">
        <f>E23*C23</f>
        <v>9000</v>
      </c>
      <c r="G23" s="531"/>
      <c r="H23" s="531"/>
      <c r="I23" s="531"/>
      <c r="J23" s="531"/>
      <c r="L23" s="211">
        <v>3</v>
      </c>
      <c r="M23" s="219">
        <v>2</v>
      </c>
      <c r="N23" s="220" t="s">
        <v>474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280</v>
      </c>
      <c r="V23" s="240">
        <f>M23*U23</f>
        <v>560</v>
      </c>
      <c r="W23" s="241" t="e">
        <f>(V23)/$R$68</f>
        <v>#DIV/0!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474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280</v>
      </c>
      <c r="BQ23" s="240">
        <f>BH23*BP23</f>
        <v>560</v>
      </c>
      <c r="BR23" s="241" t="e">
        <f>(BQ23)/$R$68</f>
        <v>#DIV/0!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 t="e">
        <f>(Table80102114[[#Totals],[price]]*1.1)/(F1*D1/10000)</f>
        <v>#DIV/0!</v>
      </c>
      <c r="C24" s="194"/>
      <c r="D24" s="194"/>
      <c r="E24" s="194"/>
      <c r="F24" s="194" t="e">
        <f>SUBTOTAL(109,Table80102114[price])</f>
        <v>#DIV/0!</v>
      </c>
      <c r="L24" s="211">
        <v>8</v>
      </c>
      <c r="M24" s="212">
        <f>M22*4</f>
        <v>0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</v>
      </c>
      <c r="R24" s="211" t="s">
        <v>85</v>
      </c>
      <c r="S24" s="211">
        <v>0.75</v>
      </c>
      <c r="T24" s="211"/>
      <c r="U24" s="243">
        <f>S24*$S$2/1000</f>
        <v>30</v>
      </c>
      <c r="V24" s="240">
        <f>M24*U24</f>
        <v>0</v>
      </c>
      <c r="W24" s="251" t="e">
        <f>(V24)/$R$68</f>
        <v>#DIV/0!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30</v>
      </c>
      <c r="BQ24" s="240">
        <f>BH24*BP24</f>
        <v>240</v>
      </c>
      <c r="BR24" s="251" t="e">
        <f>(BQ24)/$R$68</f>
        <v>#DIV/0!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9.96</v>
      </c>
      <c r="R25" s="211"/>
      <c r="S25" s="211">
        <f>(S23*M23)+(M24*S24)</f>
        <v>14</v>
      </c>
      <c r="T25" s="211"/>
      <c r="U25" s="242"/>
      <c r="V25" s="240">
        <f>SUBTOTAL(109,Table166273[اجمالي])</f>
        <v>560</v>
      </c>
      <c r="W25" s="244" t="e">
        <f>Table166273[[#Totals],[اجمالي]]/$R$68</f>
        <v>#DIV/0!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1760</v>
      </c>
      <c r="BR25" s="244" t="e">
        <f>Table16627383[[#Totals],[اجمالي]]/$R$68</f>
        <v>#DIV/0!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38" t="s">
        <v>102</v>
      </c>
      <c r="P26" s="638"/>
      <c r="Q26" s="638"/>
      <c r="R26" s="638"/>
      <c r="S26" s="638"/>
      <c r="T26" s="638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38" t="s">
        <v>102</v>
      </c>
      <c r="BK26" s="638"/>
      <c r="BL26" s="638"/>
      <c r="BM26" s="638"/>
      <c r="BN26" s="638"/>
      <c r="BO26" s="638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 t="e">
        <f ref="W28:W42" t="shared" si="9" ca="1">(V28)/$R$68</f>
        <v>#DIV/0!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0</v>
      </c>
      <c r="BR28" s="241" t="e">
        <f ref="BR28:BR41" t="shared" si="11" ca="1">(BQ28)/$R$68</f>
        <v>#DIV/0!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25</v>
      </c>
      <c r="V29" s="240">
        <f t="shared" si="8"/>
        <v>75</v>
      </c>
      <c r="W29" s="241" t="e">
        <f t="shared" si="9" ca="1"/>
        <v>#DIV/0!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 t="e">
        <f t="shared" si="11" ca="1"/>
        <v>#DIV/0!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25</v>
      </c>
      <c r="V30" s="240">
        <f t="shared" si="8"/>
        <v>75</v>
      </c>
      <c r="W30" s="241" t="e">
        <f t="shared" si="9" ca="1"/>
        <v>#DIV/0!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 t="e">
        <f t="shared" si="11" ca="1"/>
        <v>#DIV/0!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 t="e">
        <f t="shared" si="9" ca="1"/>
        <v>#DIV/0!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 t="e">
        <f t="shared" si="11" ca="1"/>
        <v>#DIV/0!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 t="e">
        <f t="shared" si="9" ca="1"/>
        <v>#DIV/0!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 t="e">
        <f t="shared" si="11" ca="1"/>
        <v>#DIV/0!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 t="e">
        <f t="shared" si="9" ca="1"/>
        <v>#DIV/0!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 t="e">
        <f t="shared" si="11" ca="1"/>
        <v>#DIV/0!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2">M34*U34</f>
        <v>0</v>
      </c>
      <c r="W34" s="251" t="e">
        <f t="shared" si="9" ca="1"/>
        <v>#DIV/0!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10"/>
        <v>0</v>
      </c>
      <c r="BR34" s="251" t="e">
        <f t="shared" si="11" ca="1"/>
        <v>#DIV/0!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100</v>
      </c>
      <c r="V35" s="240">
        <f t="shared" si="12"/>
        <v>400</v>
      </c>
      <c r="W35" s="251" t="e">
        <f t="shared" si="9" ca="1"/>
        <v>#DIV/0!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100</v>
      </c>
      <c r="BQ35" s="240">
        <f t="shared" si="10"/>
        <v>400</v>
      </c>
      <c r="BR35" s="251" t="e">
        <f t="shared" si="11" ca="1"/>
        <v>#DIV/0!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 t="e">
        <f t="shared" si="9" ca="1"/>
        <v>#DIV/0!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0</v>
      </c>
      <c r="BR36" s="251" t="e">
        <f t="shared" si="11" ca="1"/>
        <v>#DIV/0!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 t="e">
        <f t="shared" si="9" ca="1"/>
        <v>#DIV/0!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619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10"/>
        <v>18570</v>
      </c>
      <c r="BR37" s="251" t="e">
        <f t="shared" si="11" ca="1"/>
        <v>#DIV/0!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IF((تسعير!AT45="B"),(Table15880[[#Totals],[الوزن]]+Table166273[[#Totals],[الوزن]]),0)</f>
        <v>452</v>
      </c>
      <c r="N38" s="213" t="s">
        <v>132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2"/>
        <v>13560</v>
      </c>
      <c r="W38" s="251" t="e">
        <f t="shared" si="9" ca="1"/>
        <v>#DIV/0!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475</v>
      </c>
      <c r="BQ38" s="240">
        <f t="shared" si="10"/>
        <v>9500</v>
      </c>
      <c r="BR38" s="251" t="e">
        <f t="shared" si="11" ca="1"/>
        <v>#DIV/0!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25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475</v>
      </c>
      <c r="V39" s="240">
        <f t="shared" si="12"/>
        <v>11875</v>
      </c>
      <c r="W39" s="251" t="e">
        <f t="shared" si="9" ca="1"/>
        <v>#DIV/0!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525</v>
      </c>
      <c r="BQ39" s="240">
        <f t="shared" si="10"/>
        <v>10500</v>
      </c>
      <c r="BR39" s="251" t="e">
        <f t="shared" si="11" ca="1"/>
        <v>#DIV/0!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25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525</v>
      </c>
      <c r="V40" s="240">
        <f t="shared" si="12"/>
        <v>13125</v>
      </c>
      <c r="W40" s="251" t="e">
        <f t="shared" si="9" ca="1"/>
        <v>#DIV/0!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190</v>
      </c>
      <c r="BQ40" s="240">
        <f t="shared" si="10"/>
        <v>950</v>
      </c>
      <c r="BR40" s="251" t="e">
        <f t="shared" si="11" ca="1"/>
        <v>#DIV/0!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190</v>
      </c>
      <c r="V41" s="240">
        <f t="shared" si="12"/>
        <v>950</v>
      </c>
      <c r="W41" s="251" t="e">
        <f t="shared" si="9" ca="1"/>
        <v>#DIV/0!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190</v>
      </c>
      <c r="BQ41" s="240">
        <f t="shared" si="10"/>
        <v>950</v>
      </c>
      <c r="BR41" s="251" t="e">
        <f t="shared" si="11" ca="1"/>
        <v>#DIV/0!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190</v>
      </c>
      <c r="V42" s="240">
        <f t="shared" si="12"/>
        <v>950</v>
      </c>
      <c r="W42" s="251" t="e">
        <f t="shared" si="9" ca="1"/>
        <v>#DIV/0!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41233</v>
      </c>
      <c r="BR42" s="244" t="e">
        <f>Table13597166[[#Totals],[اجمالي]]/$R$68</f>
        <v>#DIV/0!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41280</v>
      </c>
      <c r="W43" s="244" t="e">
        <f>Table135971[[#Totals],[اجمالي]]/$R$68</f>
        <v>#DIV/0!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38" t="s">
        <v>131</v>
      </c>
      <c r="BK44" s="638"/>
      <c r="BL44" s="638"/>
      <c r="BM44" s="638"/>
      <c r="BN44" s="638"/>
      <c r="BO44" s="638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38" t="s">
        <v>131</v>
      </c>
      <c r="P45" s="638"/>
      <c r="Q45" s="638"/>
      <c r="R45" s="638"/>
      <c r="S45" s="638"/>
      <c r="T45" s="638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558</v>
      </c>
      <c r="BJ46" s="214"/>
      <c r="BK46" s="211"/>
      <c r="BL46" s="216"/>
      <c r="BM46" s="214"/>
      <c r="BN46" s="211"/>
      <c r="BO46" s="247"/>
      <c r="BP46" s="248">
        <f>Table8091[[#Totals],[price]]</f>
        <v>79181.5</v>
      </c>
      <c r="BQ46" s="252">
        <f>BH46*Table1613687787[[#This Row],[سعر الشبك ]]</f>
        <v>79181.5</v>
      </c>
      <c r="BR46" s="241" t="e">
        <f>(BQ46)/$R$68</f>
        <v>#DIV/0!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558</v>
      </c>
      <c r="O47" s="214"/>
      <c r="P47" s="211"/>
      <c r="Q47" s="216"/>
      <c r="R47" s="214"/>
      <c r="S47" s="211"/>
      <c r="T47" s="247"/>
      <c r="U47" s="248" t="e">
        <f>Table80102114[[#Totals],[price]]</f>
        <v>#DIV/0!</v>
      </c>
      <c r="V47" s="252" t="e">
        <f>M47*Table16136877[[#This Row],[سعر الشبك ]]</f>
        <v>#DIV/0!</v>
      </c>
      <c r="W47" s="241" t="e">
        <f>(V47)/$R$68</f>
        <v>#DIV/0!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79181.5</v>
      </c>
      <c r="BQ47" s="240">
        <f>BH47*Table1613687787[[#This Row],[سعر الشبك ]]</f>
        <v>7918.1500000000005</v>
      </c>
      <c r="BR47" s="241" t="e">
        <f>(BQ47)/$R$68</f>
        <v>#DIV/0!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0.1</v>
      </c>
      <c r="N48" s="213" t="s">
        <v>130</v>
      </c>
      <c r="O48" s="214"/>
      <c r="P48" s="211"/>
      <c r="Q48" s="216"/>
      <c r="R48" s="214"/>
      <c r="S48" s="211"/>
      <c r="T48" s="247"/>
      <c r="U48" s="248" t="e">
        <f>Table80102114[[#Totals],[price]]</f>
        <v>#DIV/0!</v>
      </c>
      <c r="V48" s="240" t="e">
        <f>M48*Table16136877[[#This Row],[سعر الشبك ]]</f>
        <v>#DIV/0!</v>
      </c>
      <c r="W48" s="241" t="e">
        <f>(V48)/$R$68</f>
        <v>#DIV/0!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87099.65</v>
      </c>
      <c r="BR48" s="244" t="e">
        <f>Table1613687787[[#Totals],[اجمالي]]/$R$68</f>
        <v>#DIV/0!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 t="e">
        <f>SUBTOTAL(109,Table16136877[اجمالي])</f>
        <v>#DIV/0!</v>
      </c>
      <c r="W49" s="244" t="e">
        <f>Table16136877[[#Totals],[اجمالي]]/$R$68</f>
        <v>#DIV/0!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38" t="s">
        <v>133</v>
      </c>
      <c r="BK49" s="638"/>
      <c r="BL49" s="638"/>
      <c r="BM49" s="638"/>
      <c r="BN49" s="638"/>
      <c r="BO49" s="638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38" t="s">
        <v>133</v>
      </c>
      <c r="P50" s="638"/>
      <c r="Q50" s="638"/>
      <c r="R50" s="638"/>
      <c r="S50" s="638"/>
      <c r="T50" s="638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العمل]]="المصنع"),Sheet2!$B$58,IF((Table1612677686[[#This Row],[موقع العمل]]="الاسكندرية"),Sheet2!$B$58,Sheet2!$B$58))</f>
        <v>250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1" s="240">
        <f ref="BQ51:BQ63" t="shared" si="15" ca="1">BH51*BP51</f>
        <v>500</v>
      </c>
      <c r="BR51" s="267" t="e">
        <f ref="BR51:BR63" t="shared" si="16" ca="1">(BQ51)/$R$68</f>
        <v>#DIV/0!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العمل]]="المصنع"),Sheet2!$B$58,IF((Table16126776[[#This Row],[موقع العمل]]="الاسكندرية"),Sheet2!$B$58,Sheet2!$B$59))</f>
        <v>250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2" s="240">
        <f ref="V52:V64" t="shared" si="17" ca="1">M52*U52</f>
        <v>500</v>
      </c>
      <c r="W52" s="241" t="e">
        <f ref="W52:W64" t="shared" si="18" ca="1">(V52)/$R$68</f>
        <v>#DIV/0!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العمل]]="المصنع"),Sheet2!$B$58,IF((Table1612677686[[#This Row],[موقع العمل]]="الاسكندرية"),Sheet2!$B$58,Sheet2!$B$58))</f>
        <v>250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2" s="240">
        <f t="shared" si="15" ca="1"/>
        <v>500</v>
      </c>
      <c r="BR52" s="267" t="e">
        <f t="shared" si="16" ca="1"/>
        <v>#DIV/0!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العمل]]="المصنع"),Sheet2!$B$58,IF((Table16126776[[#This Row],[موقع العمل]]="الاسكندرية"),Sheet2!$B$58,Sheet2!$B$59))</f>
        <v>250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3" s="240">
        <f t="shared" si="17" ca="1"/>
        <v>500</v>
      </c>
      <c r="W53" s="241" t="e">
        <f t="shared" si="18" ca="1"/>
        <v>#DIV/0!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العمل]]="المصنع"),Sheet2!$B$58,IF((Table1612677686[[#This Row],[موقع العمل]]="الاسكندرية"),Sheet2!$B$58,Sheet2!$B$58))</f>
        <v>250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 t="e">
        <f t="shared" si="16" ca="1"/>
        <v>#DIV/0!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العمل]]="المصنع"),Sheet2!$B$58,IF((Table16126776[[#This Row],[موقع العمل]]="الاسكندرية"),Sheet2!$B$58,Sheet2!$B$59))</f>
        <v>250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 t="e">
        <f t="shared" si="18" ca="1"/>
        <v>#DIV/0!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العمل]]="المصنع"),Sheet2!$B$58,IF((Table1612677686[[#This Row],[موقع العمل]]="الاسكندرية"),Sheet2!$B$58,Sheet2!$B$58))</f>
        <v>250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500</v>
      </c>
      <c r="BQ54" s="240">
        <f t="shared" si="15" ca="1"/>
        <v>1500</v>
      </c>
      <c r="BR54" s="267" t="e">
        <f t="shared" si="16" ca="1"/>
        <v>#DIV/0!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العمل]]="المصنع"),Sheet2!$B$58,IF((Table16126776[[#This Row],[موقع العمل]]="الاسكندرية"),Sheet2!$B$58,Sheet2!$B$59))</f>
        <v>250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500</v>
      </c>
      <c r="V55" s="240">
        <f t="shared" si="17" ca="1"/>
        <v>1500</v>
      </c>
      <c r="W55" s="241" t="e">
        <f t="shared" si="18" ca="1"/>
        <v>#DIV/0!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العمل]]="المصنع"),Sheet2!$B$58,IF((Table1612677686[[#This Row],[موقع العمل]]="الاسكندرية"),Sheet2!$B$58,Sheet2!$B$58))</f>
        <v>250</v>
      </c>
      <c r="BK55" s="211">
        <f>SUMIF(Table17697888[Column1],Table1612677686[[#This Row],[موقع العمل]],$AB$2:$AB$20)</f>
        <v>75</v>
      </c>
      <c r="BL55" s="211" t="str">
        <f>تسعير!$AT$44</f>
        <v>التجمع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5" s="240">
        <f t="shared" si="15" ca="1"/>
        <v>2600</v>
      </c>
      <c r="BR55" s="267" t="e">
        <f t="shared" si="16" ca="1"/>
        <v>#DIV/0!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العمل]]="المصنع"),Sheet2!$B$58,IF((Table16126776[[#This Row],[موقع العمل]]="الاسكندرية"),Sheet2!$B$58,Sheet2!$B$59))</f>
        <v>450</v>
      </c>
      <c r="P56" s="211">
        <f>SUMIF(Table176978[Column1],Table16126776[[#This Row],[موقع العمل]],$AB$2:$AB$20)</f>
        <v>75</v>
      </c>
      <c r="Q56" s="211" t="str">
        <f>تسعير!$AT$24</f>
        <v>التجمع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6" s="240">
        <f t="shared" si="17" ca="1"/>
        <v>4200</v>
      </c>
      <c r="W56" s="241" t="e">
        <f t="shared" si="18" ca="1"/>
        <v>#DIV/0!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العمل]]="المصنع"),Sheet2!$B$58,IF((Table1612677686[[#This Row],[موقع العمل]]="الاسكندرية"),Sheet2!$B$58,Sheet2!$B$58))</f>
        <v>250</v>
      </c>
      <c r="BK56" s="211">
        <f>SUMIF(Table17697888[Column1],Table1612677686[[#This Row],[موقع العمل]],$AB$2:$AB$20)</f>
        <v>75</v>
      </c>
      <c r="BL56" s="211" t="str">
        <f>تسعير!$AT$44</f>
        <v>التجمع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6" s="240">
        <f t="shared" si="15" ca="1"/>
        <v>1950</v>
      </c>
      <c r="BR56" s="267" t="e">
        <f t="shared" si="16" ca="1"/>
        <v>#DIV/0!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العمل]]="المصنع"),Sheet2!$B$58,IF((Table16126776[[#This Row],[موقع العمل]]="الاسكندرية"),Sheet2!$B$58,Sheet2!$B$59))</f>
        <v>450</v>
      </c>
      <c r="P57" s="211">
        <f>SUMIF(Table176978[Column1],Table16126776[[#This Row],[موقع العمل]],$AB$2:$AB$20)</f>
        <v>75</v>
      </c>
      <c r="Q57" s="211" t="str">
        <f>تسعير!$AT$24</f>
        <v>التجمع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7" s="240">
        <f t="shared" si="17" ca="1"/>
        <v>3150</v>
      </c>
      <c r="W57" s="241" t="e">
        <f t="shared" si="18" ca="1"/>
        <v>#DIV/0!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العمل]]="المصنع"),Sheet2!$B$58,IF((Table1612677686[[#This Row],[موقع العمل]]="الاسكندرية"),Sheet2!$B$58,Sheet2!$B$58))</f>
        <v>250</v>
      </c>
      <c r="BK57" s="211">
        <f>SUMIF(Table17697888[Column1],Table1612677686[[#This Row],[موقع العمل]],$AB$2:$AB$20)</f>
        <v>75</v>
      </c>
      <c r="BL57" s="211" t="str">
        <f>تسعير!$AT$44</f>
        <v>التجمع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 t="e">
        <f t="shared" si="16" ca="1"/>
        <v>#DIV/0!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العمل]]="المصنع"),Sheet2!$B$58,IF((Table16126776[[#This Row],[موقع العمل]]="الاسكندرية"),Sheet2!$B$58,Sheet2!$B$59))</f>
        <v>450</v>
      </c>
      <c r="P58" s="211">
        <f>SUMIF(Table176978[Column1],Table16126776[[#This Row],[موقع العمل]],$AB$2:$AB$20)</f>
        <v>75</v>
      </c>
      <c r="Q58" s="211" t="str">
        <f>تسعير!$AT$24</f>
        <v>التجمع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 t="e">
        <f t="shared" si="18" ca="1"/>
        <v>#DIV/0!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العمل]]="المصنع"),Sheet2!$B$58,IF((Table1612677686[[#This Row],[موقع العمل]]="الاسكندرية"),Sheet2!$B$58,Sheet2!$B$58))</f>
        <v>250</v>
      </c>
      <c r="BK58" s="211">
        <f>SUMIF(Table17697888[Column1],Table1612677686[[#This Row],[موقع العمل]],$AB$2:$AB$20)</f>
        <v>75</v>
      </c>
      <c r="BL58" s="211" t="str">
        <f>تسعير!$AT$44</f>
        <v>التجمع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8" s="240">
        <f t="shared" si="15" ca="1"/>
        <v>2600</v>
      </c>
      <c r="BR58" s="267" t="e">
        <f t="shared" si="16" ca="1"/>
        <v>#DIV/0!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العمل]]="المصنع"),Sheet2!$B$58,IF((Table16126776[[#This Row],[موقع العمل]]="الاسكندرية"),Sheet2!$B$58,Sheet2!$B$59))</f>
        <v>450</v>
      </c>
      <c r="P59" s="211">
        <f>SUMIF(Table176978[Column1],Table16126776[[#This Row],[موقع العمل]],$AB$2:$AB$20)</f>
        <v>75</v>
      </c>
      <c r="Q59" s="211" t="str">
        <f>تسعير!$AT$24</f>
        <v>التجمع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9" s="240">
        <f t="shared" si="17" ca="1"/>
        <v>4200</v>
      </c>
      <c r="W59" s="241" t="e">
        <f t="shared" si="18" ca="1"/>
        <v>#DIV/0!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التجمع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 t="e">
        <f t="shared" si="16" ca="1"/>
        <v>#DIV/0!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التجمع</v>
      </c>
      <c r="R60" s="214"/>
      <c r="S60" s="247">
        <f>SUMIF(Table176978[Column1],Table16126776[[#This Row],[موقع العمل]],$Z$2:$Z$20)</f>
        <v>120</v>
      </c>
      <c r="T60" s="247"/>
      <c r="U60" s="243">
        <f>Table16126776[[#This Row],[Column12]]</f>
        <v>120</v>
      </c>
      <c r="V60" s="240">
        <f t="shared" si="17" ca="1"/>
        <v>2640</v>
      </c>
      <c r="W60" s="241" t="e">
        <f t="shared" si="18" ca="1"/>
        <v>#DIV/0!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التجمع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 t="e">
        <f t="shared" si="16" ca="1"/>
        <v>#DIV/0!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التجمع</v>
      </c>
      <c r="R61" s="214"/>
      <c r="S61" s="247">
        <f>SUMIF(Table176978[Column1],Table16126776[[#This Row],[موقع العمل]],$AA$2:$AA$20)</f>
        <v>250</v>
      </c>
      <c r="T61" s="247"/>
      <c r="U61" s="243">
        <f>Table16126776[[#This Row],[Column12]]</f>
        <v>250</v>
      </c>
      <c r="V61" s="240">
        <f t="shared" si="17" ca="1"/>
        <v>2250</v>
      </c>
      <c r="W61" s="241" t="e">
        <f t="shared" si="18" ca="1"/>
        <v>#DIV/0!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التجمع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 t="e">
        <f t="shared" si="16" ca="1"/>
        <v>#DIV/0!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التجمع</v>
      </c>
      <c r="R62" s="214"/>
      <c r="S62" s="247">
        <f>SUMIF(Table176978[Column1],Table16126776[[#This Row],[موقع العمل]],$AC$2:$AC$20)</f>
        <v>1600</v>
      </c>
      <c r="T62" s="247"/>
      <c r="U62" s="243">
        <f>Table16126776[[#This Row],[Column12]]</f>
        <v>1600</v>
      </c>
      <c r="V62" s="240">
        <f t="shared" si="17" ca="1"/>
        <v>0</v>
      </c>
      <c r="W62" s="241" t="e">
        <f t="shared" si="18" ca="1"/>
        <v>#DIV/0!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التجمع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 t="e">
        <f t="shared" si="16" ca="1"/>
        <v>#DIV/0!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التجمع</v>
      </c>
      <c r="R63" s="214"/>
      <c r="S63" s="247">
        <f>SUMIF(Table176978[Column1],Table16126776[[#This Row],[موقع العمل]],$AD$2:$AD$20)</f>
        <v>2300</v>
      </c>
      <c r="T63" s="247"/>
      <c r="U63" s="243">
        <f>Table16126776[[#This Row],[Column12]]</f>
        <v>2300</v>
      </c>
      <c r="V63" s="240">
        <f t="shared" si="17" ca="1"/>
        <v>4600</v>
      </c>
      <c r="W63" s="241" t="e">
        <f t="shared" si="18" ca="1"/>
        <v>#DIV/0!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التجمع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 t="e">
        <f t="shared" si="16" ca="1"/>
        <v>#DIV/0!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التجمع</v>
      </c>
      <c r="R64" s="214"/>
      <c r="S64" s="247">
        <f>SUMIF(Table176978[Column1],Table16126776[[#This Row],[موقع العمل]],$AE$2:$AE$8)</f>
        <v>120</v>
      </c>
      <c r="T64" s="247"/>
      <c r="U64" s="243">
        <f>Table16126776[[#This Row],[Column12]]</f>
        <v>120</v>
      </c>
      <c r="V64" s="240">
        <f t="shared" si="17" ca="1"/>
        <v>840</v>
      </c>
      <c r="W64" s="241" t="e">
        <f t="shared" si="18" ca="1"/>
        <v>#DIV/0!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60" t="s">
        <v>58</v>
      </c>
      <c r="BH64" s="561"/>
      <c r="BI64" s="562" t="s">
        <v>58</v>
      </c>
      <c r="BJ64" s="560"/>
      <c r="BK64" s="560"/>
      <c r="BL64" s="563"/>
      <c r="BM64" s="563"/>
      <c r="BN64" s="799">
        <f>SUBTOTAL(109,Table1612677686[Column12])</f>
        <v>4390</v>
      </c>
      <c r="BO64" s="560"/>
      <c r="BP64" s="564"/>
      <c r="BQ64" s="565">
        <f>SUBTOTAL(109,Table1612677686[اجمالي])</f>
        <v>19980</v>
      </c>
      <c r="BR64" s="566" t="e">
        <f>Table1612677686[[#Totals],[اجمالي]]/$R$68</f>
        <v>#DIV/0!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60" t="s">
        <v>58</v>
      </c>
      <c r="M65" s="561"/>
      <c r="N65" s="562" t="s">
        <v>58</v>
      </c>
      <c r="O65" s="560"/>
      <c r="P65" s="560"/>
      <c r="Q65" s="563"/>
      <c r="R65" s="563"/>
      <c r="S65" s="799">
        <f>SUBTOTAL(109,Table16126776[Column12])</f>
        <v>4390</v>
      </c>
      <c r="T65" s="560"/>
      <c r="U65" s="564"/>
      <c r="V65" s="565">
        <f>SUBTOTAL(109,Table16126776[اجمالي])</f>
        <v>24380</v>
      </c>
      <c r="W65" s="566" t="e">
        <f>Table16126776[[#Totals],[اجمالي]]/$R$68</f>
        <v>#DIV/0!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31"/>
      <c r="BK65" s="631"/>
      <c r="BL65" s="631"/>
      <c r="BM65" s="631"/>
      <c r="BN65" s="631"/>
      <c r="BO65" s="631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31"/>
      <c r="P66" s="631"/>
      <c r="Q66" s="631"/>
      <c r="R66" s="631"/>
      <c r="S66" s="631"/>
      <c r="T66" s="631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82"/>
      <c r="BM67" s="283">
        <f>Table1612677686[[#Totals],[اجمالي]]+Table1613687787[[#Totals],[اجمالي]]+Table13597166[[#Totals],[اجمالي]]+Table16627383[[#Totals],[اجمالي]]+Table15617282[[#Totals],[اجمالي]]+Table1588090[[#Totals],[اجمالي]]</f>
        <v>167262.65</v>
      </c>
      <c r="BN67" s="211"/>
      <c r="BO67" s="211"/>
      <c r="BP67" s="243"/>
      <c r="BQ67" s="284"/>
      <c r="BR67" s="285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82"/>
      <c r="R68" s="283" t="e">
        <f>Table16126776[[#Totals],[اجمالي]]+Table16136877[[#Totals],[اجمالي]]+Table135971[[#Totals],[اجمالي]]+Table166273[[#Totals],[اجمالي]]+Table156172[[#Totals],[اجمالي]]+Table15880[[#Totals],[اجمالي]]</f>
        <v>#DIV/0!</v>
      </c>
      <c r="S68" s="211"/>
      <c r="T68" s="211"/>
      <c r="U68" s="243"/>
      <c r="V68" s="284"/>
      <c r="W68" s="285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4"/>
      <c r="BH68" s="275"/>
      <c r="BI68" s="276" t="s">
        <v>156</v>
      </c>
      <c r="BJ68" s="277"/>
      <c r="BK68" s="274"/>
      <c r="BL68" s="286">
        <f>IF((BL63="المقطم"),0.3,IF((BL63="التجمع"),0.3,IF((BL63="الشيخ زايد"),0.3,IF((BL63="الاسكندرية"),0.5,0.35))))</f>
        <v>0.3</v>
      </c>
      <c r="BM68" s="287">
        <f>BM67*(1+Table18707989[[#This Row],[Column3]])</f>
        <v>217441.445</v>
      </c>
      <c r="BN68" s="274"/>
      <c r="BO68" s="274"/>
      <c r="BP68" s="288"/>
      <c r="BQ68" s="289"/>
      <c r="BR68" s="290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4"/>
      <c r="M69" s="275"/>
      <c r="N69" s="276" t="s">
        <v>156</v>
      </c>
      <c r="O69" s="277"/>
      <c r="P69" s="274"/>
      <c r="Q69" s="286">
        <f>IF((Q64="المقطم"),0.3,IF((Q64="التجمع"),0.3,IF((Q64="الشيخ زايد"),0.3,IF((Q64="الاسكندرية"),0.5,0.35))))</f>
        <v>0.3</v>
      </c>
      <c r="R69" s="287" t="e">
        <f>R68*(1+Table187079[[#This Row],[Column3]])</f>
        <v>#DIV/0!</v>
      </c>
      <c r="S69" s="274"/>
      <c r="T69" s="274"/>
      <c r="U69" s="288"/>
      <c r="V69" s="289"/>
      <c r="W69" s="290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2"/>
      <c r="AO69" s="292"/>
      <c r="AP69" s="292"/>
      <c r="AQ69" s="292"/>
      <c r="AR69" s="292"/>
      <c r="AS69" s="292"/>
      <c r="AT69" s="297"/>
      <c r="AU69" s="216"/>
      <c r="AV69" s="298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33" t="s">
        <v>0</v>
      </c>
      <c r="BH71" s="633"/>
      <c r="BI71" s="633"/>
      <c r="BJ71" s="303" t="s">
        <v>1</v>
      </c>
      <c r="BK71" s="303" t="s">
        <v>2</v>
      </c>
      <c r="BL71" s="304" t="s">
        <v>3</v>
      </c>
      <c r="BM71" s="308" t="s">
        <v>4</v>
      </c>
      <c r="BN71" s="308" t="s">
        <v>5</v>
      </c>
      <c r="BO71" s="308" t="s">
        <v>6</v>
      </c>
      <c r="BP71" s="308" t="s">
        <v>7</v>
      </c>
      <c r="BQ71" s="308" t="s">
        <v>8</v>
      </c>
      <c r="BR71" s="226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2"/>
      <c r="CH71" s="292"/>
      <c r="CI71" s="292"/>
      <c r="CJ71" s="292"/>
      <c r="CK71" s="292"/>
      <c r="CL71" s="292"/>
      <c r="CM71" s="292"/>
      <c r="CN71" s="292"/>
      <c r="CO71" s="297"/>
    </row>
    <row r="72" ht="21">
      <c r="A72" s="200"/>
      <c r="L72" s="633" t="s">
        <v>0</v>
      </c>
      <c r="M72" s="633"/>
      <c r="N72" s="633"/>
      <c r="O72" s="278" t="s">
        <v>1</v>
      </c>
      <c r="P72" s="278" t="s">
        <v>2</v>
      </c>
      <c r="Q72" s="291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596</v>
      </c>
      <c r="AW72" s="271">
        <f>(BA72*AY72)/10000</f>
        <v>16</v>
      </c>
      <c r="AX72" s="272" t="s">
        <v>428</v>
      </c>
      <c r="AY72" s="273">
        <f>تسعير!BE54</f>
        <v>400</v>
      </c>
      <c r="AZ72" s="272" t="s">
        <v>125</v>
      </c>
      <c r="BA72" s="273">
        <f>تسعير!BE53</f>
        <v>400</v>
      </c>
      <c r="BC72" s="167"/>
      <c r="BD72" s="167" t="str">
        <f>تسعير!BE52</f>
        <v>بالتات</v>
      </c>
      <c r="BE72" s="167"/>
      <c r="BG72" s="643"/>
      <c r="BH72" s="643"/>
      <c r="BI72" s="643"/>
      <c r="BJ72" s="305"/>
      <c r="BK72" s="305"/>
      <c r="BL72" s="306">
        <f>BJ72*BK72</f>
        <v>0</v>
      </c>
      <c r="BM72" s="309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43"/>
      <c r="M73" s="643"/>
      <c r="N73" s="643"/>
      <c r="O73" s="279"/>
      <c r="P73" s="279"/>
      <c r="Q73" s="293">
        <f>O73*P73</f>
        <v>0</v>
      </c>
      <c r="R73" s="294" t="e">
        <f>R140/Q73</f>
        <v>#DIV/0!</v>
      </c>
      <c r="S73" s="295">
        <f>Sheet2!B12</f>
        <v>40000</v>
      </c>
      <c r="T73" s="295">
        <f>Sheet2!B13</f>
        <v>45000</v>
      </c>
      <c r="U73" s="295">
        <f>Sheet2!B14</f>
        <v>210000</v>
      </c>
      <c r="V73" s="295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560</v>
      </c>
      <c r="AY73" s="194" t="s">
        <v>30</v>
      </c>
      <c r="AZ73" s="194" t="s">
        <v>561</v>
      </c>
      <c r="BA73" s="194" t="s">
        <v>562</v>
      </c>
      <c r="BB73" s="167"/>
      <c r="BC73" s="198" t="s">
        <v>563</v>
      </c>
      <c r="BD73" s="198"/>
      <c r="BE73" s="198" t="s">
        <v>564</v>
      </c>
      <c r="BF73" s="167"/>
      <c r="BG73" s="645" t="s">
        <v>17</v>
      </c>
      <c r="BH73" s="645"/>
      <c r="BI73" s="307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6" t="s">
        <v>18</v>
      </c>
      <c r="BM73" s="642">
        <f>NOW()</f>
        <v>45683.540548912039</v>
      </c>
      <c r="BN73" s="642"/>
      <c r="BO73" s="642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5" t="s">
        <v>558</v>
      </c>
      <c r="B74" s="536">
        <f>(F74*D74)/10000</f>
        <v>20</v>
      </c>
      <c r="C74" s="537" t="s">
        <v>428</v>
      </c>
      <c r="D74" s="538">
        <f>تسعير!BE34</f>
        <v>400</v>
      </c>
      <c r="E74" s="537" t="s">
        <v>125</v>
      </c>
      <c r="F74" s="538">
        <f>تسعير!BE33</f>
        <v>500</v>
      </c>
      <c r="G74" s="537" t="s">
        <v>172</v>
      </c>
      <c r="H74" s="538" t="str">
        <f>تسعير!BE26</f>
        <v>خشبي</v>
      </c>
      <c r="I74" s="539" t="str">
        <f>تسعير!BE32</f>
        <v>بالتات</v>
      </c>
      <c r="J74" s="539"/>
      <c r="K74" s="167"/>
      <c r="L74" s="644" t="s">
        <v>17</v>
      </c>
      <c r="M74" s="644"/>
      <c r="N74" s="280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A22</v>
      </c>
      <c r="O74" s="207"/>
      <c r="P74" s="207"/>
      <c r="Q74" s="296" t="s">
        <v>18</v>
      </c>
      <c r="R74" s="642">
        <f>NOW()</f>
        <v>45683.540548912039</v>
      </c>
      <c r="S74" s="642"/>
      <c r="T74" s="642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565</v>
      </c>
      <c r="AW74" s="196">
        <f>ROUNDUP((12+((ROUNDUP((AY72-210),18))/18)),0)</f>
        <v>23</v>
      </c>
      <c r="AX74" s="197">
        <f>BA72-16.5</f>
        <v>383.5</v>
      </c>
      <c r="AY74" s="194" t="s">
        <v>566</v>
      </c>
      <c r="AZ74" s="194">
        <v>2</v>
      </c>
      <c r="BA74" s="194">
        <f>IF((تسعير!$BE$46="سادة"),(BE74*BC74*AZ74*(Sheet2!$B$14+(Sheet2!B41*1000))/1000),(BE74*BC74*AZ74*(Sheet2!$B$14+Sheet2!$B$15)/1000))</f>
        <v>49680</v>
      </c>
      <c r="BC74" s="198">
        <f>IF(AND((AX74&gt;=150),(AX74&lt;201)),4,IF(AND((AX74&gt;=201),(AX74&lt;251)),5,IF(AND((AX74&gt;=251),(AX74&lt;401)),4,IF(AND((AX74&gt;=401),(AX74&lt;501)),5,0))))</f>
        <v>4</v>
      </c>
      <c r="BD74" s="300">
        <f>(BC74*100)/AX74</f>
        <v>1.0430247718383312</v>
      </c>
      <c r="BE74" s="185">
        <f>AW74/(ROUNDDOWN(BD74,0))</f>
        <v>23</v>
      </c>
      <c r="BG74" s="208"/>
      <c r="BH74" s="208"/>
      <c r="BI74" s="209"/>
      <c r="BJ74" s="638" t="s">
        <v>20</v>
      </c>
      <c r="BK74" s="638"/>
      <c r="BL74" s="638"/>
      <c r="BM74" s="638"/>
      <c r="BN74" s="638"/>
      <c r="BO74" s="638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0" t="s">
        <v>9</v>
      </c>
      <c r="B75" s="541" t="s">
        <v>28</v>
      </c>
      <c r="C75" s="541" t="s">
        <v>560</v>
      </c>
      <c r="D75" s="541" t="s">
        <v>30</v>
      </c>
      <c r="E75" s="541" t="s">
        <v>561</v>
      </c>
      <c r="F75" s="541" t="s">
        <v>562</v>
      </c>
      <c r="G75" s="531"/>
      <c r="H75" s="542" t="s">
        <v>563</v>
      </c>
      <c r="I75" s="542"/>
      <c r="J75" s="542" t="s">
        <v>564</v>
      </c>
      <c r="L75" s="208"/>
      <c r="M75" s="208"/>
      <c r="N75" s="209"/>
      <c r="O75" s="638" t="s">
        <v>20</v>
      </c>
      <c r="P75" s="638"/>
      <c r="Q75" s="638"/>
      <c r="R75" s="638"/>
      <c r="S75" s="638"/>
      <c r="T75" s="638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567</v>
      </c>
      <c r="AW75" s="194">
        <v>2</v>
      </c>
      <c r="AX75" s="196">
        <f>BA72</f>
        <v>400</v>
      </c>
      <c r="AY75" s="194" t="s">
        <v>566</v>
      </c>
      <c r="AZ75" s="194">
        <v>1.7</v>
      </c>
      <c r="BA75" s="194">
        <f>IF((تسعير!$BE$46="سادة"),(BE75*BC75*AZ75*(Sheet2!$B$14+(Sheet2!B41*1000))/1000),(BE75*BC75*AZ75*(Sheet2!$B$14+Sheet2!$B$15)/1000))</f>
        <v>4590</v>
      </c>
      <c r="BC75" s="198">
        <f>IF(AND((AX75&gt;=200),(AX75&lt;350)),5,IF(AND((AX75&gt;=350),(AX75&lt;400)),7,IF(AND((AX75&gt;=400),(AX75&lt;501)),5,IF(AND((AX75&gt;=501),(AX75&lt;701)),7,0))))</f>
        <v>5</v>
      </c>
      <c r="BD75" s="300">
        <f>(BC75*100)/AX75</f>
        <v>1.25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570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0" t="s">
        <v>565</v>
      </c>
      <c r="B76" s="543">
        <f>ROUNDUP((12+((ROUNDUP((D74-210),15))/15)),0)</f>
        <v>25</v>
      </c>
      <c r="C76" s="544">
        <f>F74-16.5</f>
        <v>483.5</v>
      </c>
      <c r="D76" s="541" t="s">
        <v>566</v>
      </c>
      <c r="E76" s="541">
        <v>2.3</v>
      </c>
      <c r="F76" s="541">
        <f>IF(($H$74="سادة"),(J76*H76*E76*($U$73+(Sheet2!B41*1000))/1000),(J76*H76*E76*($U$73+(Sheet2!B15))/1000))</f>
        <v>77625</v>
      </c>
      <c r="G76" s="531"/>
      <c r="H76" s="542">
        <f>IF(AND((C76&gt;=150),(C76&lt;201)),4,IF(AND((C76&gt;=201),(C76&lt;251)),5,IF(AND((C76&gt;=251),(C76&lt;401)),4,IF(AND((C76&gt;=401),(C76&lt;501)),5,0))))</f>
        <v>5</v>
      </c>
      <c r="I76" s="281">
        <f ref="I76:I81" t="shared" si="21">(H76*100)/C76</f>
        <v>1.0341261633919339</v>
      </c>
      <c r="J76" s="545">
        <f ref="J76:J81" t="shared" si="22">B76/(ROUNDDOWN(I76,0))</f>
        <v>25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570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451</v>
      </c>
      <c r="AT76" s="255"/>
      <c r="AU76" s="216"/>
      <c r="AV76" s="193" t="s">
        <v>569</v>
      </c>
      <c r="AW76" s="194">
        <v>2</v>
      </c>
      <c r="AX76" s="196">
        <f>AY72</f>
        <v>400</v>
      </c>
      <c r="AY76" s="194" t="s">
        <v>566</v>
      </c>
      <c r="AZ76" s="194">
        <v>1.7</v>
      </c>
      <c r="BA76" s="194">
        <f>IF((تسعير!$BE$46="سادة"),(BE76*BC76*AZ76*(Sheet2!$B$14+(Sheet2!B41*1000))/1000),(BE76*BC76*AZ76*(Sheet2!$B$14+Sheet2!$B$15)/1000))</f>
        <v>4590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0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574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3360</v>
      </c>
      <c r="BQ76" s="240">
        <f>BH76*BP76</f>
        <v>6720</v>
      </c>
      <c r="BR76" s="241" t="e">
        <f>(BQ76)/$R$68</f>
        <v>#DIV/0!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0" t="s">
        <v>567</v>
      </c>
      <c r="B77" s="541">
        <v>2</v>
      </c>
      <c r="C77" s="543">
        <f>F74</f>
        <v>500</v>
      </c>
      <c r="D77" s="541" t="s">
        <v>566</v>
      </c>
      <c r="E77" s="541">
        <v>3.8</v>
      </c>
      <c r="F77" s="541">
        <f>IF(($H$74="سادة"),(J77*H77*E77*($U$73+(Sheet2!B41*1000))/1000),(J77*H77*E77*($U$73+(Sheet2!B15))/1000))</f>
        <v>10260</v>
      </c>
      <c r="G77" s="546"/>
      <c r="H77" s="542">
        <f>IF(AND((C77&gt;=200),(C77&lt;250)),5,IF(AND((C77&gt;=250),(C77&lt;=350)),7,IF(AND((C77&gt;350),(C77&lt;501)),5,IF(AND((C77&gt;=501),(C77&lt;701)),7,0))))</f>
        <v>5</v>
      </c>
      <c r="I77" s="281">
        <f t="shared" si="21"/>
        <v>1</v>
      </c>
      <c r="J77" s="545">
        <f t="shared" si="22"/>
        <v>2</v>
      </c>
      <c r="K77" s="187"/>
      <c r="L77" s="211">
        <v>1</v>
      </c>
      <c r="M77" s="212">
        <f>IF(OR((N74="a11"),(N74="a112"),(N74="a21"),(N74="a22"),(N74="a31"),(N74="a32")),2,4)</f>
        <v>2</v>
      </c>
      <c r="N77" s="213" t="s">
        <v>574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7.1999999999999993</v>
      </c>
      <c r="R77" s="211"/>
      <c r="S77" s="211">
        <v>84</v>
      </c>
      <c r="T77" s="211">
        <f>Table15880101[[#This Row],[المسطح]]*Table15880101[[#This Row],[عدد]]</f>
        <v>14.399999999999999</v>
      </c>
      <c r="U77" s="239">
        <f>S77*$S$2/1000</f>
        <v>3360</v>
      </c>
      <c r="V77" s="240">
        <f>M77*U77</f>
        <v>6720</v>
      </c>
      <c r="W77" s="241" t="e">
        <f>(V77)/$R$68</f>
        <v>#DIV/0!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573</v>
      </c>
      <c r="AW77" s="194">
        <v>1</v>
      </c>
      <c r="AX77" s="194">
        <f>(15.6*(AW74-1)+4)</f>
        <v>347.2</v>
      </c>
      <c r="AY77" s="194" t="s">
        <v>566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576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1480</v>
      </c>
      <c r="BQ77" s="240">
        <f>BH77*BP77</f>
        <v>5920</v>
      </c>
      <c r="BR77" s="241" t="e">
        <f>(BQ77)/$R$68</f>
        <v>#DIV/0!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0" t="s">
        <v>569</v>
      </c>
      <c r="B78" s="541">
        <v>2</v>
      </c>
      <c r="C78" s="543">
        <f>D74</f>
        <v>400</v>
      </c>
      <c r="D78" s="541" t="s">
        <v>566</v>
      </c>
      <c r="E78" s="541">
        <v>3.8</v>
      </c>
      <c r="F78" s="541">
        <f>IF(($H$74="سادة"),(J78*H78*E78*($U$73+(Sheet2!B41*1000))/1000),(J78*H78*E78*($U$73+(Sheet2!B15))/1000))</f>
        <v>10260</v>
      </c>
      <c r="G78" s="546"/>
      <c r="H78" s="542">
        <f>IF(AND((C78&gt;=200),(C78&lt;=250)),5,IF(AND((C78&gt;250),(C78&lt;=350)),7,IF(AND((C78&gt;350),(C78&lt;501)),5,IF(AND((C78&gt;=501),(C78&lt;701)),7,0))))</f>
        <v>5</v>
      </c>
      <c r="I78" s="281">
        <f t="shared" si="21"/>
        <v>1.25</v>
      </c>
      <c r="J78" s="545">
        <f t="shared" si="22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576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1480</v>
      </c>
      <c r="V78" s="240">
        <f>M78*U78</f>
        <v>5920</v>
      </c>
      <c r="W78" s="241" t="e">
        <f>(V78)/$R$68</f>
        <v>#DIV/0!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577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579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1760</v>
      </c>
      <c r="BQ78" s="240">
        <f>BH78*BP78</f>
        <v>7040</v>
      </c>
      <c r="BR78" s="241" t="e">
        <f>(BQ78)/$R$68</f>
        <v>#DIV/0!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451</v>
      </c>
      <c r="CO78" s="255"/>
    </row>
    <row r="79" ht="18.75">
      <c r="A79" s="540" t="s">
        <v>571</v>
      </c>
      <c r="B79" s="541">
        <v>2</v>
      </c>
      <c r="C79" s="543">
        <f>F74</f>
        <v>500</v>
      </c>
      <c r="D79" s="541" t="s">
        <v>566</v>
      </c>
      <c r="E79" s="541">
        <v>1.7</v>
      </c>
      <c r="F79" s="541">
        <f>IF(($H$74="سادة"),(J79*H79*E79*($U$73+(Sheet2!B41*1000))/1000),(J79*H79*E79*($U$73+(Sheet2!B15))/1000))</f>
        <v>4590</v>
      </c>
      <c r="G79" s="546"/>
      <c r="H79" s="542">
        <f>IF(AND((C79&gt;=200),(C79&lt;=250)),5,IF(AND((C79&gt;250),(C79&lt;=350)),7,IF(AND((C79&gt;350),(C79&lt;501)),5,IF(AND((C79&gt;=501),(C79&lt;701)),7,0))))</f>
        <v>5</v>
      </c>
      <c r="I79" s="281">
        <f t="shared" si="21"/>
        <v>1</v>
      </c>
      <c r="J79" s="545">
        <f t="shared" si="22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579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1760</v>
      </c>
      <c r="V79" s="240">
        <f>M79*U79</f>
        <v>7040</v>
      </c>
      <c r="W79" s="241" t="e">
        <f>(V79)/$R$68</f>
        <v>#DIV/0!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580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574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3360</v>
      </c>
      <c r="BQ79" s="240">
        <f>BH79*BP79</f>
        <v>0</v>
      </c>
      <c r="BR79" s="241" t="e">
        <f>(BQ79)/$R$68</f>
        <v>#DIV/0!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453</v>
      </c>
      <c r="CK79" s="207">
        <v>0.03</v>
      </c>
      <c r="CL79" s="207">
        <v>0.03</v>
      </c>
      <c r="CM79" s="207"/>
      <c r="CN79" s="207"/>
      <c r="CO79" s="255"/>
    </row>
    <row r="80" ht="18.75">
      <c r="A80" s="540" t="s">
        <v>575</v>
      </c>
      <c r="B80" s="541">
        <v>2</v>
      </c>
      <c r="C80" s="543">
        <f>D74</f>
        <v>400</v>
      </c>
      <c r="D80" s="541" t="s">
        <v>566</v>
      </c>
      <c r="E80" s="541">
        <v>1.7</v>
      </c>
      <c r="F80" s="541">
        <f>IF(($H$74="سادة"),(J80*H80*E80*($U$73+(Sheet2!B41*1000))/1000),(J80*H80*E80*($U$73+(Sheet2!B15))/1000))</f>
        <v>4590</v>
      </c>
      <c r="G80" s="546"/>
      <c r="H80" s="542">
        <f>IF(AND((C80&gt;=200),(C80&lt;=250)),5,IF(AND((C80&gt;250),(C80&lt;=350)),7,IF(AND((C80&gt;350),(C80&lt;501)),5,IF(AND((C80&gt;=501),(C80&lt;701)),7,0))))</f>
        <v>5</v>
      </c>
      <c r="I80" s="281">
        <f t="shared" si="21"/>
        <v>1.25</v>
      </c>
      <c r="J80" s="545">
        <f t="shared" si="22"/>
        <v>2</v>
      </c>
      <c r="K80" s="187"/>
      <c r="L80" s="211">
        <v>4</v>
      </c>
      <c r="M80" s="212">
        <v>0</v>
      </c>
      <c r="N80" s="213" t="s">
        <v>574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3360</v>
      </c>
      <c r="V80" s="240">
        <f>M80*U80</f>
        <v>0</v>
      </c>
      <c r="W80" s="241" t="e">
        <f>(V80)/$R$68</f>
        <v>#DIV/0!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IF((تسعير!BE45="A"),IF(((Table15880101[[#Totals],[المسطح]]+Table16627394[[#Totals],[Column12]])&gt;0),(Table15880101[[#Totals],[المسطح]]+Table16627394[[#Totals],[Column12]]+1)*Table6637495[[#This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581</v>
      </c>
      <c r="AW80" s="194">
        <v>1</v>
      </c>
      <c r="AX80" s="196">
        <v>100</v>
      </c>
      <c r="AY80" s="194" t="s">
        <v>566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582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 t="e">
        <f>(BQ80)/$R$68</f>
        <v>#DIV/0!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455</v>
      </c>
      <c r="CK80" s="216">
        <v>0.05</v>
      </c>
      <c r="CL80" s="216">
        <v>0.05</v>
      </c>
      <c r="CM80" s="216"/>
      <c r="CN80" s="216"/>
      <c r="CO80" s="256"/>
    </row>
    <row r="81" ht="18.75">
      <c r="A81" s="540" t="s">
        <v>578</v>
      </c>
      <c r="B81" s="541">
        <v>2</v>
      </c>
      <c r="C81" s="541">
        <f>C76</f>
        <v>483.5</v>
      </c>
      <c r="D81" s="541" t="s">
        <v>566</v>
      </c>
      <c r="E81" s="541">
        <v>0.65</v>
      </c>
      <c r="F81" s="541">
        <f>IF(($H$74="سادة"),(J81*H81*E81*($U$73+(Sheet2!B41*1000))/1000),(J81*H81*E81*($U$73+(Sheet2!B15))/1000))</f>
        <v>1755</v>
      </c>
      <c r="G81" s="546"/>
      <c r="H81" s="542">
        <f>IF(AND((C81&gt;=150),(C81&lt;201)),4,IF(AND((C81&gt;=201),(C81&lt;251)),5,IF(AND((C81&gt;=251),(C81&lt;401)),4,IF(AND((C81&gt;=401),(C81&lt;501)),5,0))))</f>
        <v>5</v>
      </c>
      <c r="I81" s="281">
        <f t="shared" si="21"/>
        <v>1.0341261633919339</v>
      </c>
      <c r="J81" s="545">
        <f t="shared" si="22"/>
        <v>2</v>
      </c>
      <c r="K81" s="187"/>
      <c r="L81" s="211">
        <v>5</v>
      </c>
      <c r="M81" s="212">
        <f>IF(OR((N74="B11"),(N74="B12"),(N74="B21"),(N74="B22"),(N74="B31"),(N74="B32")),3,0)</f>
        <v>0</v>
      </c>
      <c r="N81" s="215" t="s">
        <v>582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0</v>
      </c>
      <c r="R81" s="242" t="s">
        <v>43</v>
      </c>
      <c r="S81" s="211"/>
      <c r="T81" s="211">
        <f>Table15880101[[#This Row],[المسطح]]*Table15880101[[#This Row],[عدد]]</f>
        <v>0</v>
      </c>
      <c r="U81" s="243">
        <f>S81*$S$2/1000</f>
        <v>0</v>
      </c>
      <c r="V81" s="240">
        <f>M81*U81</f>
        <v>0</v>
      </c>
      <c r="W81" s="241" t="e">
        <f>(V81)/$R$68</f>
        <v>#DIV/0!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461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586</v>
      </c>
      <c r="AW81" s="194"/>
      <c r="AX81" s="194">
        <v>100</v>
      </c>
      <c r="AY81" s="194" t="s">
        <v>373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19680</v>
      </c>
      <c r="BR81" s="244" t="e">
        <f>Table15880101112[[#Totals],[اجمالي]]/$R$68</f>
        <v>#DIV/0!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457</v>
      </c>
      <c r="CK81" s="216">
        <v>0.07</v>
      </c>
      <c r="CL81" s="216">
        <v>0.07</v>
      </c>
      <c r="CM81" s="216"/>
      <c r="CN81" s="216"/>
      <c r="CO81" s="256"/>
    </row>
    <row r="82" ht="18.75">
      <c r="A82" s="540" t="s">
        <v>573</v>
      </c>
      <c r="B82" s="541">
        <v>2</v>
      </c>
      <c r="C82" s="541">
        <f>(15.6*(B76-1)+4)</f>
        <v>378.4</v>
      </c>
      <c r="D82" s="541" t="s">
        <v>566</v>
      </c>
      <c r="E82" s="541">
        <v>1000</v>
      </c>
      <c r="F82" s="541">
        <f>E82*B82</f>
        <v>2000</v>
      </c>
      <c r="G82" s="546"/>
      <c r="H82" s="547"/>
      <c r="I82" s="531"/>
      <c r="J82" s="531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23.520000000000003</v>
      </c>
      <c r="R82" s="211"/>
      <c r="S82" s="211">
        <f>(S77*M77)+(S78*M78)+(M79*S79)+(S80*M80)</f>
        <v>492</v>
      </c>
      <c r="T82" s="211">
        <f>SUBTOTAL(109,Table15880101[اجمالي المسطح])</f>
        <v>79.68</v>
      </c>
      <c r="U82" s="242"/>
      <c r="V82" s="240">
        <f>SUBTOTAL(109,Table15880101[اجمالي])</f>
        <v>19680</v>
      </c>
      <c r="W82" s="244" t="e">
        <f>Table15880101[[#Totals],[اجمالي]]/$R$68</f>
        <v>#DIV/0!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584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38" t="s">
        <v>76</v>
      </c>
      <c r="BK82" s="638"/>
      <c r="BL82" s="638"/>
      <c r="BM82" s="638"/>
      <c r="BN82" s="638"/>
      <c r="BO82" s="638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459</v>
      </c>
      <c r="CK82" s="216">
        <v>0.1</v>
      </c>
      <c r="CL82" s="216">
        <v>0.1</v>
      </c>
      <c r="CM82" s="216"/>
      <c r="CN82" s="216"/>
      <c r="CO82" s="256"/>
    </row>
    <row r="83" ht="18.75">
      <c r="A83" s="540" t="s">
        <v>577</v>
      </c>
      <c r="B83" s="541"/>
      <c r="C83" s="541">
        <f>B76*2</f>
        <v>50</v>
      </c>
      <c r="D83" s="541" t="s">
        <v>28</v>
      </c>
      <c r="E83" s="541">
        <v>20</v>
      </c>
      <c r="F83" s="541">
        <f>E83*C83</f>
        <v>1000</v>
      </c>
      <c r="G83" s="546"/>
      <c r="H83" s="547"/>
      <c r="I83" s="531"/>
      <c r="J83" s="531"/>
      <c r="K83" s="187"/>
      <c r="L83" s="216"/>
      <c r="M83" s="216"/>
      <c r="N83" s="217"/>
      <c r="O83" s="638" t="s">
        <v>76</v>
      </c>
      <c r="P83" s="638"/>
      <c r="Q83" s="638"/>
      <c r="R83" s="638"/>
      <c r="S83" s="638"/>
      <c r="T83" s="638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3" s="216"/>
      <c r="AO83" s="216" t="s">
        <v>465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585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461</v>
      </c>
      <c r="CK83" s="216">
        <v>0.15</v>
      </c>
      <c r="CL83" s="216">
        <v>0.15</v>
      </c>
      <c r="CM83" s="216"/>
      <c r="CN83" s="216"/>
      <c r="CO83" s="256"/>
    </row>
    <row r="84" ht="18.75">
      <c r="A84" s="540" t="s">
        <v>580</v>
      </c>
      <c r="B84" s="541"/>
      <c r="C84" s="541">
        <f>B76*2</f>
        <v>50</v>
      </c>
      <c r="D84" s="541" t="s">
        <v>28</v>
      </c>
      <c r="E84" s="541">
        <v>18</v>
      </c>
      <c r="F84" s="541">
        <f>E84*C84</f>
        <v>900</v>
      </c>
      <c r="G84" s="546"/>
      <c r="H84" s="547"/>
      <c r="I84" s="531"/>
      <c r="J84" s="53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4" s="216"/>
      <c r="AO84" s="216" t="s">
        <v>467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183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3">BH84*BP84</f>
        <v>1200</v>
      </c>
      <c r="BR84" s="241" t="e">
        <f>(BQ84)/$R$68</f>
        <v>#DIV/0!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463</v>
      </c>
      <c r="CK84" s="216">
        <v>0.05</v>
      </c>
      <c r="CL84" s="216">
        <v>0.1</v>
      </c>
      <c r="CM84" s="216"/>
      <c r="CN84" s="216"/>
      <c r="CO84" s="256"/>
    </row>
    <row r="85" ht="18.75">
      <c r="A85" s="540" t="s">
        <v>581</v>
      </c>
      <c r="B85" s="541">
        <v>1</v>
      </c>
      <c r="C85" s="543">
        <v>100</v>
      </c>
      <c r="D85" s="541" t="s">
        <v>566</v>
      </c>
      <c r="E85" s="541">
        <v>250</v>
      </c>
      <c r="F85" s="541">
        <f>Table80102114115[[#This Row],[wt/m]]*Table80102114115[[#This Row],[عدد]]</f>
        <v>250</v>
      </c>
      <c r="G85" s="546"/>
      <c r="H85" s="547"/>
      <c r="I85" s="531"/>
      <c r="J85" s="548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4">M85*U85</f>
        <v>800</v>
      </c>
      <c r="W85" s="241" t="e">
        <f>(V85)/$R$68</f>
        <v>#DIV/0!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5" s="216"/>
      <c r="AO85" s="216"/>
      <c r="AP85" s="216"/>
      <c r="AQ85" s="216"/>
      <c r="AR85" s="216"/>
      <c r="AS85" s="216"/>
      <c r="AT85" s="256"/>
      <c r="AU85" s="216"/>
      <c r="AV85" s="299" t="s">
        <v>58</v>
      </c>
      <c r="AW85" s="301">
        <f>(Table80102113[[#Totals],[price]]*1.1)/(BA72*AY72/10000)</f>
        <v>5443.7281250000005</v>
      </c>
      <c r="AX85" s="302"/>
      <c r="AY85" s="302"/>
      <c r="AZ85" s="302"/>
      <c r="BA85" s="302">
        <f>SUBTOTAL(109,Table80102113[price])</f>
        <v>79181.5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3"/>
        <v>220</v>
      </c>
      <c r="BR85" s="241" t="e">
        <f>(BQ85)/$R$68</f>
        <v>#DIV/0!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465</v>
      </c>
      <c r="CK85" s="216">
        <v>0.05</v>
      </c>
      <c r="CL85" s="216">
        <v>0.15</v>
      </c>
      <c r="CM85" s="216"/>
      <c r="CN85" s="216"/>
      <c r="CO85" s="256"/>
    </row>
    <row r="86" ht="18.75">
      <c r="A86" s="540" t="s">
        <v>586</v>
      </c>
      <c r="B86" s="541"/>
      <c r="C86" s="541">
        <v>4</v>
      </c>
      <c r="D86" s="541" t="s">
        <v>373</v>
      </c>
      <c r="E86" s="541">
        <v>250</v>
      </c>
      <c r="F86" s="541">
        <f>C86*E86</f>
        <v>1000</v>
      </c>
      <c r="G86" s="546"/>
      <c r="H86" s="531"/>
      <c r="I86" s="546"/>
      <c r="J86" s="546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4"/>
        <v>220</v>
      </c>
      <c r="W86" s="241" t="e">
        <f>(V86)/$R$68</f>
        <v>#DIV/0!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3"/>
        <v>130</v>
      </c>
      <c r="BR86" s="241" t="e">
        <f>(BQ86)/$R$68</f>
        <v>#DIV/0!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467</v>
      </c>
      <c r="CK86" s="216">
        <v>0.1</v>
      </c>
      <c r="CL86" s="216">
        <v>0.15</v>
      </c>
      <c r="CM86" s="216"/>
      <c r="CN86" s="216"/>
      <c r="CO86" s="256"/>
    </row>
    <row r="87" ht="18.75">
      <c r="A87" s="540" t="s">
        <v>587</v>
      </c>
      <c r="B87" s="541"/>
      <c r="C87" s="541">
        <v>8</v>
      </c>
      <c r="D87" s="541" t="s">
        <v>28</v>
      </c>
      <c r="E87" s="541">
        <v>300</v>
      </c>
      <c r="F87" s="541">
        <f>C87*E87</f>
        <v>2400</v>
      </c>
      <c r="G87" s="546"/>
      <c r="H87" s="531"/>
      <c r="I87" s="546"/>
      <c r="J87" s="546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4"/>
        <v>130</v>
      </c>
      <c r="W87" s="241" t="e">
        <f>(V87)/$R$68</f>
        <v>#DIV/0!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3"/>
        <v>480</v>
      </c>
      <c r="BR87" s="241" t="e">
        <f>(BQ87)/$R$68</f>
        <v>#DIV/0!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40" t="s">
        <v>584</v>
      </c>
      <c r="B88" s="541"/>
      <c r="C88" s="541">
        <f>B76*2</f>
        <v>50</v>
      </c>
      <c r="D88" s="541" t="s">
        <v>28</v>
      </c>
      <c r="E88" s="541">
        <v>120</v>
      </c>
      <c r="F88" s="541">
        <f>C88*E88</f>
        <v>6000</v>
      </c>
      <c r="G88" s="546"/>
      <c r="H88" s="531"/>
      <c r="I88" s="531"/>
      <c r="J88" s="531"/>
      <c r="K88" s="187"/>
      <c r="L88" s="211">
        <v>4</v>
      </c>
      <c r="M88" s="212">
        <f>M95</f>
        <v>16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50</v>
      </c>
      <c r="V88" s="240">
        <f t="shared" si="24"/>
        <v>800</v>
      </c>
      <c r="W88" s="241" t="e">
        <f>(V88)/$R$68</f>
        <v>#DIV/0!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3"/>
        <v>0</v>
      </c>
      <c r="BR88" s="241" t="e">
        <f>(BQ88)/$R$68</f>
        <v>#DIV/0!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0" t="s">
        <v>585</v>
      </c>
      <c r="B89" s="541"/>
      <c r="C89" s="541">
        <f>B76*2</f>
        <v>50</v>
      </c>
      <c r="D89" s="541" t="s">
        <v>28</v>
      </c>
      <c r="E89" s="541">
        <v>120</v>
      </c>
      <c r="F89" s="541">
        <f>C89*E89</f>
        <v>6000</v>
      </c>
      <c r="G89" s="546"/>
      <c r="H89" s="531"/>
      <c r="I89" s="531"/>
      <c r="J89" s="531"/>
      <c r="K89" s="187"/>
      <c r="L89" s="211">
        <v>5</v>
      </c>
      <c r="M89" s="212">
        <f>IF((I74="بالتات"),0,4)</f>
        <v>0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4"/>
        <v>0</v>
      </c>
      <c r="W89" s="241" t="e">
        <f>(V89)/$R$68</f>
        <v>#DIV/0!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 t="e">
        <f>Table15617293104[[#Totals],[اجمالي]]/$R$68</f>
        <v>#DIV/0!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0" t="s">
        <v>588</v>
      </c>
      <c r="B90" s="541">
        <v>2</v>
      </c>
      <c r="C90" s="541"/>
      <c r="D90" s="541" t="s">
        <v>566</v>
      </c>
      <c r="E90" s="541">
        <v>1000</v>
      </c>
      <c r="F90" s="541">
        <f>B90*E90</f>
        <v>2000</v>
      </c>
      <c r="G90" s="546"/>
      <c r="H90" s="531"/>
      <c r="I90" s="531"/>
      <c r="J90" s="531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1950</v>
      </c>
      <c r="W90" s="244" t="e">
        <f>Table15617293[[#Totals],[اجمالي]]/$R$68</f>
        <v>#DIV/0!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38" t="s">
        <v>99</v>
      </c>
      <c r="BK90" s="638"/>
      <c r="BL90" s="638"/>
      <c r="BM90" s="638"/>
      <c r="BN90" s="638"/>
      <c r="BO90" s="638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0" t="s">
        <v>589</v>
      </c>
      <c r="B91" s="541"/>
      <c r="C91" s="541">
        <f>ROUNDUP(((C76*B76)/100),0)</f>
        <v>121</v>
      </c>
      <c r="D91" s="541" t="s">
        <v>566</v>
      </c>
      <c r="E91" s="541">
        <v>10</v>
      </c>
      <c r="F91" s="541">
        <f>C91*E91</f>
        <v>1210</v>
      </c>
      <c r="G91" s="546"/>
      <c r="H91" s="531"/>
      <c r="I91" s="531"/>
      <c r="J91" s="531"/>
      <c r="K91" s="187"/>
      <c r="L91" s="216"/>
      <c r="M91" s="216"/>
      <c r="N91" s="217"/>
      <c r="O91" s="638" t="s">
        <v>99</v>
      </c>
      <c r="P91" s="638"/>
      <c r="Q91" s="638"/>
      <c r="R91" s="638"/>
      <c r="S91" s="638"/>
      <c r="T91" s="638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590</v>
      </c>
      <c r="B92" s="557"/>
      <c r="C92" s="557">
        <f>C91</f>
        <v>121</v>
      </c>
      <c r="D92" s="541" t="s">
        <v>566</v>
      </c>
      <c r="E92" s="557">
        <v>20</v>
      </c>
      <c r="F92" s="541">
        <f ref="F92:F93" t="shared" si="25">C92*E92</f>
        <v>2420</v>
      </c>
      <c r="G92" s="531"/>
      <c r="H92" s="531"/>
      <c r="I92" s="531"/>
      <c r="J92" s="53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480</v>
      </c>
      <c r="BQ92" s="240">
        <f>BH92*BP92</f>
        <v>1920</v>
      </c>
      <c r="BR92" s="249" t="e">
        <f>(BQ92)/$R$68</f>
        <v>#DIV/0!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0" t="s">
        <v>591</v>
      </c>
      <c r="B93" s="541" t="s">
        <v>592</v>
      </c>
      <c r="C93" s="541">
        <f>ROUNDUP((B76/3),0)</f>
        <v>9</v>
      </c>
      <c r="D93" s="541" t="s">
        <v>28</v>
      </c>
      <c r="E93" s="541">
        <v>250</v>
      </c>
      <c r="F93" s="541">
        <f t="shared" si="25"/>
        <v>2250</v>
      </c>
      <c r="G93" s="531"/>
      <c r="H93" s="531"/>
      <c r="I93" s="531"/>
      <c r="J93" s="531"/>
      <c r="L93" s="211">
        <v>1</v>
      </c>
      <c r="M93" s="212">
        <f>IF((I74="بالتات"),4,0)</f>
        <v>4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480</v>
      </c>
      <c r="V93" s="240">
        <f>M93*U93</f>
        <v>1920</v>
      </c>
      <c r="W93" s="249" t="e">
        <f>(V93)/$R$68</f>
        <v>#DIV/0!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474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280</v>
      </c>
      <c r="BQ93" s="240">
        <f>BH93*BP93</f>
        <v>0</v>
      </c>
      <c r="BR93" s="241" t="e">
        <f>(BQ93)/$R$68</f>
        <v>#DIV/0!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0" t="s">
        <v>593</v>
      </c>
      <c r="B94" s="541" t="s">
        <v>594</v>
      </c>
      <c r="C94" s="541">
        <f>C93</f>
        <v>9</v>
      </c>
      <c r="D94" s="541" t="s">
        <v>28</v>
      </c>
      <c r="E94" s="541">
        <v>40</v>
      </c>
      <c r="F94" s="541">
        <f>E94*C94</f>
        <v>360</v>
      </c>
      <c r="G94" s="531"/>
      <c r="H94" s="531"/>
      <c r="I94" s="531"/>
      <c r="J94" s="531"/>
      <c r="L94" s="211">
        <v>2</v>
      </c>
      <c r="M94" s="219">
        <v>0</v>
      </c>
      <c r="N94" s="220" t="s">
        <v>474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280</v>
      </c>
      <c r="V94" s="240">
        <f>M94*U94</f>
        <v>0</v>
      </c>
      <c r="W94" s="241" t="e">
        <f>(V94)/$R$68</f>
        <v>#DIV/0!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30</v>
      </c>
      <c r="BQ94" s="240">
        <f>BH94*BP94</f>
        <v>480</v>
      </c>
      <c r="BR94" s="251" t="e">
        <f>(BQ94)/$R$68</f>
        <v>#DIV/0!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0" t="s">
        <v>595</v>
      </c>
      <c r="B95" s="541" t="s">
        <v>28</v>
      </c>
      <c r="C95" s="541">
        <v>2</v>
      </c>
      <c r="D95" s="541" t="s">
        <v>28</v>
      </c>
      <c r="E95" s="541">
        <v>1500</v>
      </c>
      <c r="F95" s="541">
        <f>E95*C95</f>
        <v>3000</v>
      </c>
      <c r="G95" s="531"/>
      <c r="H95" s="531"/>
      <c r="I95" s="531"/>
      <c r="J95" s="531"/>
      <c r="L95" s="211">
        <v>3</v>
      </c>
      <c r="M95" s="212">
        <f>M93*4</f>
        <v>16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0.16000000000000003</v>
      </c>
      <c r="R95" s="211" t="s">
        <v>85</v>
      </c>
      <c r="S95" s="211">
        <v>0.75</v>
      </c>
      <c r="T95" s="211"/>
      <c r="U95" s="243">
        <f>S95*$S$2/1000</f>
        <v>30</v>
      </c>
      <c r="V95" s="240">
        <f>M95*U95</f>
        <v>480</v>
      </c>
      <c r="W95" s="251" t="e">
        <f>(V95)/$R$68</f>
        <v>#DIV/0!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2400</v>
      </c>
      <c r="BR95" s="244" t="e">
        <f>Table16627394105[[#Totals],[اجمالي]]/$R$68</f>
        <v>#DIV/0!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0" t="s">
        <v>183</v>
      </c>
      <c r="B96" s="541" t="s">
        <v>28</v>
      </c>
      <c r="C96" s="541">
        <v>1</v>
      </c>
      <c r="D96" s="541" t="s">
        <v>28</v>
      </c>
      <c r="E96" s="541">
        <f>E23</f>
        <v>9000</v>
      </c>
      <c r="F96" s="541">
        <f>E96*C96</f>
        <v>9000</v>
      </c>
      <c r="G96" s="531"/>
      <c r="H96" s="531"/>
      <c r="I96" s="531"/>
      <c r="J96" s="531"/>
      <c r="L96" s="211" t="s">
        <v>58</v>
      </c>
      <c r="M96" s="212">
        <f>SUBTOTAL(109,Table16627394[عدد])</f>
        <v>20</v>
      </c>
      <c r="N96" s="213" t="s">
        <v>58</v>
      </c>
      <c r="O96" s="214"/>
      <c r="P96" s="214"/>
      <c r="Q96" s="216">
        <f>SUBTOTAL(109,Table16627394[Column12])</f>
        <v>9.7600000000000016</v>
      </c>
      <c r="R96" s="211"/>
      <c r="S96" s="211">
        <f>(S94*M94)+(M95*S95)</f>
        <v>12</v>
      </c>
      <c r="T96" s="211"/>
      <c r="U96" s="242"/>
      <c r="V96" s="240">
        <f>SUBTOTAL(109,Table16627394[اجمالي])</f>
        <v>2400</v>
      </c>
      <c r="W96" s="244" t="e">
        <f>Table16627394[[#Totals],[اجمالي]]/$R$68</f>
        <v>#DIV/0!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38" t="s">
        <v>102</v>
      </c>
      <c r="BK96" s="638"/>
      <c r="BL96" s="638"/>
      <c r="BM96" s="638"/>
      <c r="BN96" s="638"/>
      <c r="BO96" s="638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8187.85</v>
      </c>
      <c r="C97" s="194"/>
      <c r="D97" s="194"/>
      <c r="E97" s="194"/>
      <c r="F97" s="194">
        <f>SUBTOTAL(109,Table80102114115[price])</f>
        <v>148870</v>
      </c>
      <c r="L97" s="216"/>
      <c r="M97" s="216"/>
      <c r="N97" s="217"/>
      <c r="O97" s="638" t="s">
        <v>102</v>
      </c>
      <c r="P97" s="638"/>
      <c r="Q97" s="638"/>
      <c r="R97" s="638"/>
      <c r="S97" s="638"/>
      <c r="T97" s="638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2" t="shared" si="26">BH98*BP98</f>
        <v>0</v>
      </c>
      <c r="BR98" s="241" t="e">
        <f ref="BR98:BR112" t="shared" si="27" ca="1">(BQ98)/$R$68</f>
        <v>#DIV/0!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0</v>
      </c>
      <c r="W99" s="241" t="e">
        <f ref="W99:W113" t="shared" si="29" ca="1">(V99)/$R$68</f>
        <v>#DIV/0!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 t="e">
        <f t="shared" si="27" ca="1"/>
        <v>#DIV/0!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25</v>
      </c>
      <c r="V100" s="240">
        <f t="shared" si="28"/>
        <v>75</v>
      </c>
      <c r="W100" s="241" t="e">
        <f t="shared" si="29" ca="1"/>
        <v>#DIV/0!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 t="e">
        <f t="shared" si="27" ca="1"/>
        <v>#DIV/0!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25</v>
      </c>
      <c r="V101" s="240">
        <f t="shared" si="28"/>
        <v>75</v>
      </c>
      <c r="W101" s="241" t="e">
        <f t="shared" si="29" ca="1"/>
        <v>#DIV/0!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 t="e">
        <f t="shared" si="27" ca="1"/>
        <v>#DIV/0!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 t="e">
        <f t="shared" si="29" ca="1"/>
        <v>#DIV/0!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 t="e">
        <f t="shared" si="27" ca="1"/>
        <v>#DIV/0!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 t="e">
        <f t="shared" si="29" ca="1"/>
        <v>#DIV/0!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 t="e">
        <f t="shared" si="27" ca="1"/>
        <v>#DIV/0!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 t="e">
        <f t="shared" si="29" ca="1"/>
        <v>#DIV/0!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220</v>
      </c>
      <c r="BQ104" s="240">
        <f t="shared" si="26"/>
        <v>0</v>
      </c>
      <c r="BR104" s="251" t="e">
        <f t="shared" si="27" ca="1"/>
        <v>#DIV/0!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1">M105*U105</f>
        <v>0</v>
      </c>
      <c r="W105" s="251" t="e">
        <f t="shared" si="29" ca="1"/>
        <v>#DIV/0!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100</v>
      </c>
      <c r="BQ105" s="240">
        <f t="shared" si="26"/>
        <v>400</v>
      </c>
      <c r="BR105" s="251" t="e">
        <f t="shared" si="27" ca="1"/>
        <v>#DIV/0!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100</v>
      </c>
      <c r="V106" s="240">
        <f t="shared" si="31"/>
        <v>400</v>
      </c>
      <c r="W106" s="251" t="e">
        <f t="shared" si="29" ca="1"/>
        <v>#DIV/0!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0</v>
      </c>
      <c r="BR106" s="251" t="e">
        <f t="shared" si="27" ca="1"/>
        <v>#DIV/0!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0</v>
      </c>
      <c r="W107" s="251" t="e">
        <f t="shared" si="29" ca="1"/>
        <v>#DIV/0!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IF((تسعير!BE45="B"),(Table15880101112[[#Totals],[الوزن]]+Table16627394105[[#Totals],[الوزن]]),0)</f>
        <v>504</v>
      </c>
      <c r="BI107" s="570" t="s">
        <v>132</v>
      </c>
      <c r="BJ107" s="572"/>
      <c r="BK107" s="572"/>
      <c r="BL107" s="572"/>
      <c r="BM107" s="574"/>
      <c r="BN107" s="573"/>
      <c r="BO107" s="211"/>
      <c r="BP107" s="248">
        <v>30</v>
      </c>
      <c r="BQ107" s="240">
        <f t="shared" si="26"/>
        <v>15120</v>
      </c>
      <c r="BR107" s="251" t="e">
        <f t="shared" si="27" ca="1"/>
        <v>#DIV/0!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 t="e">
        <f t="shared" si="29" ca="1"/>
        <v>#DIV/0!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568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570" t="s">
        <v>62</v>
      </c>
      <c r="BJ108" s="572"/>
      <c r="BK108" s="572"/>
      <c r="BL108" s="572"/>
      <c r="BM108" s="574" t="s">
        <v>115</v>
      </c>
      <c r="BN108" s="573"/>
      <c r="BO108" s="211"/>
      <c r="BP108" s="248">
        <f t="shared" si="30"/>
        <v>475</v>
      </c>
      <c r="BQ108" s="240">
        <f t="shared" si="26"/>
        <v>11875</v>
      </c>
      <c r="BR108" s="251" t="e">
        <f t="shared" si="27" ca="1"/>
        <v>#DIV/0!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IF((تسعير!BE45="B"),(Table15880101[[#Totals],[الوزن]]+Table16627394[[#Totals],[الوزن]]),0)</f>
        <v>504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1"/>
        <v>15120</v>
      </c>
      <c r="W109" s="251" t="e">
        <f t="shared" si="29" ca="1"/>
        <v>#DIV/0!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8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0" t="s">
        <v>70</v>
      </c>
      <c r="BJ109" s="572"/>
      <c r="BK109" s="572"/>
      <c r="BL109" s="572"/>
      <c r="BM109" s="575" t="s">
        <v>116</v>
      </c>
      <c r="BN109" s="573"/>
      <c r="BO109" s="211"/>
      <c r="BP109" s="248">
        <f t="shared" si="30"/>
        <v>525</v>
      </c>
      <c r="BQ109" s="240">
        <f t="shared" si="26"/>
        <v>13125</v>
      </c>
      <c r="BR109" s="251" t="e">
        <f t="shared" si="27" ca="1"/>
        <v>#DIV/0!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475</v>
      </c>
      <c r="V110" s="240">
        <f t="shared" si="31"/>
        <v>11875</v>
      </c>
      <c r="W110" s="251" t="e">
        <f t="shared" si="29" ca="1"/>
        <v>#DIV/0!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8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0" t="s">
        <v>78</v>
      </c>
      <c r="BJ110" s="572"/>
      <c r="BK110" s="572"/>
      <c r="BL110" s="572"/>
      <c r="BM110" s="575" t="s">
        <v>117</v>
      </c>
      <c r="BN110" s="573"/>
      <c r="BO110" s="211"/>
      <c r="BP110" s="248">
        <f t="shared" si="30"/>
        <v>190</v>
      </c>
      <c r="BQ110" s="240">
        <f t="shared" si="26"/>
        <v>950</v>
      </c>
      <c r="BR110" s="251" t="e">
        <f t="shared" si="27" ca="1"/>
        <v>#DIV/0!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525</v>
      </c>
      <c r="V111" s="240">
        <f t="shared" si="31"/>
        <v>13125</v>
      </c>
      <c r="W111" s="251" t="e">
        <f t="shared" si="29" ca="1"/>
        <v>#DIV/0!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8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0" t="s">
        <v>80</v>
      </c>
      <c r="BJ111" s="572"/>
      <c r="BK111" s="572"/>
      <c r="BL111" s="572"/>
      <c r="BM111" s="575" t="s">
        <v>117</v>
      </c>
      <c r="BN111" s="573"/>
      <c r="BO111" s="211"/>
      <c r="BP111" s="248">
        <f t="shared" si="30"/>
        <v>190</v>
      </c>
      <c r="BQ111" s="240">
        <f t="shared" si="26"/>
        <v>950</v>
      </c>
      <c r="BR111" s="251" t="e">
        <f t="shared" si="27" ca="1"/>
        <v>#DIV/0!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190</v>
      </c>
      <c r="V112" s="240">
        <f>M112*U113</f>
        <v>950</v>
      </c>
      <c r="W112" s="251" t="e">
        <f t="shared" si="29" ca="1"/>
        <v>#DIV/0!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7"/>
      <c r="BI112" s="569"/>
      <c r="BJ112" s="571"/>
      <c r="BK112" s="571"/>
      <c r="BL112" s="571"/>
      <c r="BM112" s="573"/>
      <c r="BN112" s="211"/>
      <c r="BO112" s="211"/>
      <c r="BP112" s="248">
        <f t="shared" si="30"/>
        <v>0</v>
      </c>
      <c r="BQ112" s="240">
        <f t="shared" si="26"/>
        <v>0</v>
      </c>
      <c r="BR112" s="251" t="e">
        <f t="shared" si="27" ca="1"/>
        <v>#DIV/0!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190</v>
      </c>
      <c r="V113" s="240">
        <f>M113*U114</f>
        <v>0</v>
      </c>
      <c r="W113" s="251" t="e">
        <f t="shared" si="29" ca="1"/>
        <v>#DIV/0!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0" t="s">
        <v>58</v>
      </c>
      <c r="BH113" s="561"/>
      <c r="BI113" s="562" t="s">
        <v>58</v>
      </c>
      <c r="BJ113" s="563"/>
      <c r="BK113" s="563"/>
      <c r="BL113" s="563"/>
      <c r="BM113" s="560" t="s">
        <v>118</v>
      </c>
      <c r="BN113" s="560"/>
      <c r="BO113" s="560"/>
      <c r="BP113" s="564"/>
      <c r="BQ113" s="565">
        <f>SUBTOTAL(109,Table13597192103[اجمالي])</f>
        <v>42783</v>
      </c>
      <c r="BR113" s="566" t="e">
        <f>Table13597192103[[#Totals],[اجمالي]]/$R$68</f>
        <v>#DIV/0!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0" t="s">
        <v>58</v>
      </c>
      <c r="M114" s="511"/>
      <c r="N114" s="512" t="s">
        <v>58</v>
      </c>
      <c r="O114" s="513"/>
      <c r="P114" s="513"/>
      <c r="Q114" s="513"/>
      <c r="R114" s="510" t="s">
        <v>118</v>
      </c>
      <c r="S114" s="510"/>
      <c r="T114" s="510"/>
      <c r="U114" s="514"/>
      <c r="V114" s="515">
        <f>SUBTOTAL(109,Table13597192[اجمالي])</f>
        <v>41890</v>
      </c>
      <c r="W114" s="516" t="e">
        <f>Table13597192[[#Totals],[اجمالي]]/$R$68</f>
        <v>#DIV/0!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38" t="s">
        <v>131</v>
      </c>
      <c r="BK115" s="638"/>
      <c r="BL115" s="638"/>
      <c r="BM115" s="638"/>
      <c r="BN115" s="638"/>
      <c r="BO115" s="638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38" t="s">
        <v>131</v>
      </c>
      <c r="P116" s="638"/>
      <c r="Q116" s="638"/>
      <c r="R116" s="638"/>
      <c r="S116" s="638"/>
      <c r="T116" s="638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558</v>
      </c>
      <c r="BJ117" s="214"/>
      <c r="BK117" s="211"/>
      <c r="BL117" s="216"/>
      <c r="BM117" s="214"/>
      <c r="BN117" s="211"/>
      <c r="BO117" s="247"/>
      <c r="BP117" s="248">
        <f>Table80102113[[#Totals],[price]]</f>
        <v>79181.5</v>
      </c>
      <c r="BQ117" s="252">
        <f>BH117*Table1613687798109[[#This Row],[سعر الشبك ]]</f>
        <v>79181.5</v>
      </c>
      <c r="BR117" s="241" t="e">
        <f>(BQ117)/$R$68</f>
        <v>#DIV/0!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558</v>
      </c>
      <c r="O118" s="214"/>
      <c r="P118" s="211"/>
      <c r="Q118" s="216"/>
      <c r="R118" s="214"/>
      <c r="S118" s="211"/>
      <c r="T118" s="247"/>
      <c r="U118" s="248">
        <f>F97</f>
        <v>148870</v>
      </c>
      <c r="V118" s="252">
        <f>M118*Table1613687798[[#This Row],[سعر الشبك ]]</f>
        <v>148870</v>
      </c>
      <c r="W118" s="241" t="e">
        <f>(V118)/$R$68</f>
        <v>#DIV/0!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79181.5</v>
      </c>
      <c r="BQ118" s="240">
        <f>BH118*Table1613687798109[[#This Row],[سعر الشبك ]]</f>
        <v>7918.1500000000005</v>
      </c>
      <c r="BR118" s="241" t="e">
        <f>(BQ118)/$R$68</f>
        <v>#DIV/0!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148870</v>
      </c>
      <c r="V119" s="240">
        <f>M119*Table1613687798[[#This Row],[سعر الشبك ]]</f>
        <v>14887</v>
      </c>
      <c r="W119" s="241" t="e">
        <f>(V119)/$R$68</f>
        <v>#DIV/0!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87099.65</v>
      </c>
      <c r="BR119" s="244" t="e">
        <f>Table1613687798109[[#Totals],[اجمالي]]/$R$68</f>
        <v>#DIV/0!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163757</v>
      </c>
      <c r="W120" s="244" t="e">
        <f>Table1613687798[[#Totals],[اجمالي]]/$R$68</f>
        <v>#DIV/0!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38" t="s">
        <v>133</v>
      </c>
      <c r="BK120" s="638"/>
      <c r="BL120" s="638"/>
      <c r="BM120" s="638"/>
      <c r="BN120" s="638"/>
      <c r="BO120" s="638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38" t="s">
        <v>133</v>
      </c>
      <c r="P121" s="638"/>
      <c r="Q121" s="638"/>
      <c r="R121" s="638"/>
      <c r="S121" s="638"/>
      <c r="T121" s="638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العمل]]="المصنع"),Sheet2!$B$58,IF((Table1612677697108[[#This Row],[موقع العمل]]="الاسكندرية"),Sheet2!$B$58,Sheet2!$B$59))</f>
        <v>250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2" s="240">
        <f ref="BQ122:BQ134" t="shared" si="33" ca="1">BH122*BP122</f>
        <v>500</v>
      </c>
      <c r="BR122" s="241" t="e">
        <f ref="BR122:BR134" t="shared" si="34" ca="1">(BQ122)/$R$68</f>
        <v>#DIV/0!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العمل]]="المصنع"),Sheet2!$B$58,IF((Table1612677697[[#This Row],[موقع العمل]]="الاسكندرية"),Sheet2!$B$58,Sheet2!$B$59))</f>
        <v>250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3" s="240">
        <f ref="V123:V135" t="shared" si="35" ca="1">M123*U123</f>
        <v>500</v>
      </c>
      <c r="W123" s="241" t="e">
        <f ref="W123:W135" t="shared" si="36" ca="1">(V123)/$R$68</f>
        <v>#DIV/0!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العمل]]="المصنع"),Sheet2!$B$58,IF((Table1612677697108[[#This Row],[موقع العمل]]="الاسكندرية"),Sheet2!$B$58,Sheet2!$B$59))</f>
        <v>250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3" s="240">
        <f t="shared" si="33" ca="1"/>
        <v>500</v>
      </c>
      <c r="BR123" s="241" t="e">
        <f t="shared" si="34" ca="1"/>
        <v>#DIV/0!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العمل]]="المصنع"),Sheet2!$B$58,IF((Table1612677697[[#This Row],[موقع العمل]]="الاسكندرية"),Sheet2!$B$58,Sheet2!$B$59))</f>
        <v>250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4" s="240">
        <f t="shared" si="35" ca="1"/>
        <v>500</v>
      </c>
      <c r="W124" s="241" t="e">
        <f t="shared" si="36" ca="1"/>
        <v>#DIV/0!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العمل]]="المصنع"),Sheet2!$B$58,IF((Table1612677697108[[#This Row],[موقع العمل]]="الاسكندرية"),Sheet2!$B$58,Sheet2!$B$59))</f>
        <v>250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 t="e">
        <f t="shared" si="34" ca="1"/>
        <v>#DIV/0!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العمل]]="المصنع"),Sheet2!$B$58,IF((Table1612677697[[#This Row],[موقع العمل]]="الاسكندرية"),Sheet2!$B$58,Sheet2!$B$59))</f>
        <v>250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 t="e">
        <f t="shared" si="36" ca="1"/>
        <v>#DIV/0!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العمل]]="المصنع"),Sheet2!$B$58,IF((Table1612677697108[[#This Row],[موقع العمل]]="الاسكندرية"),Sheet2!$B$58,Sheet2!$B$59))</f>
        <v>250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500</v>
      </c>
      <c r="BQ125" s="240">
        <f t="shared" si="33" ca="1"/>
        <v>1500</v>
      </c>
      <c r="BR125" s="241" t="e">
        <f t="shared" si="34" ca="1"/>
        <v>#DIV/0!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العمل]]="المصنع"),Sheet2!$B$58,IF((Table1612677697[[#This Row],[موقع العمل]]="الاسكندرية"),Sheet2!$B$58,Sheet2!$B$59))</f>
        <v>250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500</v>
      </c>
      <c r="V126" s="240">
        <f t="shared" si="35" ca="1"/>
        <v>1500</v>
      </c>
      <c r="W126" s="241" t="e">
        <f t="shared" si="36" ca="1"/>
        <v>#DIV/0!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العمل]]="المصنع"),Sheet2!$B$58,IF((Table1612677697108[[#This Row],[موقع العمل]]="الاسكندرية"),Sheet2!$B$58,Sheet2!$B$59))</f>
        <v>450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6" s="240">
        <f t="shared" si="33" ca="1"/>
        <v>4200</v>
      </c>
      <c r="BR126" s="241" t="e">
        <f t="shared" si="34" ca="1"/>
        <v>#DIV/0!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العمل]]="المصنع"),Sheet2!$B$58,IF((Table1612677697[[#This Row],[موقع العمل]]="الاسكندرية"),Sheet2!$B$58,Sheet2!$B$59))</f>
        <v>450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7" s="240">
        <f t="shared" si="35" ca="1"/>
        <v>4200</v>
      </c>
      <c r="W127" s="241" t="e">
        <f t="shared" si="36" ca="1"/>
        <v>#DIV/0!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العمل]]="المصنع"),Sheet2!$B$58,IF((Table1612677697108[[#This Row],[موقع العمل]]="الاسكندرية"),Sheet2!$B$58,Sheet2!$B$59))</f>
        <v>450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7" s="240">
        <f t="shared" si="33" ca="1"/>
        <v>3150</v>
      </c>
      <c r="BR127" s="241" t="e">
        <f t="shared" si="34" ca="1"/>
        <v>#DIV/0!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العمل]]="المصنع"),Sheet2!$B$58,IF((Table1612677697[[#This Row],[موقع العمل]]="الاسكندرية"),Sheet2!$B$58,Sheet2!$B$59))</f>
        <v>450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8" s="240">
        <f t="shared" si="35" ca="1"/>
        <v>3150</v>
      </c>
      <c r="W128" s="241" t="e">
        <f t="shared" si="36" ca="1"/>
        <v>#DIV/0!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العمل]]="المصنع"),Sheet2!$B$58,IF((Table1612677697108[[#This Row],[موقع العمل]]="الاسكندرية"),Sheet2!$B$58,Sheet2!$B$59))</f>
        <v>450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 t="e">
        <f t="shared" si="34" ca="1"/>
        <v>#DIV/0!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العمل]]="المصنع"),Sheet2!$B$58,IF((Table1612677697[[#This Row],[موقع العمل]]="الاسكندرية"),Sheet2!$B$58,Sheet2!$B$59))</f>
        <v>450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 t="e">
        <f t="shared" si="36" ca="1"/>
        <v>#DIV/0!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0"/>
      <c r="AW129" s="311"/>
      <c r="AX129" s="311"/>
      <c r="AY129" s="311"/>
      <c r="AZ129" s="311"/>
      <c r="BA129" s="311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العمل]]="المصنع"),Sheet2!$B$58,IF((Table1612677697108[[#This Row],[موقع العمل]]="الاسكندرية"),Sheet2!$B$58,Sheet2!$B$59))</f>
        <v>450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9" s="240">
        <f t="shared" si="33" ca="1"/>
        <v>4200</v>
      </c>
      <c r="BR129" s="241" t="e">
        <f t="shared" si="34" ca="1"/>
        <v>#DIV/0!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العمل]]="المصنع"),Sheet2!$B$58,IF((Table1612677697[[#This Row],[موقع العمل]]="الاسكندرية"),Sheet2!$B$58,Sheet2!$B$59))</f>
        <v>450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30" s="240">
        <f t="shared" si="35" ca="1"/>
        <v>4200</v>
      </c>
      <c r="W130" s="241" t="e">
        <f t="shared" si="36" ca="1"/>
        <v>#DIV/0!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 t="e">
        <f t="shared" si="34" ca="1"/>
        <v>#DIV/0!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 t="e">
        <f t="shared" si="36" ca="1"/>
        <v>#DIV/0!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 t="e">
        <f t="shared" si="34" ca="1"/>
        <v>#DIV/0!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 t="e">
        <f t="shared" si="36" ca="1"/>
        <v>#DIV/0!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 t="e">
        <f t="shared" si="34" ca="1"/>
        <v>#DIV/0!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5" ca="1"/>
        <v>0</v>
      </c>
      <c r="W133" s="241" t="e">
        <f t="shared" si="36" ca="1"/>
        <v>#DIV/0!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 t="e">
        <f t="shared" si="34" ca="1"/>
        <v>#DIV/0!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 t="e">
        <f t="shared" si="36" ca="1"/>
        <v>#DIV/0!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 t="e">
        <f t="shared" si="34" ca="1"/>
        <v>#DIV/0!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 t="e">
        <f t="shared" si="36" ca="1"/>
        <v>#DIV/0!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60" t="s">
        <v>58</v>
      </c>
      <c r="BH135" s="561"/>
      <c r="BI135" s="562" t="s">
        <v>58</v>
      </c>
      <c r="BJ135" s="560"/>
      <c r="BK135" s="560"/>
      <c r="BL135" s="563"/>
      <c r="BM135" s="563"/>
      <c r="BN135" s="799">
        <f>SUBTOTAL(109,Table1612677697108[Column12])</f>
        <v>4390</v>
      </c>
      <c r="BO135" s="560"/>
      <c r="BP135" s="564"/>
      <c r="BQ135" s="565">
        <f>SUBTOTAL(109,Table1612677697108[اجمالي])</f>
        <v>24380</v>
      </c>
      <c r="BR135" s="566" t="e">
        <f>Table1612677697108[[#Totals],[اجمالي]]/$R$68</f>
        <v>#DIV/0!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60" t="s">
        <v>58</v>
      </c>
      <c r="M136" s="561"/>
      <c r="N136" s="562" t="s">
        <v>58</v>
      </c>
      <c r="O136" s="560"/>
      <c r="P136" s="560"/>
      <c r="Q136" s="563"/>
      <c r="R136" s="563"/>
      <c r="S136" s="799">
        <f>SUBTOTAL(109,Table1612677697[Column12])</f>
        <v>4390</v>
      </c>
      <c r="T136" s="560"/>
      <c r="U136" s="564"/>
      <c r="V136" s="565">
        <f>SUBTOTAL(109,Table1612677697[اجمالي])</f>
        <v>24380</v>
      </c>
      <c r="W136" s="566" t="e">
        <f>Table1612677697[[#Totals],[اجمالي]]/$R$68</f>
        <v>#DIV/0!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31"/>
      <c r="BK136" s="631"/>
      <c r="BL136" s="631"/>
      <c r="BM136" s="631"/>
      <c r="BN136" s="631"/>
      <c r="BO136" s="631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31"/>
      <c r="P137" s="631"/>
      <c r="Q137" s="631"/>
      <c r="R137" s="631"/>
      <c r="S137" s="631"/>
      <c r="T137" s="631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82"/>
      <c r="BM138" s="283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178372.65</v>
      </c>
      <c r="BN138" s="211"/>
      <c r="BO138" s="211"/>
      <c r="BP138" s="243"/>
      <c r="BQ138" s="284"/>
      <c r="BR138" s="285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82"/>
      <c r="R139" s="283">
        <f>Table1612677697[[#Totals],[اجمالي]]+Table1613687798[[#Totals],[اجمالي]]+Table13597192[[#Totals],[اجمالي]]+Table16627394[[#Totals],[اجمالي]]+Table15617293[[#Totals],[اجمالي]]+Table15880101[[#Totals],[اجمالي]]</f>
        <v>254057</v>
      </c>
      <c r="S139" s="211"/>
      <c r="T139" s="211"/>
      <c r="U139" s="243"/>
      <c r="V139" s="284"/>
      <c r="W139" s="285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12">
        <f>IF((BL134="المقطم"),0.3,IF((BL134="التجمع"),0.3,IF((BL134="الشيخ زايد"),0.3,IF((BL134="الاسكندرية"),0.5,0.35))))</f>
        <v>0.3</v>
      </c>
      <c r="BM139" s="283">
        <f>BM138*(1+Table187079100111[[#This Row],[Column3]])</f>
        <v>231884.445</v>
      </c>
      <c r="BN139" s="211"/>
      <c r="BO139" s="211"/>
      <c r="BP139" s="243"/>
      <c r="BQ139" s="284"/>
      <c r="BR139" s="285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12">
        <f>IF((Q135="المقطم"),0.3,IF((Q135="التجمع"),0.3,IF((Q135="الشيخ زايد"),0.3,IF((Q135="الاسكندرية"),0.5,0.35))))</f>
        <v>0.3</v>
      </c>
      <c r="R140" s="283">
        <f>R139*(1+Table187079100[[#This Row],[Column3]])</f>
        <v>330274.10000000003</v>
      </c>
      <c r="S140" s="211"/>
      <c r="T140" s="211"/>
      <c r="U140" s="243"/>
      <c r="V140" s="284"/>
      <c r="W140" s="285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3"/>
      <c r="AK140" s="313"/>
      <c r="AL140" s="313"/>
      <c r="AM140" s="313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1"/>
      <c r="BD141" s="311"/>
      <c r="BE141" s="311"/>
      <c r="BG141" s="311"/>
      <c r="BH141" s="311"/>
      <c r="BI141" s="311"/>
      <c r="BJ141" s="311"/>
      <c r="BK141" s="311"/>
      <c r="BL141" s="311"/>
      <c r="BM141" s="311"/>
      <c r="BN141" s="311"/>
      <c r="BO141" s="311"/>
      <c r="BP141" s="311"/>
      <c r="BQ141" s="311"/>
      <c r="BR141" s="311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3"/>
      <c r="CF141" s="313"/>
      <c r="CG141" s="313"/>
      <c r="CH141" s="313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1"/>
      <c r="M142" s="311"/>
      <c r="N142" s="311"/>
      <c r="O142" s="311"/>
      <c r="P142" s="311"/>
      <c r="Q142" s="311"/>
      <c r="R142" s="311"/>
      <c r="S142" s="311"/>
      <c r="T142" s="311"/>
      <c r="U142" s="311"/>
      <c r="V142" s="311"/>
      <c r="W142" s="311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3"/>
      <c r="AO142" s="313"/>
      <c r="AP142" s="313"/>
      <c r="AQ142" s="313"/>
      <c r="AR142" s="313"/>
      <c r="AS142" s="313"/>
      <c r="AT142" s="314"/>
      <c r="AU142" s="207"/>
      <c r="BB142" s="311"/>
      <c r="BF142" s="311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1"/>
      <c r="H143" s="311"/>
      <c r="I143" s="311"/>
      <c r="J143" s="311"/>
      <c r="K143" s="311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3"/>
      <c r="Y143" s="313"/>
      <c r="Z143" s="313"/>
      <c r="AA143" s="313"/>
      <c r="AB143" s="313"/>
      <c r="AC143" s="313"/>
      <c r="AD143" s="313"/>
      <c r="AE143" s="313"/>
      <c r="AF143" s="313"/>
      <c r="AG143" s="313"/>
      <c r="AH143" s="313"/>
      <c r="AI143" s="313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0"/>
      <c r="B144" s="311"/>
      <c r="C144" s="311"/>
      <c r="D144" s="311"/>
      <c r="E144" s="311"/>
      <c r="F144" s="311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3"/>
      <c r="BT144" s="313"/>
      <c r="BU144" s="313"/>
      <c r="BV144" s="313"/>
      <c r="BW144" s="313"/>
      <c r="BX144" s="313"/>
      <c r="BY144" s="313"/>
      <c r="BZ144" s="313"/>
      <c r="CA144" s="313"/>
      <c r="CB144" s="313"/>
      <c r="CC144" s="313"/>
      <c r="CD144" s="313"/>
      <c r="CI144" s="313"/>
      <c r="CJ144" s="313"/>
      <c r="CK144" s="313"/>
      <c r="CL144" s="313"/>
      <c r="CM144" s="313"/>
      <c r="CN144" s="313"/>
      <c r="CO144" s="314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count="1">
    <dataValidation type="list" allowBlank="1" showInputMessage="1" showErrorMessage="1" sqref="R52:R64 R123:R135 BM51:BM63 BM122:BM134" xr:uid="{38CC18DB-02D8-4549-AED4-C72A8B013B60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1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تسعير!AA10</f>
        <v>300</v>
      </c>
      <c r="D7" s="182" t="s">
        <v>428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Φωτισμου'!B9</f>
        <v>4</v>
      </c>
    </row>
    <row r="19" ht="18" customHeight="1">
      <c r="A19" s="648" t="s">
        <v>435</v>
      </c>
      <c r="B19" s="649"/>
      <c r="C19" s="14">
        <f>'Format Φωτισμου'!B12</f>
        <v>8</v>
      </c>
    </row>
    <row r="20" ht="18" customHeight="1">
      <c r="A20" s="648" t="s">
        <v>436</v>
      </c>
      <c r="B20" s="649"/>
      <c r="C20" s="14">
        <f>C19/C18</f>
        <v>2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5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312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2024-09-02T08:28:12Z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