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300" yWindow="-105" windowWidth="15990" windowHeight="12570" tabRatio="927" activeTab="1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<sst xmlns="http://schemas.openxmlformats.org/spreadsheetml/2006/main" count="595" uniqueCount="595">
  <si>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</si>
  <si>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</si>
  <si>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</si>
  <si>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</si>
  <si>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</si>
  <si>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</si>
  <si>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</si>
  <si>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</si>
  <si>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</si>
  <si>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</si>
  <si>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</si>
  <si>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</si>
  <si>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</si>
  <si>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</si>
  <si>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</si>
  <si>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</si>
  <si>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</si>
  <si>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</si>
  <si>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</si>
  <si>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</si>
  <si>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</si>
  <si>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</si>
  <si>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</si>
  <si>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</si>
  <si>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</si>
  <si>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</si>
  <si>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</si>
  <si>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</si>
  <si>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</si>
  <si>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</si>
  <si>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</si>
  <si>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</si>
  <si>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</si>
  <si>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</si>
  <si>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</si>
  <si>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</si>
  <si>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</si>
  <si>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</si>
  <si>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</si>
  <si>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</si>
  <si>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</si>
  <si>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</si>
  <si>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</si>
  <si>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</si>
  <si>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</si>
  <si>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</si>
  <si>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</si>
  <si>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</si>
  <si>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</si>
  <si>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</si>
  <si>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</si>
  <si>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</si>
  <si>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</si>
  <si>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</si>
  <si>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</si>
  <si>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</si>
  <si>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</si>
  <si>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</si>
  <si>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</si>
  <si>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</si>
  <si>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</si>
  <si>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</si>
  <si>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</si>
  <si>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</si>
  <si>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</si>
  <si>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</si>
  <si>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</si>
  <si>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</si>
  <si>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</si>
  <si>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</si>
  <si>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</si>
  <si>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</si>
  <si>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</si>
  <si>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</si>
  <si>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</si>
  <si>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</si>
  <si>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</si>
  <si>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</si>
  <si>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</si>
  <si>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</si>
  <si>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</si>
  <si>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</si>
  <si>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</si>
  <si>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</si>
  <si>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</si>
  <si>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</si>
  <si>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</si>
  <si>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</si>
  <si>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</si>
  <si>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</si>
  <si>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</si>
  <si>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</si>
  <si>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</si>
  <si>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</si>
  <si>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</si>
  <si>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</si>
  <si>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</si>
  <si>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</si>
  <si>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</si>
  <si>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</si>
  <si>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</si>
  <si>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</si>
  <si>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</si>
  <si>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</si>
  <si>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</si>
  <si>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</si>
  <si>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</si>
  <si>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</si>
  <si>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</si>
  <si>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</si>
  <si>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</si>
  <si>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</si>
  <si>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</si>
  <si>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</si>
  <si>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</si>
  <si>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</si>
  <si>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</si>
  <si>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</si>
  <si>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</si>
  <si>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</si>
  <si>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</si>
  <si>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</si>
  <si>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</si>
  <si>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</si>
  <si>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</si>
  <si>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</si>
  <si>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</si>
  <si>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</si>
  <si>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</si>
  <si>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</si>
  <si>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</si>
  <si>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</si>
  <si>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</si>
  <si>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</si>
  <si>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</si>
  <si>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</si>
  <si>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</si>
  <si>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</si>
  <si>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</si>
  <si>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</si>
  <si>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</si>
  <si>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</si>
  <si>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</si>
  <si>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</si>
  <si>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</si>
  <si>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</si>
  <si>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</si>
  <si>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</si>
  <si>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</si>
  <si>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</si>
  <si>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</si>
  <si>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</si>
  <si>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</si>
  <si>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</si>
  <si>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</si>
  <si>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</si>
  <si>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</si>
  <si>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</si>
  <si>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</si>
  <si>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</si>
  <si>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</si>
  <si>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</si>
  <si>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</si>
  <si>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</si>
  <si>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</si>
  <si>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</si>
  <si>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</si>
  <si>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</si>
  <si>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</si>
  <si>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</si>
  <si>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</si>
  <si>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</si>
  <si>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</si>
  <si>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</si>
  <si>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</si>
  <si>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</si>
  <si>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</si>
  <si>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</si>
  <si>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</si>
  <si>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</si>
  <si>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</si>
  <si>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</si>
  <si>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</si>
  <si>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</si>
  <si>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</si>
  <si>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يدوي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</si>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</sst>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9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2" applyNumberFormat="1" fontId="106" applyFont="1" fillId="0" borderId="0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76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0"/>
    <tableColumn id="2" name="المعدل" dataDxfId="1202"/>
    <tableColumn id="3" name="الوحدة" dataDxfId="1202"/>
    <tableColumn id="4" name="Column4" dataDxfId="92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69" totalsRowDxfId="1270"/>
    <tableColumn id="2" name="عدد" dataDxfId="1272" totalsRowDxfId="127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BP28</calculatedColumnFormula>
    </tableColumn>
    <tableColumn id="8" name="اجمالي" totalsRowFunction="sum" dataDxfId="1274" totalsRowDxfId="1276">
      <calculatedColumnFormula>BH98*BP99</calculatedColumnFormula>
    </tableColumn>
    <tableColumn id="9" name="%" totalsRowFunction="custom" totalsRowDxfId="127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69" totalsRowDxfId="1270"/>
    <tableColumn id="2" name="عدد" dataDxfId="1272" totalsRowDxfId="1270">
      <calculatedColumnFormula>IF((#REF!="بالتات"),0,4)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78" totalsRowDxfId="1280"/>
    <tableColumn id="4" name="الوحده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92" totalsRowDxfId="1275">
      <calculatedColumnFormula>Sheet2!AW26</calculatedColumnFormula>
    </tableColumn>
    <tableColumn id="8" name="اجمالي" totalsRowFunction="sum" dataDxfId="1274" totalsRowDxfId="1276">
      <calculatedColumnFormula>BH84*BP84</calculatedColumnFormula>
    </tableColumn>
    <tableColumn id="9" name="%" totalsRowFunction="custom" totalsRowDxfId="127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69"/>
    <tableColumn id="2" name="عدد" totalsRowFunction="sum" dataDxfId="1269">
      <calculatedColumnFormula>BH90*4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(Table16627394105[[#This Row],[Column1]]*Table16627394105[[#This Row],[Column2]])*Table16627394105[[#This Row],[عدد]]</calculatedColumnFormula>
    </tableColumn>
    <tableColumn id="4" name="الوحده" dataDxfId="1269"/>
    <tableColumn id="5" name="الوزن" totalsRowFunction="custom">
      <totalsRowFormula>(BN93*BH93)+(BH94*BN94)</totalsRowFormula>
    </tableColumn>
    <tableColumn id="6" name="سعر الكيلو" dataDxfId="1272"/>
    <tableColumn id="7" name="سعر الشبك " dataDxfId="1273">
      <calculatedColumnFormula>BN92*$S$2/1000</calculatedColumnFormula>
    </tableColumn>
    <tableColumn id="8" name="اجمالي" totalsRowFunction="sum" dataDxfId="1274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69"/>
    <tableColumn id="2" name="عدد" dataDxfId="1289">
      <calculatedColumnFormula>IF((تسعير!$AU$14="بالتات"),0,BH119-2)</calculatedColumnFormula>
    </tableColumn>
    <tableColumn id="3" name="بيان" totalsRowLabel="Total" dataDxfId="1287"/>
    <tableColumn id="5" name="اليومية / الاجرة" dataDxfId="1287"/>
    <tableColumn id="6" name="بدل الوجبة" dataDxfId="1288"/>
    <tableColumn id="11" name="موقع العمل" dataDxfId="1279">
      <calculatedColumnFormula>تسعير!$BE$44</calculatedColumnFormula>
    </tableColumn>
    <tableColumn id="10" name="شيفت العمل" dataDxfId="1269"/>
    <tableColumn id="12" name="Column12" totalsRowFunction="sum" dataDxfId="1278">
      <calculatedColumnFormula>SUMIF(Table17697899110[Column1],Table1612677697108[[#This Row],[موقع العمل]],$AE$2:$AE$8)</calculatedColumnFormula>
    </tableColumn>
    <tableColumn id="4" name="عدد الايام" dataDxfId="1293"/>
    <tableColumn id="7" name="اجمالي التكلفة للعامل" dataDxfId="1294">
      <calculatedColumnFormula>Table1612677697108[[#This Row],[Column12]]</calculatedColumnFormula>
    </tableColumn>
    <tableColumn id="8" name="اجمالي" totalsRowFunction="sum" dataDxfId="1274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79"/>
    <tableColumn id="2" name="عدد" dataDxfId="1289">
      <calculatedColumnFormula>IF((BL133="الاسكندرية"),0.25,0.1)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302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BQ116</calculatedColumnFormula>
    </tableColumn>
    <tableColumn id="8" name="اجمالي" totalsRowFunction="sum" dataDxfId="1274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IF((BL133="المقطم"),0.3,IF((BL133="التجمع"),0.3,IF((BL133="الشيخ زايد"),0.3,IF((BL133="الاسكندرية"),0.5,0.35))))</calculatedColumnFormula>
    </tableColumn>
    <tableColumn id="2" name="Column2" dataDxfId="1289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69"/>
    <tableColumn id="2" name="عدد" dataDxfId="1269">
      <calculatedColumnFormula>IF(OR((BI69="B11"),(BI69="B12"),(BI69="B21"),(BI69="B22"),(BI69="B31"),(BI69="B32")),3,0)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(Table15880101112[[#This Row],[Column1]]+Table15880101112[[#This Row],[Column2]])*12*Table15880101112[[#This Row],[عدد]]</calculatedColumnFormula>
    </tableColumn>
    <tableColumn id="4" name="الوحده" dataDxfId="1269"/>
    <tableColumn id="5" name="الوزن" totalsRowFunction="custom">
      <totalsRowFormula>(BN76*BH76)+(BN77*BH77)+(BN78*BH78)+(BN79*BH79)</totalsRowFormula>
    </tableColumn>
    <tableColumn id="6" name="اجمالي المسطح" totalsRowFunction="sum" dataDxfId="1272">
      <calculatedColumnFormula>Table15880101112[[#This Row],[المسطح]]*Table15880101112[[#This Row],[عدد]]</calculatedColumnFormula>
    </tableColumn>
    <tableColumn id="7" name="سعر الشبك " dataDxfId="1303">
      <calculatedColumnFormula>BN76*$S$2/1000</calculatedColumnFormula>
    </tableColumn>
    <tableColumn id="8" name="اجمالي" totalsRowFunction="sum" dataDxfId="1274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69"/>
    <tableColumn id="2" name="عدد" dataDxfId="107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7"/>
    <tableColumn id="11" name="Column2" dataDxfId="1203"/>
    <tableColumn id="10" name="Column1" dataDxfId="71"/>
    <tableColumn id="12" name="Column12" totalsRowFunction="sum" dataDxfId="953"/>
    <tableColumn id="4" name="الوحده" dataDxfId="952"/>
    <tableColumn id="5" name="الوزن" dataDxfId="951"/>
    <tableColumn id="6" name="سعر الكيلو" dataDxfId="1204"/>
    <tableColumn id="7" name="سعر الشبك " dataDxfId="68">
      <calculatedColumnFormula>Sheet2!B31</calculatedColumnFormula>
    </tableColumn>
    <tableColumn id="8" name="اجمالي" totalsRowFunction="sum" dataDxfId="1274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04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304" totalsRowDxfId="1305"/>
    <tableColumn id="4" name="Column2" dataDxfId="1304" totalsRowDxfId="1305"/>
    <tableColumn id="5" name="wt/m" dataDxfId="1304" totalsRowDxfId="1305"/>
    <tableColumn id="6" name="price" totalsRowFunction="sum" dataDxfId="1304" totalsRowDxfId="1305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8" dataDxfId="5" totalsRowDxfId="16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306" totalsRowDxfId="1305"/>
    <tableColumn id="4" name="Column2" dataDxfId="1306" totalsRowDxfId="1305"/>
    <tableColumn id="5" name="wt/m" dataDxfId="1306" totalsRowDxfId="1305"/>
    <tableColumn id="6" name="price" totalsRowFunction="sum" dataDxfId="1306" totalsRowDxfId="1305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306" totalsRowDxfId="1307">
  <autoFilter ref="A75:F95"/>
  <tableColumns count="6">
    <tableColumn id="1" name="Column1" totalsRowLabel="Total" dataDxfId="1306" totalsRowDxfId="1308"/>
    <tableColumn id="2" name="عدد" totalsRowFunction="custom" dataDxfId="1306" totalsRowDxfId="1309">
      <totalsRowFormula>(Table80102114115[[#Totals],[price]]*1.1)/(F74*D74/10000)</totalsRowFormula>
    </tableColumn>
    <tableColumn id="3" name="طول" dataDxfId="1306" totalsRowDxfId="1305"/>
    <tableColumn id="4" name="Column2" dataDxfId="1306" totalsRowDxfId="1305"/>
    <tableColumn id="5" name="wt/m" dataDxfId="1306" totalsRowDxfId="1305"/>
    <tableColumn id="6" name="price" totalsRowFunction="sum" dataDxfId="1306" totalsRowDxfId="1305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69"/>
    <tableColumn id="2" name="عدد" dataDxfId="1269">
      <calculatedColumnFormula>IF((F74="الاسكندرية"),0.25,0.1)</calculatedColumnFormula>
    </tableColumn>
    <tableColumn id="3" name="بيان برجولا رويال" totalsRowLabel="Total" dataDxfId="1269"/>
    <tableColumn id="12" name="Column12" totalsRowFunction="sum" dataDxfId="1278"/>
    <tableColumn id="5" name="Column1" dataDxfId="1269"/>
    <tableColumn id="11" name="العرض" dataDxfId="1203"/>
    <tableColumn id="10" name="الامتداد" dataDxfId="1272"/>
    <tableColumn id="4" name="سعر المتر" dataDxfId="1204"/>
    <tableColumn id="6" name="Column2" dataDxfId="84"/>
    <tableColumn id="7" name="سعر البرجولا كاملة" dataDxfId="1273">
      <calculatedColumnFormula>(K57)</calculatedColumnFormula>
    </tableColumn>
    <tableColumn id="8" name="اجمالي" totalsRowFunction="sum" dataDxfId="1274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69" totalsRowDxfId="1270"/>
    <tableColumn id="2" name="عدد" dataDxfId="55" totalsRowDxfId="1270">
      <calculatedColumnFormula>B60</calculatedColumnFormula>
    </tableColumn>
    <tableColumn id="3" name="بيان" totalsRowLabel="Total" dataDxfId="85" totalsRowDxfId="1270"/>
    <tableColumn id="5" name="اليومية / الاجرة" dataDxfId="1205" totalsRowDxfId="1270"/>
    <tableColumn id="6" name="بدل الوجبة" dataDxfId="1206" totalsRowDxfId="1270"/>
    <tableColumn id="11" name="موقع العمل" dataDxfId="1279" totalsRowDxfId="1270">
      <calculatedColumnFormula>تسعير!$T$4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SUMIF(Table17[Column1],Table1612[[#This Row],[موقع العمل]],$T$2:$T$20)</calculatedColumnFormula>
    </tableColumn>
    <tableColumn id="4" name="عدد الايام" dataDxfId="80" totalsRowDxfId="1270"/>
    <tableColumn id="7" name="اجمالي التكلفة للعامل" dataDxfId="79" totalsRowDxfId="1275">
      <calculatedColumnFormula>Table1612[[#This Row],[Column12]]</calculatedColumnFormula>
    </tableColumn>
    <tableColumn id="8" name="اجمالي" totalsRowFunction="sum" dataDxfId="1274" totalsRowDxfId="1276">
      <calculatedColumnFormula>B63*J63</calculatedColumnFormula>
    </tableColumn>
    <tableColumn id="9" name="%" totalsRowFunction="custom" totalsRowDxfId="1277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9"/>
    <tableColumn id="2" name="خارجي" dataDxfId="1207"/>
    <tableColumn id="3" name="داخلي" dataDxfId="1207"/>
    <tableColumn id="4" name="بدل الوجبة" dataDxfId="1281"/>
    <tableColumn id="5" name="دبابة" dataDxfId="1281"/>
    <tableColumn id="6" name="جامبو" dataDxfId="1281"/>
    <tableColumn id="7" name="الاقامة" dataDxfId="128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79"/>
    <tableColumn id="4" name="Column22" dataDxfId="1279"/>
    <tableColumn id="5" name="Column23" dataDxfId="1279"/>
    <tableColumn id="3" name="Column3" dataDxfId="56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82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69"/>
    <tableColumn id="2" name="عدد" dataDxfId="126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(Table118[[#This Row],[Column1]]+Table118[[#This Row],[Column2]])*12*Table118[[#This Row],[عدد]]</calculatedColumnFormula>
    </tableColumn>
    <tableColumn id="4" name="الوحده" dataDxfId="1269"/>
    <tableColumn id="5" name="الوزن" dataDxfId="1269"/>
    <tableColumn id="6" name="اجمالي الميزان" totalsRowFunction="sum" dataDxfId="1272">
      <calculatedColumnFormula>Table118[[#This Row],[الوزن]]*Table118[[#This Row],[عدد]]</calculatedColumnFormula>
    </tableColumn>
    <tableColumn id="7" name="سعر الشبك " dataDxfId="1273">
      <calculatedColumnFormula>H6*$H$2/1000</calculatedColumnFormula>
    </tableColumn>
    <tableColumn id="8" name="اجمالي" totalsRowFunction="sum" dataDxfId="1274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69"/>
    <tableColumn id="2" name="عدد" dataDxfId="127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dataDxfId="1269"/>
    <tableColumn id="4" name="الوحده" totalsRowLabel="total" dataDxfId="1269"/>
    <tableColumn id="5" name="الوزن" dataDxfId="127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69">
      <calculatedColumnFormula>Sheet2!B7</calculatedColumnFormula>
    </tableColumn>
    <tableColumn id="7" name="سعر الشبك " dataDxfId="1273"/>
    <tableColumn id="8" name="اجمالي" totalsRowFunction="sum" dataDxfId="1274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69"/>
    <tableColumn id="2" name="عدد" dataDxfId="1269">
      <calculatedColumnFormula>IF((تسعير!X30&lt;800),0,IF(AND((تسعير!X30&gt;800),(600&gt;=تسعير!AA32)),1,0))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2">
      <calculatedColumnFormula>(Table1421[[#This Row],[Column1]]+Table1421[[#This Row],[Column2]])*12*Table1421[[#This Row],[عدد]]</calculatedColumnFormula>
    </tableColumn>
    <tableColumn id="4" name="الوحده" dataDxfId="1269"/>
    <tableColumn id="5" name="الوزن" dataDxfId="1269"/>
    <tableColumn id="6" name="سعر الكيلو" totalsRowFunction="sum" dataDxfId="1272">
      <calculatedColumnFormula>Table1421[[#This Row],[الوزن]]*Table1421[[#This Row],[عدد]]</calculatedColumnFormula>
    </tableColumn>
    <tableColumn id="7" name="سعر الشبك " dataDxfId="1273">
      <calculatedColumnFormula>H13*$I$2/1000</calculatedColumnFormula>
    </tableColumn>
    <tableColumn id="8" name="اجمالي" totalsRowFunction="sum" dataDxfId="1274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69"/>
    <tableColumn id="2" name="عدد" dataDxfId="127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Sheet2!B22</calculatedColumnFormula>
    </tableColumn>
    <tableColumn id="8" name="اجمالي" totalsRowFunction="sum" dataDxfId="1274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69"/>
    <tableColumn id="2" name="عدد" totalsRowFunction="count" dataDxfId="1272">
      <calculatedColumnFormula>B30*4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(Table1624[[#This Row],[Column1]]*Table1624[[#This Row],[Column2]])*Table1624[[#This Row],[عدد]]</calculatedColumnFormula>
    </tableColumn>
    <tableColumn id="4" name="الوحده" dataDxfId="1269"/>
    <tableColumn id="5" name="الوزن" totalsRowFunction="custom">
      <totalsRowFormula>H31*B31+H32*B32</totalsRowFormula>
    </tableColumn>
    <tableColumn id="6" name="سعر الكيلو" dataDxfId="1272">
      <calculatedColumnFormula>$H$2/1000</calculatedColumnFormula>
    </tableColumn>
    <tableColumn id="7" name="سعر الشبك " dataDxfId="1273">
      <calculatedColumnFormula>H31*$H$2/1000</calculatedColumnFormula>
    </tableColumn>
    <tableColumn id="8" name="اجمالي" totalsRowFunction="sum" dataDxfId="1274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83"/>
    <tableColumn id="2" name="المعدل" dataDxfId="1283"/>
    <tableColumn id="3" name="الوحدة" dataDxfId="1283"/>
    <tableColumn id="4" name="Column4" dataDxfId="128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69"/>
    <tableColumn id="2" name="عدد" dataDxfId="95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79"/>
    <tableColumn id="11" name="Column2" dataDxfId="1279"/>
    <tableColumn id="10" name="Column1" dataDxfId="1285"/>
    <tableColumn id="12" name="Column12" totalsRowFunction="sum" dataDxfId="1286"/>
    <tableColumn id="4" name="الوحده" dataDxfId="1211"/>
    <tableColumn id="5" name="الوزن" dataDxfId="1212"/>
    <tableColumn id="6" name="سعر الكيلو" dataDxfId="1285"/>
    <tableColumn id="7" name="سعر الشبك " dataDxfId="1213">
      <calculatedColumnFormula>Sheet2!B31</calculatedColumnFormula>
    </tableColumn>
    <tableColumn id="8" name="اجمالي" totalsRowFunction="sum" dataDxfId="1274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69"/>
    <tableColumn id="2" name="عدد" dataDxfId="1269">
      <calculatedColumnFormula>IF((F79="الاسكندرية"),0.25,0.1)</calculatedColumnFormula>
    </tableColumn>
    <tableColumn id="3" name="بيان برجولا رويال" totalsRowLabel="Total" dataDxfId="1269"/>
    <tableColumn id="12" name="Column12" totalsRowFunction="sum" dataDxfId="1278"/>
    <tableColumn id="5" name="Column1" dataDxfId="1269"/>
    <tableColumn id="11" name="العرض" dataDxfId="1279"/>
    <tableColumn id="10" name="الامتداد" dataDxfId="1272"/>
    <tableColumn id="4" name="سعر المتر" dataDxfId="1285"/>
    <tableColumn id="6" name="Column2" dataDxfId="1206"/>
    <tableColumn id="7" name="سعر البرجولا كاملة" dataDxfId="1273">
      <calculatedColumnFormula>K58</calculatedColumnFormula>
    </tableColumn>
    <tableColumn id="8" name="اجمالي" totalsRowFunction="sum" dataDxfId="1274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69" totalsRowDxfId="1270"/>
    <tableColumn id="2" name="عدد" dataDxfId="1203" totalsRowDxfId="1270">
      <calculatedColumnFormula>B65</calculatedColumnFormula>
    </tableColumn>
    <tableColumn id="3" name="بيان" totalsRowLabel="Total" dataDxfId="1205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تسعير!$T$24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SUMIF(Table1731[Column1],Table161229[[#This Row],[موقع العمل]],$T$2:$T$26)</calculatedColumnFormula>
    </tableColumn>
    <tableColumn id="4" name="عدد الايام" dataDxfId="1214" totalsRowDxfId="1270"/>
    <tableColumn id="7" name="اجمالي التكلفة للعامل" dataDxfId="1215" totalsRowDxfId="1275">
      <calculatedColumnFormula>Table161229[[#This Row],[Column12]]</calculatedColumnFormula>
    </tableColumn>
    <tableColumn id="8" name="اجمالي" totalsRowFunction="sum" dataDxfId="1274" totalsRowDxfId="1276">
      <calculatedColumnFormula>B68*J68</calculatedColumnFormula>
    </tableColumn>
    <tableColumn id="9" name="%" totalsRowFunction="custom" totalsRowDxfId="1277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79" totalsRowDxfId="1270"/>
    <tableColumn id="2" name="عدد" dataDxfId="1289" totalsRowDxfId="1270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79" totalsRowDxfId="1270"/>
    <tableColumn id="11" name="Column2" dataDxfId="1279" totalsRowDxfId="1270"/>
    <tableColumn id="10" name="Column1" dataDxfId="1279" totalsRowDxfId="1270"/>
    <tableColumn id="12" name="Column12" totalsRowFunction="sum" dataDxfId="72" totalsRowDxfId="1280"/>
    <tableColumn id="4" name="الوحده" dataDxfId="1285" totalsRowDxfId="1270"/>
    <tableColumn id="5" name="الوزن" dataDxfId="1279" totalsRowDxfId="1270"/>
    <tableColumn id="6" name="سعر الكيلو" dataDxfId="1279" totalsRowDxfId="1270"/>
    <tableColumn id="7" name="سعر الشبك " dataDxfId="1213" totalsRowDxfId="1275"/>
    <tableColumn id="8" name="اجمالي" totalsRowFunction="sum" dataDxfId="1274" totalsRowDxfId="1276">
      <calculatedColumnFormula>B64*Table161330[[#This Row],[سعر الشبك ]]</calculatedColumnFormula>
    </tableColumn>
    <tableColumn id="9" name="%" totalsRowFunction="custom" totalsRowDxfId="89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79"/>
    <tableColumn id="4" name="Column22" dataDxfId="1279"/>
    <tableColumn id="5" name="Column23" dataDxfId="1279"/>
    <tableColumn id="3" name="Column3" dataDxfId="121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8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81" totalsRowDxfId="860"/>
    <tableColumn id="6" name="الطول بالمتر" dataDxfId="1281" totalsRowDxfId="1217"/>
    <tableColumn id="5" name="وزن المتر " dataDxfId="1281" totalsRowDxfId="1217"/>
    <tableColumn id="4" name="سعر الكيلو" dataDxfId="1281" totalsRowDxfId="1290"/>
    <tableColumn id="3" name="اجمالي عدد " totalsRowFunction="custom" totalsRowDxfId="1290">
      <totalsRowFormula>Table8[[#Totals],[اجمالي التكلفة]]/B1</totalsRowFormula>
    </tableColumn>
    <tableColumn id="2" name="اجمالي التكلفة" totalsRowFunction="sum" dataDxfId="746" totalsRowDxfId="868">
      <calculatedColumnFormula>B3*D3</calculatedColumnFormula>
    </tableColumn>
    <tableColumn id="9" name="Column1" dataDxfId="1281" totalsRowDxfId="1290"/>
    <tableColumn id="10" name="Column2" dataDxfId="1281" totalsRowDxfId="1290"/>
    <tableColumn id="11" name="Column3" dataDxfId="1281" totalsRowDxfId="1290"/>
    <tableColumn id="12" name="Column4" dataDxfId="1281" totalsRowDxfId="129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Sheet2!B2</calculatedColumnFormula>
    </tableColumn>
    <tableColumn id="8" name="اجمالي" totalsRowFunction="sum" dataDxfId="1274" totalsRowDxfId="1276">
      <calculatedColumnFormula>M26*U26</calculatedColumnFormula>
    </tableColumn>
    <tableColumn id="9" name="%" totalsRowFunction="custom" totalsRowDxfId="127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4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69"/>
    <tableColumn id="2" name="عدد" dataDxfId="1272"/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Sheet2!B24</calculatedColumnFormula>
    </tableColumn>
    <tableColumn id="8" name="اجمالي" totalsRowFunction="sum" dataDxfId="1274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69"/>
    <tableColumn id="2" name="عدد" totalsRowFunction="count" dataDxfId="1269">
      <calculatedColumnFormula>M20*4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(Table1662[[#This Row],[Column1]]*Table1662[[#This Row],[Column2]])*Table1662[[#This Row],[عدد]]</calculatedColumnFormula>
    </tableColumn>
    <tableColumn id="4" name="الوحده" dataDxfId="1269"/>
    <tableColumn id="5" name="الوزن" totalsRowFunction="custom">
      <totalsRowFormula>(S21*M21)+(M22*S22)</totalsRowFormula>
    </tableColumn>
    <tableColumn id="6" name="سعر الكيلو" dataDxfId="1272"/>
    <tableColumn id="7" name="سعر الشبك " dataDxfId="1273">
      <calculatedColumnFormula>S21*$S$2/1000</calculatedColumnFormula>
    </tableColumn>
    <tableColumn id="8" name="اجمالي" totalsRowFunction="sum" dataDxfId="1274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83"/>
    <tableColumn id="2" name="المعدل" dataDxfId="1283"/>
    <tableColumn id="3" name="الوحدة" dataDxfId="1283"/>
    <tableColumn id="4" name="Column4" dataDxfId="120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69" totalsRowDxfId="1270"/>
    <tableColumn id="2" name="عدد" dataDxfId="1289" totalsRowDxfId="1270">
      <calculatedColumnFormula>IF((تسعير!$AU$14="بالتات"),0,M52-2)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تسعير!$AT$4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SUMIF(Table1769[Column1],Table161267[[#This Row],[موقع العمل]],$AE$2:$AE$8)</calculatedColumnFormula>
    </tableColumn>
    <tableColumn id="4" name="عدد الايام" dataDxfId="1214" totalsRowDxfId="1270"/>
    <tableColumn id="7" name="اجمالي التكلفة للعامل" dataDxfId="1215" totalsRowDxfId="1275">
      <calculatedColumnFormula>Table161267[[#This Row],[Column12]]</calculatedColumnFormula>
    </tableColumn>
    <tableColumn id="8" name="اجمالي" totalsRowFunction="sum" dataDxfId="1274" totalsRowDxfId="1276">
      <calculatedColumnFormula>M55*U55</calculatedColumnFormula>
    </tableColumn>
    <tableColumn id="9" name="%" totalsRowFunction="custom" totalsRowDxfId="127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79"/>
    <tableColumn id="2" name="عدد" dataDxfId="1289">
      <calculatedColumnFormula>IF((Q65="الاسكندرية"),0.25,0.1)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218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V48</calculatedColumnFormula>
    </tableColumn>
    <tableColumn id="8" name="اجمالي" totalsRowFunction="sum" dataDxfId="1274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79"/>
    <tableColumn id="4" name="Column22" dataDxfId="1279"/>
    <tableColumn id="5" name="Column23" dataDxfId="1279"/>
    <tableColumn id="3" name="Column3" dataDxfId="1216">
      <calculatedColumnFormula>IF((Q66="المقطم"),0.3,IF((Q66="التجمع"),0.3,IF((Q66="الشيخ زايد"),0.3,IF((Q66="الاسكندرية"),0.5,0.35))))</calculatedColumnFormula>
    </tableColumn>
    <tableColumn id="2" name="Column2" dataDxfId="128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69"/>
    <tableColumn id="2" name="عدد" dataDxfId="1269">
      <calculatedColumnFormula>IF((N2="A1"),2,IF((N2="A2"),3,IF((N2="B1"),2.5,IF((N2="B2"),3,0))))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(Table158[[#This Row],[Column1]]+Table158[[#This Row],[Column2]])*12*Table158[[#This Row],[عدد]]</calculatedColumnFormula>
    </tableColumn>
    <tableColumn id="4" name="الوحده" dataDxfId="1269"/>
    <tableColumn id="5" name="الوزن" totalsRowFunction="custom">
      <totalsRowFormula>(S7*M7)</totalsRowFormula>
    </tableColumn>
    <tableColumn id="6" name="سعر الكيلو" totalsRowFunction="sum" dataDxfId="1272">
      <calculatedColumnFormula>Table158[[#This Row],[المسطح]]*Table158[[#This Row],[عدد]]</calculatedColumnFormula>
    </tableColumn>
    <tableColumn id="7" name="سعر الشبك " dataDxfId="46">
      <calculatedColumnFormula>S6*$S$2/1000</calculatedColumnFormula>
    </tableColumn>
    <tableColumn id="8" name="اجمالي" totalsRowFunction="sum" dataDxfId="1274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81"/>
    <tableColumn id="6" name="الطول بالمتر" dataDxfId="1281"/>
    <tableColumn id="5" name="وزن المتر " dataDxfId="1281"/>
    <tableColumn id="4" name="سعر الكيلو" dataDxfId="1281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9"/>
    <tableColumn id="9" name="Column1" dataDxfId="1281"/>
    <tableColumn id="10" name="Column2" dataDxfId="1281"/>
    <tableColumn id="11" name="Column3" dataDxfId="1281"/>
    <tableColumn id="12" name="Column4" dataDxfId="128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Sheet2!B2</calculatedColumnFormula>
    </tableColumn>
    <tableColumn id="8" name="اجمالي" totalsRowFunction="sum" dataDxfId="1274" totalsRowDxfId="1276">
      <calculatedColumnFormula>M26*U26</calculatedColumnFormula>
    </tableColumn>
    <tableColumn id="9" name="%" totalsRowFunction="custom" totalsRowDxfId="127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69"/>
    <tableColumn id="2" name="عدد" dataDxfId="1272"/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Sheet2!B24</calculatedColumnFormula>
    </tableColumn>
    <tableColumn id="8" name="اجمالي" totalsRowFunction="sum" dataDxfId="1274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69"/>
    <tableColumn id="2" name="عدد" totalsRowFunction="count" dataDxfId="1269">
      <calculatedColumnFormula>M20*4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(Table166241[[#This Row],[Column1]]*Table166241[[#This Row],[Column2]])*Table166241[[#This Row],[عدد]]</calculatedColumnFormula>
    </tableColumn>
    <tableColumn id="4" name="الوحده" dataDxfId="1269"/>
    <tableColumn id="5" name="الوزن" totalsRowFunction="custom">
      <totalsRowFormula>(S21*M21)+(M22*S22)</totalsRowFormula>
    </tableColumn>
    <tableColumn id="6" name="سعر الكيلو" dataDxfId="1272"/>
    <tableColumn id="7" name="سعر الشبك " dataDxfId="1273">
      <calculatedColumnFormula>S21*$S$2/1000</calculatedColumnFormula>
    </tableColumn>
    <tableColumn id="8" name="اجمالي" totalsRowFunction="sum" dataDxfId="1274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69" totalsRowDxfId="1270"/>
    <tableColumn id="2" name="عدد" dataDxfId="1289" totalsRowDxfId="1270">
      <calculatedColumnFormula>IF((تسعير!$BF$14="بالتات"),0,M52-2)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تسعير!$BE$4</calculatedColumnFormula>
    </tableColumn>
    <tableColumn id="10" name="شيفت العمل" dataDxfId="1269" totalsRowDxfId="1270"/>
    <tableColumn id="12" name="Column12" totalsRowFunction="sum" dataDxfId="1278" totalsRowDxfId="1280"/>
    <tableColumn id="4" name="عدد الايام" dataDxfId="1293" totalsRowDxfId="1270"/>
    <tableColumn id="7" name="اجمالي التكلفة للعامل" dataDxfId="1294" totalsRowDxfId="1275">
      <calculatedColumnFormula>Table16126744[[#This Row],[Column12]]</calculatedColumnFormula>
    </tableColumn>
    <tableColumn id="8" name="اجمالي" totalsRowFunction="sum" dataDxfId="1274" totalsRowDxfId="1276">
      <calculatedColumnFormula>M55*U55</calculatedColumnFormula>
    </tableColumn>
    <tableColumn id="9" name="%" totalsRowFunction="custom" totalsRowDxfId="127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79"/>
    <tableColumn id="2" name="عدد" dataDxfId="1289">
      <calculatedColumnFormula>IF((Q65="الاسكندرية"),0.25,0.1)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218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V48</calculatedColumnFormula>
    </tableColumn>
    <tableColumn id="8" name="اجمالي" totalsRowFunction="sum" dataDxfId="1274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81"/>
    <tableColumn id="2" name="خارجي" dataDxfId="1281"/>
    <tableColumn id="3" name="داخلي" dataDxfId="1281"/>
    <tableColumn id="4" name="بدل الوجبة" dataDxfId="1281"/>
    <tableColumn id="5" name="دبابة" dataDxfId="1281"/>
    <tableColumn id="6" name="جامبو" dataDxfId="1281"/>
    <tableColumn id="7" name="الاقامة" dataDxfId="128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IF((Q66="المقطم"),0.3,IF((Q66="التجمع"),0.3,IF((Q66="الشيخ زايد"),0.3,IF((Q66="الاسكندرية"),0.5,0.35))))</calculatedColumnFormula>
    </tableColumn>
    <tableColumn id="2" name="Column2" dataDxfId="1289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69"/>
    <tableColumn id="2" name="عدد" dataDxfId="1269">
      <calculatedColumnFormula>IF((N2="c1"),3,IF((N2="c2"),4,IF((N2="d1"),4,IF((N2="d2"),5,0))))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(Table15855[[#This Row],[Column1]]+Table15855[[#This Row],[Column2]])*12*Table15855[[#This Row],[عدد]]</calculatedColumnFormula>
    </tableColumn>
    <tableColumn id="4" name="الوحده" dataDxfId="1269"/>
    <tableColumn id="5" name="الوزن" totalsRowFunction="custom">
      <totalsRowFormula>(S7*M7)</totalsRowFormula>
    </tableColumn>
    <tableColumn id="6" name="سعر الكيلو" dataDxfId="1272"/>
    <tableColumn id="7" name="سعر الشبك " dataDxfId="1220">
      <calculatedColumnFormula>S6*$S$2/1000</calculatedColumnFormula>
    </tableColumn>
    <tableColumn id="8" name="اجمالي" totalsRowFunction="sum" dataDxfId="1274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81"/>
    <tableColumn id="2" name="المقاس" dataDxfId="1281"/>
    <tableColumn id="4" name="ميزان" dataDxfId="615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8" totalsRowDxfId="113"/>
    <tableColumn id="2" name="عدد" dataDxfId="1192" totalsRowDxfId="119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2" totalsRowDxfId="1193"/>
    <tableColumn id="11" name="Column2" dataDxfId="1269" totalsRowDxfId="1270"/>
    <tableColumn id="10" name="Column1" dataDxfId="1269" totalsRowDxfId="1270"/>
    <tableColumn id="12" name="المسطح" totalsRowFunction="sum" dataDxfId="49" totalsRowDxfId="119">
      <calculatedColumnFormula>(Table1[[#This Row],[Column1]]+Table1[[#This Row],[Column2]])*12*Table1[[#This Row],[عدد]]</calculatedColumnFormula>
    </tableColumn>
    <tableColumn id="4" name="الوحده" dataDxfId="1269" totalsRowDxfId="1270"/>
    <tableColumn id="5" name="الوزن" totalsRowFunction="custom" totalsRowDxfId="1270">
      <totalsRowFormula>(H6*B6)+(H8*B8)+(H7*B7)</totalsRowFormula>
    </tableColumn>
    <tableColumn id="6" name="مسطح" dataDxfId="47" totalsRowDxfId="1270"/>
    <tableColumn id="7" name="سعر الشبك " dataDxfId="99" totalsRowDxfId="111">
      <calculatedColumnFormula>H6*$H$2/1000</calculatedColumnFormula>
    </tableColumn>
    <tableColumn id="8" name="اجمالي" totalsRowFunction="sum" dataDxfId="45" totalsRowDxfId="109">
      <calculatedColumnFormula>B6*J6</calculatedColumnFormula>
    </tableColumn>
    <tableColumn id="9" name="%" totalsRowFunction="custom" totalsRowDxfId="108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4"/>
    <tableColumn id="2" name="Column2" dataDxfId="128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81" totalsRowDxfId="3"/>
    <tableColumn id="2" name="عدد/الشمسية" dataDxfId="630" totalsRowDxfId="1"/>
    <tableColumn id="3" name="سعر الوحدة" dataDxfId="1281" totalsRowDxfId="1221"/>
    <tableColumn id="4" name="قيمة" totalsRowFunction="sum" dataDxfId="1281" totalsRowDxfId="0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81"/>
    <tableColumn id="2" name="امتار عادية" dataDxfId="1281"/>
    <tableColumn id="4" name="امتار single" dataDxfId="1281"/>
    <tableColumn id="6" name="امتار douple" dataDxfId="128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81"/>
    <tableColumn id="2" name="Column2" dataDxfId="128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7"/>
    <tableColumn id="2" name="الناتج" dataDxfId="618"/>
    <tableColumn id="3" name="Column1" dataDxfId="1222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6"/>
    <tableColumn id="4" name="ميزان" dataDxfId="129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4"/>
    <tableColumn id="2" name="Column2" dataDxfId="128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81" totalsRowDxfId="1280"/>
    <tableColumn id="2" name="عدد/الشمسية" dataDxfId="610" totalsRowDxfId="1280"/>
    <tableColumn id="3" name="سعر الوحدة" dataDxfId="1281" totalsRowDxfId="1280"/>
    <tableColumn id="4" name="قيمة" totalsRowFunction="sum" dataDxfId="1281" totalsRowDxfId="12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81"/>
    <tableColumn id="2" name="امتار عادية" dataDxfId="1281"/>
    <tableColumn id="4" name="امتار single" dataDxfId="1281"/>
    <tableColumn id="6" name="امتار douple" dataDxfId="128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69" totalsRowDxfId="1270"/>
    <tableColumn id="2" name="عدد" dataDxfId="1271" totalsRowDxfId="1270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195" totalsRowDxfId="1196">
      <calculatedColumnFormula>Sheet2!B8</calculatedColumnFormula>
    </tableColumn>
    <tableColumn id="8" name="اجمالي" totalsRowFunction="sum" dataDxfId="1197" totalsRowDxfId="1198">
      <calculatedColumnFormula>B35*J35</calculatedColumnFormula>
    </tableColumn>
    <tableColumn id="9" name="%" totalsRowFunction="custom" totalsRowDxfId="119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81"/>
    <tableColumn id="2" name="Column2" dataDxfId="128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4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5"/>
    <tableColumn id="3" name="Column1" dataDxfId="1297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4" totalsRowDxfId="553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98">
      <calculatedColumnFormula>Table12[[#This Row],[سعر]]*Table12[[#This Row],[ميزان]]*Table12[[#This Row],[عدد]]</calculatedColumnFormula>
    </tableColumn>
    <tableColumn id="6" name="Column6" totalsRowFunction="custom" totalsRowDxfId="544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89" totalsRowDxfId="1270">
      <calculatedColumnFormula>I28</calculatedColumnFormula>
    </tableColumn>
    <tableColumn id="3" name="بيان" totalsRowLabel="Total" dataDxfId="539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تسعير!$T$45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SUMIF(Table17[Column1],Table161243[[#This Row],[موقع العمل]],Table17[الاقامة])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Table161243[[#This Row],[Column12]]</calculatedColumnFormula>
    </tableColumn>
    <tableColumn id="8" name="اجمالي" totalsRowFunction="sum" dataDxfId="1274" totalsRowDxfId="1276">
      <calculatedColumnFormula>I31*Q31</calculatedColumnFormula>
    </tableColumn>
    <tableColumn id="9" name="%" totalsRowFunction="custom" totalsRowDxfId="127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89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99" totalsRowDxfId="1300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01">
      <calculatedColumnFormula>Table1257[[#This Row],[سعر]]*Table1257[[#This Row],[ميزان]]*Table1257[[#This Row],[عدد]]</calculatedColumnFormula>
    </tableColumn>
    <tableColumn id="6" name="Column6" totalsRowFunction="custom" totalsRowDxfId="130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89" totalsRowDxfId="1270">
      <calculatedColumnFormula>I61</calculatedColumnFormula>
    </tableColumn>
    <tableColumn id="3" name="بيان" totalsRowLabel="Total" dataDxfId="1229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تسعير!$T$63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SUMIF(Table17[Column1],Table16124360[[#This Row],[موقع العمل]],Table17[الاقامة])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Table16124360[[#This Row],[Column12]]</calculatedColumnFormula>
    </tableColumn>
    <tableColumn id="8" name="اجمالي" totalsRowFunction="sum" dataDxfId="1274" totalsRowDxfId="1276">
      <calculatedColumnFormula>I64*Q64</calculatedColumnFormula>
    </tableColumn>
    <tableColumn id="9" name="%" totalsRowFunction="custom" totalsRowDxfId="127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89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Sheet2!B6</calculatedColumnFormula>
    </tableColumn>
    <tableColumn id="8" name="اجمالي" totalsRowFunction="sum" dataDxfId="1274" totalsRowDxfId="1276">
      <calculatedColumnFormula>M28*U28</calculatedColumnFormula>
    </tableColumn>
    <tableColumn id="9" name="%" totalsRowFunction="custom" totalsRowDxfId="127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69"/>
    <tableColumn id="2" name="عدد" dataDxfId="1269">
      <calculatedColumnFormula>IF((تسعير!X7&lt;800),0,IF(AND((تسعير!X7&gt;800),(600&gt;=تسعير!AA9)),1,0))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192">
      <calculatedColumnFormula>(Table14[[#This Row],[Column1]]+Table14[[#This Row],[Column2]])*12*Table14[[#This Row],[عدد]]</calculatedColumnFormula>
    </tableColumn>
    <tableColumn id="4" name="الوحده" dataDxfId="1269"/>
    <tableColumn id="5" name="الوزن" totalsRowFunction="custom">
      <totalsRowFormula>H12*B12+H13*B13</totalsRowFormula>
    </tableColumn>
    <tableColumn id="6" name="مسطح" dataDxfId="1272">
      <calculatedColumnFormula>Table14[[#This Row],[Column12]]*Table14[[#This Row],[عدد]]</calculatedColumnFormula>
    </tableColumn>
    <tableColumn id="7" name="سعر الشبك " dataDxfId="1195">
      <calculatedColumnFormula>H12*$I$2/1000</calculatedColumnFormula>
    </tableColumn>
    <tableColumn id="8" name="اجمالي" totalsRowFunction="sum" dataDxfId="119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69"/>
    <tableColumn id="2" name="عدد" dataDxfId="1272"/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Sheet2!B26</calculatedColumnFormula>
    </tableColumn>
    <tableColumn id="8" name="اجمالي" totalsRowFunction="sum" dataDxfId="1274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69"/>
    <tableColumn id="2" name="عدد" totalsRowFunction="count" dataDxfId="1269">
      <calculatedColumnFormula>M20*4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(Table166273[[#This Row],[Column1]]*Table166273[[#This Row],[Column2]])*Table166273[[#This Row],[عدد]]</calculatedColumnFormula>
    </tableColumn>
    <tableColumn id="4" name="الوحده" dataDxfId="1269"/>
    <tableColumn id="5" name="الوزن" totalsRowFunction="custom">
      <totalsRowFormula>(S23*M23)+(M24*S24)</totalsRowFormula>
    </tableColumn>
    <tableColumn id="6" name="سعر الكيلو" dataDxfId="1272"/>
    <tableColumn id="7" name="سعر الشبك " dataDxfId="1273">
      <calculatedColumnFormula>S22*$S$2/1000</calculatedColumnFormula>
    </tableColumn>
    <tableColumn id="8" name="اجمالي" totalsRowFunction="sum" dataDxfId="1274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69" totalsRowDxfId="1270"/>
    <tableColumn id="2" name="عدد" dataDxfId="1289" totalsRowDxfId="1270">
      <calculatedColumnFormula>IF((تسعير!$AU$14="بالتات"),0,M49-2)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تسعير!$AT$24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SUMIF(Table176978[Column1],Table16126776[[#This Row],[موقع العمل]],$AE$2:$AE$8)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Table16126776[[#This Row],[Column12]]</calculatedColumnFormula>
    </tableColumn>
    <tableColumn id="8" name="اجمالي" totalsRowFunction="sum" dataDxfId="1274" totalsRowDxfId="1276">
      <calculatedColumnFormula>M52*U52</calculatedColumnFormula>
    </tableColumn>
    <tableColumn id="9" name="%" totalsRowFunction="custom" totalsRowDxfId="127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79" totalsRowDxfId="1270"/>
    <tableColumn id="2" name="عدد" dataDxfId="1289" totalsRowDxfId="1270">
      <calculatedColumnFormula>IF((Q63="الاسكندرية"),0.25,0.1)</calculatedColumnFormula>
    </tableColumn>
    <tableColumn id="3" name="بيان" totalsRowLabel="Total" dataDxfId="1279" totalsRowDxfId="1270"/>
    <tableColumn id="11" name="Column2" dataDxfId="1279" totalsRowDxfId="1270"/>
    <tableColumn id="10" name="Column1" dataDxfId="1279" totalsRowDxfId="1270"/>
    <tableColumn id="12" name="Column12" totalsRowFunction="sum" dataDxfId="1302" totalsRowDxfId="1280"/>
    <tableColumn id="4" name="الوحده" dataDxfId="1285" totalsRowDxfId="1270"/>
    <tableColumn id="5" name="الوزن" dataDxfId="1279" totalsRowDxfId="1270"/>
    <tableColumn id="6" name="سعر الكيلو" dataDxfId="1279" totalsRowDxfId="1270"/>
    <tableColumn id="7" name="سعر الشبك " dataDxfId="1292" totalsRowDxfId="1275">
      <calculatedColumnFormula>Table80102114[[#Totals],[price]]</calculatedColumnFormula>
    </tableColumn>
    <tableColumn id="8" name="اجمالي" totalsRowFunction="sum" dataDxfId="1274" totalsRowDxfId="1276">
      <calculatedColumnFormula>M47*Table16136877[[#This Row],[سعر الشبك ]]</calculatedColumnFormula>
    </tableColumn>
    <tableColumn id="9" name="%" totalsRowFunction="custom" totalsRowDxfId="127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IF((Q63="المقطم"),0.3,IF((Q63="التجمع"),0.3,IF((Q63="الشيخ زايد"),0.3,IF((Q63="الاسكندرية"),0.5,0.35))))</calculatedColumnFormula>
    </tableColumn>
    <tableColumn id="2" name="Column2" dataDxfId="1289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69"/>
    <tableColumn id="2" name="عدد" dataDxfId="1269"/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(Table15880[[#This Row],[Column1]]+Table15880[[#This Row],[Column2]])*12*Table15880[[#This Row],[عدد]]</calculatedColumnFormula>
    </tableColumn>
    <tableColumn id="4" name="الوحده" dataDxfId="1269"/>
    <tableColumn id="5" name="الوزن" totalsRowFunction="custom">
      <totalsRowFormula>(S6*M6)+(S7*M7)+(M8*S8)+(S9*M9)</totalsRowFormula>
    </tableColumn>
    <tableColumn id="6" name="اجمالي المسطح" totalsRowFunction="sum" dataDxfId="1272">
      <calculatedColumnFormula>Table15880[[#This Row],[المسطح]]*Table15880[[#This Row],[عدد]]</calculatedColumnFormula>
    </tableColumn>
    <tableColumn id="7" name="سعر الشبك " dataDxfId="1220">
      <calculatedColumnFormula>S6*$S$2/1000</calculatedColumnFormula>
    </tableColumn>
    <tableColumn id="8" name="اجمالي" totalsRowFunction="sum" dataDxfId="1274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69" totalsRowDxfId="1270"/>
    <tableColumn id="2" name="عدد" dataDxfId="1272" totalsRowDxfId="127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Sheet2!B6</calculatedColumnFormula>
    </tableColumn>
    <tableColumn id="8" name="اجمالي" totalsRowFunction="sum" dataDxfId="1274" totalsRowDxfId="1276">
      <calculatedColumnFormula>M99*U100</calculatedColumnFormula>
    </tableColumn>
    <tableColumn id="9" name="%" totalsRowFunction="custom" totalsRowDxfId="127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00" totalsRowDxfId="1201"/>
    <tableColumn id="4" name="الوحده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196">
      <calculatedColumnFormula>Sheet2!B22</calculatedColumnFormula>
    </tableColumn>
    <tableColumn id="8" name="اجمالي" totalsRowFunction="sum" dataDxfId="1274" totalsRowDxfId="1198">
      <calculatedColumnFormula>B17*J17</calculatedColumnFormula>
    </tableColumn>
    <tableColumn id="9" name="%" totalsRowFunction="custom" totalsRowDxfId="119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69"/>
    <tableColumn id="2" name="عدد" dataDxfId="1272">
      <calculatedColumnFormula>IF((I70="بالتات"),0,4)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Sheet2!B26</calculatedColumnFormula>
    </tableColumn>
    <tableColumn id="8" name="اجمالي" totalsRowFunction="sum" dataDxfId="1274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69"/>
    <tableColumn id="2" name="عدد" totalsRowFunction="sum" dataDxfId="1269">
      <calculatedColumnFormula>M91*4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(Table16627394[[#This Row],[Column1]]*Table16627394[[#This Row],[Column2]])*Table16627394[[#This Row],[عدد]]</calculatedColumnFormula>
    </tableColumn>
    <tableColumn id="4" name="الوحده" dataDxfId="1269"/>
    <tableColumn id="5" name="الوزن" totalsRowFunction="custom">
      <totalsRowFormula>(S94*M94)+(M95*S95)</totalsRowFormula>
    </tableColumn>
    <tableColumn id="6" name="سعر الكيلو" dataDxfId="1272"/>
    <tableColumn id="7" name="سعر الشبك " dataDxfId="1273">
      <calculatedColumnFormula>S93*$S$2/1000</calculatedColumnFormula>
    </tableColumn>
    <tableColumn id="8" name="اجمالي" totalsRowFunction="sum" dataDxfId="1274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69" totalsRowDxfId="1270"/>
    <tableColumn id="2" name="عدد" dataDxfId="1289" totalsRowDxfId="1270">
      <calculatedColumnFormula>IF((تسعير!$AU$14="بالتات"),0,M120-2)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تسعير!$AT$44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SUMIF(Table17697899[Column1],Table1612677697[[#This Row],[موقع العمل]],$AE$2:$AE$8)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Table1612677697[[#This Row],[Column12]]</calculatedColumnFormula>
    </tableColumn>
    <tableColumn id="8" name="اجمالي" totalsRowFunction="sum" dataDxfId="1274" totalsRowDxfId="1276">
      <calculatedColumnFormula>M123*U123</calculatedColumnFormula>
    </tableColumn>
    <tableColumn id="9" name="%" totalsRowFunction="custom" totalsRowDxfId="127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79" totalsRowDxfId="1270"/>
    <tableColumn id="2" name="عدد" dataDxfId="1289" totalsRowDxfId="1270">
      <calculatedColumnFormula>IF((Q134="الاسكندرية"),0.25,0.1)</calculatedColumnFormula>
    </tableColumn>
    <tableColumn id="3" name="بيان" totalsRowLabel="Total" dataDxfId="1279" totalsRowDxfId="1270"/>
    <tableColumn id="11" name="Column2" dataDxfId="1279" totalsRowDxfId="1270"/>
    <tableColumn id="10" name="Column1" dataDxfId="1279" totalsRowDxfId="1270"/>
    <tableColumn id="12" name="Column12" totalsRowFunction="sum" dataDxfId="1302" totalsRowDxfId="1280"/>
    <tableColumn id="4" name="الوحده" dataDxfId="1285" totalsRowDxfId="1270"/>
    <tableColumn id="5" name="الوزن" dataDxfId="1279" totalsRowDxfId="1270"/>
    <tableColumn id="6" name="سعر الكيلو" dataDxfId="1279" totalsRowDxfId="1270"/>
    <tableColumn id="7" name="سعر الشبك " dataDxfId="1292" totalsRowDxfId="1275">
      <calculatedColumnFormula>F95</calculatedColumnFormula>
    </tableColumn>
    <tableColumn id="8" name="اجمالي" totalsRowFunction="sum" dataDxfId="1274" totalsRowDxfId="1276">
      <calculatedColumnFormula>M118*Table1613687798[[#This Row],[سعر الشبك ]]</calculatedColumnFormula>
    </tableColumn>
    <tableColumn id="9" name="%" totalsRowFunction="custom" totalsRowDxfId="127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IF((Q134="المقطم"),0.3,IF((Q134="التجمع"),0.3,IF((Q134="الشيخ زايد"),0.3,IF((Q134="الاسكندرية"),0.5,0.35))))</calculatedColumnFormula>
    </tableColumn>
    <tableColumn id="2" name="Column2" dataDxfId="1289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69"/>
    <tableColumn id="2" name="عدد" dataDxfId="1269">
      <calculatedColumnFormula>IF(OR((N70="B11"),(N70="B12"),(N70="B21"),(N70="B22"),(N70="B31"),(N70="B32")),3,0)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(Table15880101[[#This Row],[Column1]]+Table15880101[[#This Row],[Column2]])*12*Table15880101[[#This Row],[عدد]]</calculatedColumnFormula>
    </tableColumn>
    <tableColumn id="4" name="الوحده" dataDxfId="1269"/>
    <tableColumn id="5" name="الوزن" totalsRowFunction="custom">
      <totalsRowFormula>(S77*M77)+(S78*M78)+(M79*S79)+(S80*M80)</totalsRowFormula>
    </tableColumn>
    <tableColumn id="6" name="اجمالي المسطح" totalsRowFunction="sum" dataDxfId="1272">
      <calculatedColumnFormula>Table15880101[[#This Row],[المسطح]]*Table15880101[[#This Row],[عدد]]</calculatedColumnFormula>
    </tableColumn>
    <tableColumn id="7" name="سعر الشبك " dataDxfId="1303">
      <calculatedColumnFormula>S77*$S$2/1000</calculatedColumnFormula>
    </tableColumn>
    <tableColumn id="8" name="اجمالي" totalsRowFunction="sum" dataDxfId="1274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Sheet2!AW6</calculatedColumnFormula>
    </tableColumn>
    <tableColumn id="8" name="اجمالي" totalsRowFunction="sum" dataDxfId="1274" totalsRowDxfId="1276">
      <calculatedColumnFormula>BH28*BP28</calculatedColumnFormula>
    </tableColumn>
    <tableColumn id="9" name="%" totalsRowFunction="custom" totalsRowDxfId="127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69" totalsRowDxfId="1270"/>
    <tableColumn id="2" name="عدد" totalsRowFunction="count" dataDxfId="1269" totalsRowDxfId="1270">
      <calculatedColumnFormula>B29*4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totalsRowFunction="sum" dataDxfId="1200" totalsRowDxfId="1201">
      <calculatedColumnFormula>(Table16[[#This Row],[Column1]]*Table16[[#This Row],[Column2]])*Table16[[#This Row],[عدد]]</calculatedColumnFormula>
    </tableColumn>
    <tableColumn id="4" name="الوحده" dataDxfId="1269" totalsRowDxfId="1270"/>
    <tableColumn id="5" name="الوزن" totalsRowFunction="custom" totalsRowDxfId="1270">
      <totalsRowFormula>H30*B30+H31*B31</totalsRowFormula>
    </tableColumn>
    <tableColumn id="6" name="Column3" dataDxfId="1272" totalsRowDxfId="1270"/>
    <tableColumn id="7" name="سعر الشبك " dataDxfId="1273" totalsRowDxfId="1275">
      <calculatedColumnFormula>H30*$H$2/1000</calculatedColumnFormula>
    </tableColumn>
    <tableColumn id="8" name="اجمالي" totalsRowFunction="sum" dataDxfId="1274" totalsRowDxfId="1276">
      <calculatedColumnFormula>B30*J30</calculatedColumnFormula>
    </tableColumn>
    <tableColumn id="9" name="%" totalsRowFunction="custom" totalsRowDxfId="1277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78" totalsRowDxfId="1280"/>
    <tableColumn id="4" name="الوحده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Sheet2!AW26</calculatedColumnFormula>
    </tableColumn>
    <tableColumn id="8" name="اجمالي" totalsRowFunction="sum" dataDxfId="1274" totalsRowDxfId="1276">
      <calculatedColumnFormula>BH14*BP14</calculatedColumnFormula>
    </tableColumn>
    <tableColumn id="9" name="%" totalsRowFunction="custom" totalsRowDxfId="127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69"/>
    <tableColumn id="2" name="عدد" totalsRowFunction="count" dataDxfId="1269">
      <calculatedColumnFormula>BH20*4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(Table16627383[[#This Row],[Column1]]*Table16627383[[#This Row],[Column2]])*Table16627383[[#This Row],[عدد]]</calculatedColumnFormula>
    </tableColumn>
    <tableColumn id="4" name="الوحده" dataDxfId="1269"/>
    <tableColumn id="5" name="الوزن" totalsRowFunction="custom">
      <totalsRowFormula>(BN23*BH23)+(BH24*BN24)</totalsRowFormula>
    </tableColumn>
    <tableColumn id="6" name="سعر الكيلو" dataDxfId="1272"/>
    <tableColumn id="7" name="سعر الشبك " dataDxfId="1273">
      <calculatedColumnFormula>BN22*$S$2/1000</calculatedColumnFormula>
    </tableColumn>
    <tableColumn id="8" name="اجمالي" totalsRowFunction="sum" dataDxfId="1274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69"/>
    <tableColumn id="2" name="عدد" dataDxfId="1289">
      <calculatedColumnFormula>IF((تسعير!$AU$14="بالتات"),0,BH48-2)</calculatedColumnFormula>
    </tableColumn>
    <tableColumn id="3" name="بيان" totalsRowLabel="Total" dataDxfId="1287"/>
    <tableColumn id="5" name="اليومية / الاجرة" dataDxfId="1287"/>
    <tableColumn id="6" name="بدل الوجبة" dataDxfId="1288"/>
    <tableColumn id="11" name="موقع العمل" dataDxfId="1279">
      <calculatedColumnFormula>تسعير!$AT$44</calculatedColumnFormula>
    </tableColumn>
    <tableColumn id="10" name="شيفت العمل" dataDxfId="1269"/>
    <tableColumn id="12" name="Column12" totalsRowFunction="sum" dataDxfId="1278">
      <calculatedColumnFormula>SUMIF(Table17697888[Column1],Table1612677686[[#This Row],[موقع العمل]],$AE$2:$AE$8)</calculatedColumnFormula>
    </tableColumn>
    <tableColumn id="4" name="عدد الايام" dataDxfId="1293"/>
    <tableColumn id="7" name="اجمالي التكلفة للعامل" dataDxfId="1294">
      <calculatedColumnFormula>Table1612677686[[#This Row],[Column12]]</calculatedColumnFormula>
    </tableColumn>
    <tableColumn id="8" name="اجمالي" totalsRowFunction="sum" dataDxfId="1274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79"/>
    <tableColumn id="2" name="عدد" dataDxfId="1289">
      <calculatedColumnFormula>IF((BL62="الاسكندرية"),0.25,0.1)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302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BQ45</calculatedColumnFormula>
    </tableColumn>
    <tableColumn id="8" name="اجمالي" totalsRowFunction="sum" dataDxfId="1274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IF((BL62="المقطم"),0.3,IF((BL62="التجمع"),0.3,IF((BL62="الشيخ زايد"),0.3,IF((BL62="الاسكندرية"),0.5,0.35))))</calculatedColumnFormula>
    </tableColumn>
    <tableColumn id="2" name="Column2" dataDxfId="1289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69"/>
    <tableColumn id="2" name="عدد" dataDxfId="1269"/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(Table1588090[[#This Row],[Column1]]+Table1588090[[#This Row],[Column2]])*12*Table1588090[[#This Row],[عدد]]</calculatedColumnFormula>
    </tableColumn>
    <tableColumn id="4" name="الوحده" dataDxfId="1269"/>
    <tableColumn id="5" name="الوزن" totalsRowFunction="custom">
      <totalsRowFormula>(BN6*BH6)+(BN7*BG7)+(BN8*BG8)+(BN9*BG9)</totalsRowFormula>
    </tableColumn>
    <tableColumn id="6" name="اجمالي المسطح" totalsRowFunction="sum" dataDxfId="1272">
      <calculatedColumnFormula>Table1588090[[#This Row],[المسطح]]*Table1588090[[#This Row],[عدد]]</calculatedColumnFormula>
    </tableColumn>
    <tableColumn id="7" name="سعر الشبك " dataDxfId="1303">
      <calculatedColumnFormula>BN6*$S$2/1000</calculatedColumnFormula>
    </tableColumn>
    <tableColumn id="8" name="اجمالي" totalsRowFunction="sum" dataDxfId="1274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5" totalsRowDxfId="14"/>
    <tableColumn id="2" name="عدد" totalsRowFunction="custom" totalsRowDxfId="12">
      <totalsRowFormula>(Table8091[[#Totals],[price]]*1.1)/(BA1*AY1/10000)</totalsRowFormula>
    </tableColumn>
    <tableColumn id="3" name="طول" dataDxfId="1230" totalsRowDxfId="4"/>
    <tableColumn id="4" name="Column2" dataDxfId="1230" totalsRowDxfId="1231"/>
    <tableColumn id="5" name="wt/m" dataDxfId="1304" totalsRowDxfId="1231"/>
    <tableColumn id="6" name="price" totalsRowFunction="sum" dataDxfId="1304" totalsRowDxfId="1305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187</v>
      </c>
      <c r="B1" s="369" t="s">
        <v>165</v>
      </c>
      <c r="C1" s="369" t="s">
        <v>169</v>
      </c>
      <c r="D1" s="369" t="s">
        <v>154</v>
      </c>
      <c r="E1" s="500"/>
      <c r="F1" s="501"/>
      <c r="G1" s="569" t="s">
        <v>220</v>
      </c>
      <c r="H1" s="569"/>
      <c r="I1" s="569"/>
      <c r="J1" s="514"/>
    </row>
    <row r="2" ht="21">
      <c r="A2" s="502" t="s">
        <v>188</v>
      </c>
      <c r="B2" s="562" t="s">
        <v>166</v>
      </c>
      <c r="C2" s="503" t="s">
        <v>170</v>
      </c>
      <c r="D2" s="504" t="s">
        <v>195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3" t="s">
        <v>168</v>
      </c>
      <c r="C3" s="507" t="s">
        <v>178</v>
      </c>
      <c r="D3" s="508" t="s">
        <v>194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35737.5</v>
      </c>
      <c r="J3" s="515"/>
    </row>
    <row r="4" ht="21">
      <c r="A4" s="509"/>
      <c r="B4" s="510"/>
      <c r="C4" s="510"/>
      <c r="D4" s="511"/>
      <c r="E4" s="500"/>
      <c r="F4" s="505"/>
      <c r="G4" s="570" t="s">
        <v>221</v>
      </c>
      <c r="H4" s="570"/>
      <c r="I4" s="570"/>
      <c r="J4" s="515"/>
    </row>
    <row r="5" ht="21">
      <c r="A5" s="502" t="s">
        <v>188</v>
      </c>
      <c r="B5" s="562" t="s">
        <v>166</v>
      </c>
      <c r="C5" s="503" t="s">
        <v>170</v>
      </c>
      <c r="D5" s="504" t="s">
        <v>195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207</v>
      </c>
      <c r="B6" s="563" t="s">
        <v>168</v>
      </c>
      <c r="C6" s="507" t="s">
        <v>178</v>
      </c>
      <c r="D6" s="508" t="s">
        <v>194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126006.25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222</v>
      </c>
      <c r="B10" s="571"/>
    </row>
    <row r="11">
      <c r="A11" s="233" t="s">
        <v>223</v>
      </c>
      <c r="B11" s="233" t="s">
        <v>224</v>
      </c>
    </row>
    <row r="12">
      <c r="A12" s="233" t="s">
        <v>225</v>
      </c>
      <c r="B12" s="233">
        <v>60000</v>
      </c>
    </row>
    <row r="13">
      <c r="A13" s="233" t="s">
        <v>226</v>
      </c>
      <c r="B13" s="233">
        <v>65000</v>
      </c>
    </row>
    <row r="14">
      <c r="A14" s="561" t="s">
        <v>227</v>
      </c>
      <c r="B14" s="233">
        <v>215000</v>
      </c>
    </row>
    <row r="15">
      <c r="A15" s="233" t="s">
        <v>228</v>
      </c>
      <c r="B15" s="233">
        <v>50000</v>
      </c>
    </row>
    <row r="16">
      <c r="A16" s="233" t="s">
        <v>229</v>
      </c>
      <c r="B16" s="233">
        <v>275</v>
      </c>
    </row>
    <row r="17">
      <c r="A17" s="233" t="s">
        <v>230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231</v>
      </c>
      <c r="B33" s="233">
        <v>11000</v>
      </c>
    </row>
    <row r="34">
      <c r="A34" s="233" t="s">
        <v>232</v>
      </c>
      <c r="B34" s="233">
        <v>2000</v>
      </c>
    </row>
    <row r="35">
      <c r="A35" s="233" t="s">
        <v>233</v>
      </c>
      <c r="B35" s="233">
        <v>1500</v>
      </c>
    </row>
    <row r="36">
      <c r="A36" s="233" t="s">
        <v>234</v>
      </c>
      <c r="B36" s="233">
        <v>1500</v>
      </c>
    </row>
    <row r="37">
      <c r="A37" s="233" t="s">
        <v>235</v>
      </c>
      <c r="B37" s="233">
        <v>5000</v>
      </c>
    </row>
    <row r="38">
      <c r="A38" s="233" t="s">
        <v>236</v>
      </c>
      <c r="B38" s="233">
        <v>800</v>
      </c>
    </row>
    <row r="39">
      <c r="A39" s="233" t="s">
        <v>237</v>
      </c>
      <c r="B39" s="233">
        <v>120</v>
      </c>
    </row>
    <row r="40">
      <c r="A40" s="233" t="s">
        <v>238</v>
      </c>
      <c r="B40" s="233">
        <v>90</v>
      </c>
    </row>
    <row r="41">
      <c r="A41" s="233" t="s">
        <v>239</v>
      </c>
      <c r="B41" s="233">
        <v>20</v>
      </c>
    </row>
    <row r="42" ht="18.75">
      <c r="A42" s="331" t="s">
        <v>240</v>
      </c>
      <c r="B42" s="233">
        <v>450</v>
      </c>
    </row>
    <row r="43" ht="18.75">
      <c r="A43" s="331" t="s">
        <v>241</v>
      </c>
      <c r="B43" s="233">
        <v>160</v>
      </c>
    </row>
    <row r="44" ht="18.75">
      <c r="A44" s="331" t="s">
        <v>242</v>
      </c>
      <c r="B44" s="233">
        <v>175</v>
      </c>
    </row>
    <row r="45">
      <c r="A45" s="561" t="s">
        <v>243</v>
      </c>
      <c r="B45" s="233">
        <v>4000</v>
      </c>
    </row>
    <row r="46">
      <c r="A46" s="561" t="s">
        <v>244</v>
      </c>
      <c r="B46" s="233">
        <v>3000</v>
      </c>
    </row>
    <row r="47">
      <c r="A47" s="233" t="s">
        <v>245</v>
      </c>
      <c r="B47" s="233">
        <v>160</v>
      </c>
    </row>
    <row r="48">
      <c r="A48" s="233" t="s">
        <v>246</v>
      </c>
      <c r="B48" s="233">
        <v>20</v>
      </c>
    </row>
    <row r="49">
      <c r="A49" s="233" t="s">
        <v>247</v>
      </c>
      <c r="B49" s="233">
        <v>1200</v>
      </c>
    </row>
    <row r="50">
      <c r="A50" s="233" t="s">
        <v>248</v>
      </c>
      <c r="B50" s="233">
        <v>150</v>
      </c>
    </row>
    <row r="51">
      <c r="A51" s="233" t="s">
        <v>249</v>
      </c>
      <c r="B51" s="233">
        <v>150</v>
      </c>
    </row>
    <row r="52">
      <c r="A52" s="233" t="s">
        <v>250</v>
      </c>
      <c r="B52" s="233">
        <v>250</v>
      </c>
    </row>
    <row r="53">
      <c r="A53" s="233" t="s">
        <v>251</v>
      </c>
      <c r="B53" s="233">
        <v>100</v>
      </c>
    </row>
    <row r="54">
      <c r="A54" s="561" t="s">
        <v>252</v>
      </c>
      <c r="B54" s="233">
        <v>1200</v>
      </c>
    </row>
    <row r="55">
      <c r="A55" s="537" t="s">
        <v>253</v>
      </c>
      <c r="B55" s="233">
        <v>23000</v>
      </c>
    </row>
    <row r="56">
      <c r="A56" s="537" t="s">
        <v>254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60" t="s">
        <v>594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2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6" t="s">
        <v>360</v>
      </c>
      <c r="B3" s="676"/>
      <c r="C3" s="676"/>
      <c r="D3" s="678">
        <f>تسجيل1!B2</f>
        <v>0</v>
      </c>
      <c r="E3" s="678"/>
      <c r="F3" s="678"/>
      <c r="G3" s="678"/>
      <c r="H3" s="678"/>
      <c r="I3" s="678"/>
      <c r="J3" s="678"/>
      <c r="K3" s="678"/>
      <c r="L3" s="678"/>
      <c r="M3" s="663" t="s">
        <v>361</v>
      </c>
      <c r="N3" s="663"/>
      <c r="O3" s="89"/>
      <c r="P3" s="90"/>
      <c r="Q3" s="90"/>
      <c r="R3" s="90"/>
      <c r="Z3" s="151"/>
      <c r="AA3" s="60"/>
      <c r="AB3" s="60"/>
    </row>
    <row r="4" ht="13.5" customHeight="1">
      <c r="A4" s="677"/>
      <c r="B4" s="677"/>
      <c r="C4" s="677"/>
      <c r="D4" s="679"/>
      <c r="E4" s="679"/>
      <c r="F4" s="679"/>
      <c r="G4" s="678"/>
      <c r="H4" s="678"/>
      <c r="I4" s="679"/>
      <c r="J4" s="679"/>
      <c r="K4" s="679"/>
      <c r="L4" s="679"/>
      <c r="M4" s="664"/>
      <c r="N4" s="664"/>
      <c r="O4" s="91"/>
      <c r="P4" s="92"/>
      <c r="Q4" s="92"/>
      <c r="R4" s="92"/>
      <c r="Z4" s="151"/>
      <c r="AA4" s="60"/>
      <c r="AB4" s="60"/>
    </row>
    <row r="5" ht="13.5" customHeight="1">
      <c r="A5" s="665" t="e">
        <f>Y1</f>
        <v>#REF!</v>
      </c>
      <c r="B5" s="666"/>
      <c r="C5" s="667"/>
      <c r="D5" s="668" t="s">
        <v>359</v>
      </c>
      <c r="E5" s="669"/>
      <c r="F5" s="670"/>
      <c r="G5" s="63"/>
      <c r="H5" s="63"/>
      <c r="I5" s="665">
        <f>W1</f>
        <v>235000</v>
      </c>
      <c r="J5" s="666"/>
      <c r="K5" s="667"/>
      <c r="L5" s="668" t="s">
        <v>362</v>
      </c>
      <c r="M5" s="669"/>
      <c r="N5" s="670"/>
      <c r="O5" s="93"/>
      <c r="P5" s="92"/>
      <c r="Q5" s="92"/>
      <c r="R5" s="92"/>
      <c r="Z5" s="151"/>
      <c r="AA5" s="60"/>
      <c r="AB5" s="60"/>
    </row>
    <row r="6" ht="16.5" customHeight="1">
      <c r="A6" s="744" t="s">
        <v>255</v>
      </c>
      <c r="B6" s="745"/>
      <c r="C6" s="746"/>
      <c r="D6" s="738" t="s">
        <v>363</v>
      </c>
      <c r="E6" s="671" t="s">
        <v>364</v>
      </c>
      <c r="F6" s="672"/>
      <c r="G6" s="673"/>
      <c r="H6" s="673"/>
      <c r="I6" s="672"/>
      <c r="J6" s="674"/>
      <c r="K6" s="675">
        <f>تسجيل1!C7</f>
        <v>500</v>
      </c>
      <c r="L6" s="675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4"/>
      <c r="B7" s="745"/>
      <c r="C7" s="746"/>
      <c r="D7" s="738"/>
      <c r="E7" s="680" t="s">
        <v>366</v>
      </c>
      <c r="F7" s="673"/>
      <c r="G7" s="673"/>
      <c r="H7" s="673"/>
      <c r="I7" s="673"/>
      <c r="J7" s="681"/>
      <c r="K7" s="682">
        <f>K6*N6/10000</f>
        <v>40</v>
      </c>
      <c r="L7" s="682"/>
      <c r="M7" s="682"/>
      <c r="N7" s="98" t="s">
        <v>367</v>
      </c>
      <c r="O7" s="99">
        <f>AA41/K7</f>
        <v>2895.7462160158993</v>
      </c>
      <c r="S7" s="60" t="s">
        <v>127</v>
      </c>
      <c r="T7" s="61" t="s">
        <v>368</v>
      </c>
      <c r="Z7" s="151"/>
      <c r="AA7" s="60"/>
      <c r="AB7" s="60"/>
    </row>
    <row r="8">
      <c r="A8" s="747"/>
      <c r="B8" s="748"/>
      <c r="C8" s="749"/>
      <c r="D8" s="739"/>
      <c r="E8" s="683" t="s">
        <v>369</v>
      </c>
      <c r="F8" s="684"/>
      <c r="G8" s="684"/>
      <c r="H8" s="684"/>
      <c r="I8" s="684"/>
      <c r="J8" s="685"/>
      <c r="K8" s="686">
        <f>K6-1</f>
        <v>499</v>
      </c>
      <c r="L8" s="686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7" t="s">
        <v>371</v>
      </c>
      <c r="B10" s="687"/>
      <c r="C10" s="687"/>
      <c r="D10" s="687"/>
      <c r="E10" s="687"/>
      <c r="F10" s="687"/>
      <c r="G10" s="688" t="s">
        <v>372</v>
      </c>
      <c r="H10" s="688"/>
      <c r="I10" s="688" t="s">
        <v>373</v>
      </c>
      <c r="J10" s="688"/>
      <c r="K10" s="104"/>
      <c r="L10" s="689" t="s">
        <v>308</v>
      </c>
      <c r="M10" s="689"/>
      <c r="N10" s="68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224</v>
      </c>
      <c r="Z10" s="151"/>
      <c r="AA10" s="60"/>
      <c r="AB10" s="60"/>
    </row>
    <row r="11" ht="20.1" customHeight="1">
      <c r="A11" s="690" t="s">
        <v>379</v>
      </c>
      <c r="B11" s="691"/>
      <c r="C11" s="691"/>
      <c r="D11" s="691"/>
      <c r="E11" s="691"/>
      <c r="F11" s="692"/>
      <c r="G11" s="693">
        <f>L11</f>
        <v>3</v>
      </c>
      <c r="H11" s="693"/>
      <c r="I11" s="694">
        <f>'Format διαστασης οδηγου'!F8</f>
        <v>765</v>
      </c>
      <c r="J11" s="694"/>
      <c r="K11" s="106"/>
      <c r="L11" s="689">
        <f>IF(Format!A7=1,تسجيل1!H27,IF(Format!A7=2,تسجيل1!H27,IF(Format!A7=3,تسجيل1!H27,IF(Format!A7=4,تسجيل1!H27,IF(Format!A7=5,تسجيل1!H27,"-------")))))</f>
        <v>3</v>
      </c>
      <c r="M11" s="689"/>
      <c r="N11" s="68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695" t="s">
        <v>380</v>
      </c>
      <c r="B12" s="695"/>
      <c r="C12" s="695"/>
      <c r="D12" s="695"/>
      <c r="E12" s="695"/>
      <c r="F12" s="695"/>
      <c r="G12" s="696">
        <f>IF(L11&gt;2,4,IF(L11=2,2))</f>
        <v>4</v>
      </c>
      <c r="H12" s="696"/>
      <c r="I12" s="69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7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695" t="s">
        <v>381</v>
      </c>
      <c r="B13" s="695"/>
      <c r="C13" s="695"/>
      <c r="D13" s="695"/>
      <c r="E13" s="695"/>
      <c r="F13" s="695"/>
      <c r="G13" s="696" t="str">
        <f>IF(L11&lt;=3,"0",(L11-3)*2)</f>
        <v>0</v>
      </c>
      <c r="H13" s="696"/>
      <c r="I13" s="697">
        <f>IF(G13="-------","-------",L17-5)</f>
        <v>240.5</v>
      </c>
      <c r="J13" s="697"/>
      <c r="K13" s="106"/>
      <c r="L13" s="698" t="s">
        <v>282</v>
      </c>
      <c r="M13" s="698"/>
      <c r="N13" s="69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5" t="s">
        <v>382</v>
      </c>
      <c r="B14" s="695"/>
      <c r="C14" s="695"/>
      <c r="D14" s="695"/>
      <c r="E14" s="695"/>
      <c r="F14" s="695"/>
      <c r="G14" s="696">
        <f>IF(L11&gt;2,2*L14,IF(L11=2,L14))</f>
        <v>24</v>
      </c>
      <c r="H14" s="696"/>
      <c r="I14" s="697">
        <f>I12</f>
        <v>247</v>
      </c>
      <c r="J14" s="697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695" t="s">
        <v>383</v>
      </c>
      <c r="B15" s="695"/>
      <c r="C15" s="695"/>
      <c r="D15" s="695"/>
      <c r="E15" s="695"/>
      <c r="F15" s="695"/>
      <c r="G15" s="696" t="str">
        <f>IF(L11&lt;=3,"0",(L11-3)*L14)</f>
        <v>0</v>
      </c>
      <c r="H15" s="696"/>
      <c r="I15" s="697">
        <f>IF(G15="-------","---------",I13)</f>
        <v>240.5</v>
      </c>
      <c r="J15" s="697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5" t="s">
        <v>384</v>
      </c>
      <c r="B16" s="695"/>
      <c r="C16" s="695"/>
      <c r="D16" s="695"/>
      <c r="E16" s="695"/>
      <c r="F16" s="695"/>
      <c r="G16" s="696">
        <v>1</v>
      </c>
      <c r="H16" s="696"/>
      <c r="I16" s="69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7"/>
      <c r="K16" s="106"/>
      <c r="L16" s="699" t="s">
        <v>385</v>
      </c>
      <c r="M16" s="699"/>
      <c r="N16" s="699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695" t="s">
        <v>386</v>
      </c>
      <c r="B17" s="695"/>
      <c r="C17" s="695"/>
      <c r="D17" s="695"/>
      <c r="E17" s="695"/>
      <c r="F17" s="695"/>
      <c r="G17" s="696">
        <f>IF(L11=2,"0",1)</f>
        <v>1</v>
      </c>
      <c r="H17" s="696"/>
      <c r="I17" s="697">
        <f>IF(G17="-------","-------",IF(Format!A7=1,(L17+3),IF(Format!A7=2,(L17+3.5),IF(Format!A7=3,(L17+3),IF(Format!A7=4,(L17+4.25),IF(Format!A7=5,(L17+5),"--------"))))))</f>
        <v>249</v>
      </c>
      <c r="J17" s="697"/>
      <c r="K17" s="106"/>
      <c r="L17" s="700">
        <f>IF(Format!A7=1,(K6-2-6)/(L11-1),IF(Format!A7=2,(K6-2-7)/(L11-1),IF(Format!A7=3,(K6-2-6)/(L11-1),IF(Format!A7=4,(K6-2-8.5)/(L11-1),IF(Format!A7=5,(K6-2-10)/(L11-1),"--------")))))</f>
        <v>245.5</v>
      </c>
      <c r="M17" s="700"/>
      <c r="N17" s="700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695" t="s">
        <v>387</v>
      </c>
      <c r="B18" s="695"/>
      <c r="C18" s="695"/>
      <c r="D18" s="695"/>
      <c r="E18" s="695"/>
      <c r="F18" s="695"/>
      <c r="G18" s="696" t="str">
        <f>IF(L11&lt;=3,"0",(L11-3))</f>
        <v>0</v>
      </c>
      <c r="H18" s="696"/>
      <c r="I18" s="697">
        <f>IF(G18="-------","-------",L17)</f>
        <v>245.5</v>
      </c>
      <c r="J18" s="697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5" t="str">
        <f>IF(Format!H4=1,"Balloon","-------")</f>
        <v>-------</v>
      </c>
      <c r="B19" s="695"/>
      <c r="C19" s="695"/>
      <c r="D19" s="695"/>
      <c r="E19" s="695"/>
      <c r="F19" s="695"/>
      <c r="G19" s="696" t="str">
        <f>IF([1]Format!H4=1,'[1]تقطيع البرجولة'!L14,"0")</f>
        <v>0</v>
      </c>
      <c r="H19" s="696"/>
      <c r="I19" s="697">
        <f>IF(G19="-------","-------",K6-2.5)</f>
        <v>497.5</v>
      </c>
      <c r="J19" s="697"/>
      <c r="K19" s="106"/>
      <c r="L19" s="701" t="s">
        <v>311</v>
      </c>
      <c r="M19" s="702"/>
      <c r="N19" s="70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4" t="s">
        <v>388</v>
      </c>
      <c r="B20" s="705"/>
      <c r="C20" s="705"/>
      <c r="D20" s="705"/>
      <c r="E20" s="705"/>
      <c r="F20" s="706"/>
      <c r="G20" s="704">
        <f>(G12+G13)/2</f>
        <v>2</v>
      </c>
      <c r="H20" s="705"/>
      <c r="I20" s="697">
        <f>L17-7</f>
        <v>238.5</v>
      </c>
      <c r="J20" s="697"/>
      <c r="K20" s="106"/>
      <c r="L20" s="114" t="s">
        <v>372</v>
      </c>
      <c r="M20" s="707" t="s">
        <v>389</v>
      </c>
      <c r="N20" s="70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708" t="s">
        <v>390</v>
      </c>
      <c r="B21" s="708"/>
      <c r="C21" s="708"/>
      <c r="D21" s="708"/>
      <c r="E21" s="708"/>
      <c r="F21" s="708"/>
      <c r="G21" s="709">
        <f>L11</f>
        <v>3</v>
      </c>
      <c r="H21" s="709"/>
      <c r="I21" s="710">
        <f>(I11*2)+45</f>
        <v>1575</v>
      </c>
      <c r="J21" s="710"/>
      <c r="K21" s="106"/>
      <c r="L21" s="112">
        <f>IF(Format!E7=1,"-------",IF(Format!E7=5,"-------",تسجيل1!H30))</f>
        <v>3</v>
      </c>
      <c r="M21" s="699" t="str">
        <f>IF(L21="-------","-------",تسجيل1!D11)</f>
        <v>4Χ220- 1Χ250</v>
      </c>
      <c r="N21" s="699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11" t="s">
        <v>391</v>
      </c>
      <c r="B23" s="712"/>
      <c r="C23" s="712"/>
      <c r="D23" s="712"/>
      <c r="E23" s="713"/>
      <c r="F23" s="67" t="s">
        <v>392</v>
      </c>
      <c r="G23" s="68"/>
      <c r="H23" s="711" t="s">
        <v>393</v>
      </c>
      <c r="I23" s="712"/>
      <c r="J23" s="712"/>
      <c r="K23" s="712"/>
      <c r="L23" s="713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4" t="s">
        <v>398</v>
      </c>
      <c r="C24" s="714"/>
      <c r="D24" s="714"/>
      <c r="E24" s="714"/>
      <c r="F24" s="70">
        <f>L11</f>
        <v>3</v>
      </c>
      <c r="G24" s="71"/>
      <c r="H24" s="69">
        <v>16</v>
      </c>
      <c r="I24" s="714" t="s">
        <v>299</v>
      </c>
      <c r="J24" s="714"/>
      <c r="K24" s="714"/>
      <c r="L24" s="714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5" t="s">
        <v>399</v>
      </c>
      <c r="C25" s="715"/>
      <c r="D25" s="715"/>
      <c r="E25" s="715"/>
      <c r="F25" s="73">
        <f>L11</f>
        <v>3</v>
      </c>
      <c r="G25" s="71"/>
      <c r="H25" s="72">
        <v>17</v>
      </c>
      <c r="I25" s="715" t="s">
        <v>232</v>
      </c>
      <c r="J25" s="715"/>
      <c r="K25" s="715"/>
      <c r="L25" s="71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5" t="s">
        <v>400</v>
      </c>
      <c r="C26" s="715"/>
      <c r="D26" s="715"/>
      <c r="E26" s="715"/>
      <c r="F26" s="73">
        <f>M24</f>
        <v>1</v>
      </c>
      <c r="G26" s="71"/>
      <c r="H26" s="72">
        <v>18</v>
      </c>
      <c r="I26" s="715" t="s">
        <v>401</v>
      </c>
      <c r="J26" s="715"/>
      <c r="K26" s="715"/>
      <c r="L26" s="715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6" t="s">
        <v>402</v>
      </c>
      <c r="C27" s="717"/>
      <c r="D27" s="717"/>
      <c r="E27" s="718"/>
      <c r="F27" s="73">
        <v>4</v>
      </c>
      <c r="G27" s="71"/>
      <c r="H27" s="72">
        <v>19</v>
      </c>
      <c r="I27" s="715" t="s">
        <v>403</v>
      </c>
      <c r="J27" s="715"/>
      <c r="K27" s="715"/>
      <c r="L27" s="71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6" t="s">
        <v>404</v>
      </c>
      <c r="C28" s="717"/>
      <c r="D28" s="717"/>
      <c r="E28" s="718"/>
      <c r="F28" s="73">
        <f>L14</f>
        <v>12</v>
      </c>
      <c r="G28" s="71"/>
      <c r="H28" s="72">
        <v>20</v>
      </c>
      <c r="I28" s="715" t="s">
        <v>405</v>
      </c>
      <c r="J28" s="715"/>
      <c r="K28" s="715"/>
      <c r="L28" s="715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6" t="s">
        <v>406</v>
      </c>
      <c r="C29" s="717"/>
      <c r="D29" s="717"/>
      <c r="E29" s="718"/>
      <c r="F29" s="73">
        <f>L11*2</f>
        <v>6</v>
      </c>
      <c r="G29" s="71"/>
      <c r="H29" s="72">
        <v>21</v>
      </c>
      <c r="I29" s="715" t="s">
        <v>233</v>
      </c>
      <c r="J29" s="715"/>
      <c r="K29" s="715"/>
      <c r="L29" s="715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6" t="s">
        <v>407</v>
      </c>
      <c r="C30" s="717"/>
      <c r="D30" s="717"/>
      <c r="E30" s="718"/>
      <c r="F30" s="73">
        <f>L14*L11</f>
        <v>36</v>
      </c>
      <c r="G30" s="71"/>
      <c r="H30" s="72">
        <v>22</v>
      </c>
      <c r="I30" s="715" t="s">
        <v>234</v>
      </c>
      <c r="J30" s="715"/>
      <c r="K30" s="715"/>
      <c r="L30" s="715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6" t="s">
        <v>408</v>
      </c>
      <c r="C31" s="717"/>
      <c r="D31" s="717"/>
      <c r="E31" s="718"/>
      <c r="F31" s="73">
        <f>(L14+N14)*2</f>
        <v>28</v>
      </c>
      <c r="G31" s="71"/>
      <c r="H31" s="72">
        <v>23</v>
      </c>
      <c r="I31" s="715" t="s">
        <v>409</v>
      </c>
      <c r="J31" s="715"/>
      <c r="K31" s="715"/>
      <c r="L31" s="715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6" t="s">
        <v>410</v>
      </c>
      <c r="C32" s="717"/>
      <c r="D32" s="717"/>
      <c r="E32" s="718"/>
      <c r="F32" s="73">
        <f>(L14+N14)*2</f>
        <v>28</v>
      </c>
      <c r="G32" s="71"/>
      <c r="H32" s="72">
        <v>24</v>
      </c>
      <c r="I32" s="715" t="s">
        <v>411</v>
      </c>
      <c r="J32" s="715"/>
      <c r="K32" s="715"/>
      <c r="L32" s="715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6" t="s">
        <v>412</v>
      </c>
      <c r="C33" s="717"/>
      <c r="D33" s="717"/>
      <c r="E33" s="718"/>
      <c r="F33" s="73">
        <f>L11*3</f>
        <v>9</v>
      </c>
      <c r="G33" s="71"/>
      <c r="H33" s="72">
        <v>25</v>
      </c>
      <c r="I33" s="715" t="s">
        <v>413</v>
      </c>
      <c r="J33" s="715"/>
      <c r="K33" s="715"/>
      <c r="L33" s="715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6" t="s">
        <v>414</v>
      </c>
      <c r="C34" s="717"/>
      <c r="D34" s="717"/>
      <c r="E34" s="718"/>
      <c r="F34" s="73">
        <f>L11*3</f>
        <v>9</v>
      </c>
      <c r="G34" s="71"/>
      <c r="H34" s="72">
        <v>26</v>
      </c>
      <c r="I34" s="715" t="s">
        <v>235</v>
      </c>
      <c r="J34" s="715"/>
      <c r="K34" s="715"/>
      <c r="L34" s="71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6" t="s">
        <v>415</v>
      </c>
      <c r="C35" s="717"/>
      <c r="D35" s="717"/>
      <c r="E35" s="718"/>
      <c r="F35" s="73">
        <f>IF(L11&gt;2,(L11-2)*2,"0")</f>
        <v>2</v>
      </c>
      <c r="G35" s="74"/>
      <c r="H35" s="72">
        <v>27</v>
      </c>
      <c r="I35" s="715" t="s">
        <v>236</v>
      </c>
      <c r="J35" s="715"/>
      <c r="K35" s="715"/>
      <c r="L35" s="71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6" t="s">
        <v>416</v>
      </c>
      <c r="C36" s="717"/>
      <c r="D36" s="717"/>
      <c r="E36" s="718"/>
      <c r="F36" s="73">
        <f>IF(L11&gt;2,(L11-2)*L14,"0")</f>
        <v>12</v>
      </c>
      <c r="G36" s="74"/>
      <c r="H36" s="72">
        <v>28</v>
      </c>
      <c r="I36" s="715" t="s">
        <v>417</v>
      </c>
      <c r="J36" s="715"/>
      <c r="K36" s="715"/>
      <c r="L36" s="715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6" t="s">
        <v>418</v>
      </c>
      <c r="C37" s="717"/>
      <c r="D37" s="717"/>
      <c r="E37" s="718"/>
      <c r="F37" s="73">
        <f>M24</f>
        <v>1</v>
      </c>
      <c r="G37" s="74"/>
      <c r="H37" s="72">
        <v>29</v>
      </c>
      <c r="I37" s="715" t="s">
        <v>419</v>
      </c>
      <c r="J37" s="715"/>
      <c r="K37" s="715"/>
      <c r="L37" s="715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5" t="s">
        <v>237</v>
      </c>
      <c r="C38" s="715"/>
      <c r="D38" s="715"/>
      <c r="E38" s="715"/>
      <c r="F38" s="73">
        <f>تسجيل1!C21</f>
        <v>20</v>
      </c>
      <c r="G38" s="74"/>
      <c r="H38" s="72">
        <v>30</v>
      </c>
      <c r="I38" s="715" t="s">
        <v>420</v>
      </c>
      <c r="J38" s="715"/>
      <c r="K38" s="715"/>
      <c r="L38" s="715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43516.1</v>
      </c>
      <c r="AB39" s="740"/>
    </row>
    <row r="40" ht="20.45" customHeight="1" s="58" customFormat="1">
      <c r="A40" s="750" t="s">
        <v>421</v>
      </c>
      <c r="B40" s="751"/>
      <c r="C40" s="75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2" t="s">
        <v>292</v>
      </c>
      <c r="M41" s="753"/>
      <c r="N41" s="75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5">
        <f>AA39+X22+U8</f>
        <v>115829.84864063597</v>
      </c>
      <c r="AB41" s="755"/>
    </row>
    <row r="42" ht="13.9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293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3">
        <f>N8</f>
        <v>772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9" t="s">
        <v>422</v>
      </c>
      <c r="K1" s="649"/>
      <c r="L1" s="649"/>
      <c r="M1" s="649"/>
      <c r="N1" s="649"/>
      <c r="O1" s="649"/>
      <c r="P1" s="649"/>
      <c r="Q1" s="649"/>
      <c r="R1" s="649"/>
      <c r="S1" s="649"/>
    </row>
    <row r="2" ht="18" customHeight="1">
      <c r="A2" s="11" t="s">
        <v>360</v>
      </c>
      <c r="B2" s="638">
        <f>Royal!C3</f>
        <v>0</v>
      </c>
      <c r="C2" s="639"/>
      <c r="D2" s="639"/>
      <c r="E2" s="639"/>
      <c r="F2" s="640"/>
      <c r="G2" s="1">
        <v>2</v>
      </c>
      <c r="J2" s="649"/>
      <c r="K2" s="649"/>
      <c r="L2" s="649"/>
      <c r="M2" s="649"/>
      <c r="N2" s="649"/>
      <c r="O2" s="649"/>
      <c r="P2" s="649"/>
      <c r="Q2" s="649"/>
      <c r="R2" s="649"/>
      <c r="S2" s="649"/>
    </row>
    <row r="3" ht="18" customHeight="1">
      <c r="A3" s="11" t="s">
        <v>423</v>
      </c>
      <c r="F3" s="641" t="s">
        <v>424</v>
      </c>
      <c r="G3" s="641"/>
    </row>
    <row r="4" ht="18" customHeight="1">
      <c r="A4" s="11" t="s">
        <v>292</v>
      </c>
      <c r="F4" s="642" t="s">
        <v>425</v>
      </c>
      <c r="G4" s="643"/>
      <c r="H4" s="643"/>
      <c r="I4" s="644"/>
      <c r="J4" s="10"/>
    </row>
    <row r="5" ht="18" customHeight="1">
      <c r="A5" s="11" t="s">
        <v>293</v>
      </c>
      <c r="F5" s="645" t="s">
        <v>426</v>
      </c>
      <c r="G5" s="646"/>
      <c r="H5" s="646"/>
      <c r="I5" s="647"/>
      <c r="J5" s="10"/>
    </row>
    <row r="6" ht="18" customHeight="1">
      <c r="A6" s="11" t="s">
        <v>364</v>
      </c>
      <c r="Q6" s="648"/>
      <c r="R6" s="648"/>
      <c r="S6" s="648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50" t="s">
        <v>428</v>
      </c>
      <c r="C11" s="651"/>
      <c r="D11" s="646" t="s">
        <v>429</v>
      </c>
      <c r="E11" s="647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8"/>
      <c r="R15" s="648"/>
      <c r="S15" s="648"/>
    </row>
    <row r="16" ht="18" customHeight="1">
      <c r="C16" s="641" t="s">
        <v>431</v>
      </c>
      <c r="D16" s="641"/>
      <c r="E16" s="641"/>
      <c r="F16" s="1" t="s">
        <v>432</v>
      </c>
    </row>
    <row r="17" ht="18" customHeight="1">
      <c r="A17" s="641" t="s">
        <v>297</v>
      </c>
      <c r="B17" s="641"/>
      <c r="C17" s="641"/>
    </row>
    <row r="18" ht="18" customHeight="1">
      <c r="A18" s="652" t="s">
        <v>433</v>
      </c>
      <c r="B18" s="653"/>
      <c r="C18" s="14">
        <f>'Format Φωτισμου (2)'!B9</f>
        <v>5</v>
      </c>
    </row>
    <row r="19" ht="18" customHeight="1">
      <c r="A19" s="652" t="s">
        <v>434</v>
      </c>
      <c r="B19" s="653"/>
      <c r="C19" s="14">
        <f>'Format Φωτισμου (2)'!B12</f>
        <v>35</v>
      </c>
    </row>
    <row r="20" ht="18" customHeight="1">
      <c r="A20" s="652" t="s">
        <v>435</v>
      </c>
      <c r="B20" s="653"/>
      <c r="C20" s="14">
        <f>C19/C18</f>
        <v>7</v>
      </c>
    </row>
    <row r="21" ht="18" customHeight="1">
      <c r="A21" s="654" t="s">
        <v>436</v>
      </c>
      <c r="B21" s="655"/>
      <c r="C21" s="656">
        <v>20</v>
      </c>
      <c r="D21" s="657"/>
      <c r="E21" s="650" t="s">
        <v>437</v>
      </c>
      <c r="F21" s="651"/>
      <c r="G21" s="651"/>
      <c r="H21" s="14">
        <f>C21/C18</f>
        <v>4</v>
      </c>
      <c r="J21" s="659"/>
      <c r="K21" s="659"/>
      <c r="L21" s="659"/>
      <c r="M21" s="659"/>
      <c r="N21" s="659"/>
      <c r="O21" s="659"/>
      <c r="P21" s="659"/>
      <c r="Q21" s="659"/>
      <c r="R21" s="659"/>
      <c r="S21" s="659"/>
    </row>
    <row r="22" ht="18" customHeight="1">
      <c r="A22" s="652" t="s">
        <v>438</v>
      </c>
      <c r="B22" s="653"/>
      <c r="C22" s="179">
        <v>50</v>
      </c>
      <c r="D22" s="184" t="s">
        <v>439</v>
      </c>
      <c r="J22" s="659"/>
      <c r="K22" s="659"/>
      <c r="L22" s="659"/>
      <c r="M22" s="659"/>
      <c r="N22" s="659"/>
      <c r="O22" s="659"/>
      <c r="P22" s="659"/>
      <c r="Q22" s="659"/>
      <c r="R22" s="659"/>
      <c r="S22" s="659"/>
    </row>
    <row r="23" ht="18" customHeight="1">
      <c r="J23" s="659"/>
      <c r="K23" s="659"/>
      <c r="L23" s="659"/>
      <c r="M23" s="659"/>
      <c r="N23" s="659"/>
      <c r="O23" s="659"/>
      <c r="P23" s="659"/>
      <c r="Q23" s="659"/>
      <c r="R23" s="659"/>
      <c r="S23" s="659"/>
    </row>
    <row r="24" ht="18" customHeight="1"/>
    <row r="25" ht="18" customHeight="1">
      <c r="A25" s="11" t="s">
        <v>440</v>
      </c>
      <c r="J25" s="658"/>
      <c r="K25" s="658"/>
      <c r="L25" s="658"/>
      <c r="M25" s="658"/>
      <c r="N25" s="658"/>
      <c r="O25" s="658"/>
      <c r="P25" s="658"/>
      <c r="Q25" s="658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8"/>
      <c r="K27" s="648"/>
      <c r="L27" s="648"/>
      <c r="M27" s="648"/>
      <c r="N27" s="648"/>
      <c r="O27" s="648"/>
      <c r="P27" s="648"/>
      <c r="Q27" s="648"/>
      <c r="R27" s="648"/>
      <c r="S27" s="648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60" t="s">
        <v>357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2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6" t="s">
        <v>360</v>
      </c>
      <c r="B3" s="676"/>
      <c r="C3" s="676"/>
      <c r="D3" s="678">
        <f>تسجيل1!B2</f>
        <v>0</v>
      </c>
      <c r="E3" s="678"/>
      <c r="F3" s="678"/>
      <c r="G3" s="678"/>
      <c r="H3" s="678"/>
      <c r="I3" s="678"/>
      <c r="J3" s="678"/>
      <c r="K3" s="678"/>
      <c r="L3" s="678"/>
      <c r="M3" s="663" t="s">
        <v>361</v>
      </c>
      <c r="N3" s="663"/>
      <c r="O3" s="89"/>
      <c r="P3" s="90"/>
      <c r="Q3" s="90"/>
      <c r="R3" s="90"/>
      <c r="Z3" s="151"/>
      <c r="AA3" s="60"/>
      <c r="AB3" s="60"/>
    </row>
    <row r="4" ht="13.5" customHeight="1">
      <c r="A4" s="677"/>
      <c r="B4" s="677"/>
      <c r="C4" s="677"/>
      <c r="D4" s="679"/>
      <c r="E4" s="679"/>
      <c r="F4" s="679"/>
      <c r="G4" s="678"/>
      <c r="H4" s="678"/>
      <c r="I4" s="679"/>
      <c r="J4" s="679"/>
      <c r="K4" s="679"/>
      <c r="L4" s="679"/>
      <c r="M4" s="664"/>
      <c r="N4" s="664"/>
      <c r="O4" s="91"/>
      <c r="P4" s="92"/>
      <c r="Q4" s="92"/>
      <c r="R4" s="92"/>
      <c r="Z4" s="151"/>
      <c r="AA4" s="60"/>
      <c r="AB4" s="60"/>
    </row>
    <row r="5" ht="13.5" customHeight="1">
      <c r="A5" s="665" t="e">
        <f>Y1</f>
        <v>#REF!</v>
      </c>
      <c r="B5" s="666"/>
      <c r="C5" s="667"/>
      <c r="D5" s="668" t="s">
        <v>359</v>
      </c>
      <c r="E5" s="669"/>
      <c r="F5" s="670"/>
      <c r="G5" s="63"/>
      <c r="H5" s="63"/>
      <c r="I5" s="665">
        <f>W1</f>
        <v>235000</v>
      </c>
      <c r="J5" s="666"/>
      <c r="K5" s="667"/>
      <c r="L5" s="668" t="s">
        <v>362</v>
      </c>
      <c r="M5" s="669"/>
      <c r="N5" s="670"/>
      <c r="O5" s="93"/>
      <c r="P5" s="92"/>
      <c r="Q5" s="92"/>
      <c r="R5" s="92"/>
      <c r="Z5" s="151"/>
      <c r="AA5" s="60"/>
      <c r="AB5" s="60"/>
    </row>
    <row r="6" ht="16.5" customHeight="1">
      <c r="A6" s="744" t="s">
        <v>255</v>
      </c>
      <c r="B6" s="745"/>
      <c r="C6" s="746"/>
      <c r="D6" s="738" t="s">
        <v>363</v>
      </c>
      <c r="E6" s="671" t="s">
        <v>364</v>
      </c>
      <c r="F6" s="672"/>
      <c r="G6" s="673"/>
      <c r="H6" s="673"/>
      <c r="I6" s="672"/>
      <c r="J6" s="674"/>
      <c r="K6" s="675">
        <f>تسجيل2!C7</f>
        <v>1200</v>
      </c>
      <c r="L6" s="675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4"/>
      <c r="B7" s="745"/>
      <c r="C7" s="746"/>
      <c r="D7" s="738"/>
      <c r="E7" s="680" t="s">
        <v>366</v>
      </c>
      <c r="F7" s="673"/>
      <c r="G7" s="673"/>
      <c r="H7" s="673"/>
      <c r="I7" s="673"/>
      <c r="J7" s="681"/>
      <c r="K7" s="682">
        <f>K6*N6/10000</f>
        <v>96</v>
      </c>
      <c r="L7" s="682"/>
      <c r="M7" s="682"/>
      <c r="N7" s="98" t="s">
        <v>367</v>
      </c>
      <c r="O7" s="99">
        <f>AA41/K7</f>
        <v>2110.4132453090647</v>
      </c>
      <c r="S7" s="60" t="s">
        <v>127</v>
      </c>
      <c r="T7" s="61" t="s">
        <v>368</v>
      </c>
      <c r="Z7" s="151"/>
      <c r="AA7" s="60"/>
      <c r="AB7" s="60"/>
    </row>
    <row r="8">
      <c r="A8" s="747"/>
      <c r="B8" s="748"/>
      <c r="C8" s="749"/>
      <c r="D8" s="739"/>
      <c r="E8" s="683" t="s">
        <v>369</v>
      </c>
      <c r="F8" s="684"/>
      <c r="G8" s="684"/>
      <c r="H8" s="684"/>
      <c r="I8" s="684"/>
      <c r="J8" s="685"/>
      <c r="K8" s="686">
        <f>K6-1</f>
        <v>1199</v>
      </c>
      <c r="L8" s="686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7" t="s">
        <v>371</v>
      </c>
      <c r="B10" s="687"/>
      <c r="C10" s="687"/>
      <c r="D10" s="687"/>
      <c r="E10" s="687"/>
      <c r="F10" s="687"/>
      <c r="G10" s="688" t="s">
        <v>372</v>
      </c>
      <c r="H10" s="688"/>
      <c r="I10" s="688" t="s">
        <v>373</v>
      </c>
      <c r="J10" s="688"/>
      <c r="K10" s="104"/>
      <c r="L10" s="689" t="s">
        <v>308</v>
      </c>
      <c r="M10" s="689"/>
      <c r="N10" s="68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224</v>
      </c>
      <c r="Z10" s="151"/>
      <c r="AA10" s="60"/>
      <c r="AB10" s="60"/>
    </row>
    <row r="11" ht="20.1" customHeight="1">
      <c r="A11" s="690" t="s">
        <v>379</v>
      </c>
      <c r="B11" s="691"/>
      <c r="C11" s="691"/>
      <c r="D11" s="691"/>
      <c r="E11" s="691"/>
      <c r="F11" s="692"/>
      <c r="G11" s="693">
        <f>L11</f>
        <v>4</v>
      </c>
      <c r="H11" s="693"/>
      <c r="I11" s="694">
        <f>'Format διαστασης οδηγου (2)'!F8</f>
        <v>765</v>
      </c>
      <c r="J11" s="694"/>
      <c r="K11" s="106"/>
      <c r="L11" s="689">
        <f>IF(Format!A7=1,تسجيل2!H27,IF(Format!A7=2,تسجيل2!H27,IF(Format!A7=3,تسجيل2!H27,IF(Format!A7=4,تسجيل2!H27,IF(Format!A7=5,تسجيل2!H27,"-------")))))</f>
        <v>4</v>
      </c>
      <c r="M11" s="689"/>
      <c r="N11" s="68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695" t="s">
        <v>380</v>
      </c>
      <c r="B12" s="695"/>
      <c r="C12" s="695"/>
      <c r="D12" s="695"/>
      <c r="E12" s="695"/>
      <c r="F12" s="695"/>
      <c r="G12" s="696">
        <f>IF(L11&gt;2,4,IF(L11=2,2))</f>
        <v>4</v>
      </c>
      <c r="H12" s="696"/>
      <c r="I12" s="69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695" t="s">
        <v>381</v>
      </c>
      <c r="B13" s="695"/>
      <c r="C13" s="695"/>
      <c r="D13" s="695"/>
      <c r="E13" s="695"/>
      <c r="F13" s="695"/>
      <c r="G13" s="696">
        <f>IF(L11&lt;=3,"0",(L11-3)*2)</f>
        <v>2</v>
      </c>
      <c r="H13" s="696"/>
      <c r="I13" s="697">
        <f>IF(G13="-------","-------",L17-5)</f>
        <v>392</v>
      </c>
      <c r="J13" s="697"/>
      <c r="K13" s="106"/>
      <c r="L13" s="698" t="s">
        <v>282</v>
      </c>
      <c r="M13" s="698"/>
      <c r="N13" s="69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695" t="s">
        <v>382</v>
      </c>
      <c r="B14" s="695"/>
      <c r="C14" s="695"/>
      <c r="D14" s="695"/>
      <c r="E14" s="695"/>
      <c r="F14" s="695"/>
      <c r="G14" s="696">
        <f>IF(L11&gt;2,2*L14,IF(L11=2,L14))</f>
        <v>24</v>
      </c>
      <c r="H14" s="696"/>
      <c r="I14" s="697">
        <f>I12</f>
        <v>398.5</v>
      </c>
      <c r="J14" s="697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695" t="s">
        <v>383</v>
      </c>
      <c r="B15" s="695"/>
      <c r="C15" s="695"/>
      <c r="D15" s="695"/>
      <c r="E15" s="695"/>
      <c r="F15" s="695"/>
      <c r="G15" s="696">
        <f>IF(L11&lt;=3,"0",(L11-3)*L14)</f>
        <v>12</v>
      </c>
      <c r="H15" s="696"/>
      <c r="I15" s="697">
        <f>IF(G15="-------","---------",I13)</f>
        <v>392</v>
      </c>
      <c r="J15" s="69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695" t="s">
        <v>384</v>
      </c>
      <c r="B16" s="695"/>
      <c r="C16" s="695"/>
      <c r="D16" s="695"/>
      <c r="E16" s="695"/>
      <c r="F16" s="695"/>
      <c r="G16" s="696">
        <v>1</v>
      </c>
      <c r="H16" s="696"/>
      <c r="I16" s="69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7"/>
      <c r="K16" s="106"/>
      <c r="L16" s="699" t="s">
        <v>385</v>
      </c>
      <c r="M16" s="699"/>
      <c r="N16" s="69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695" t="s">
        <v>386</v>
      </c>
      <c r="B17" s="695"/>
      <c r="C17" s="695"/>
      <c r="D17" s="695"/>
      <c r="E17" s="695"/>
      <c r="F17" s="695"/>
      <c r="G17" s="696">
        <f>IF(L11=2,"0",1)</f>
        <v>1</v>
      </c>
      <c r="H17" s="696"/>
      <c r="I17" s="697">
        <f>IF(G17="-------","-------",IF(Format!A7=1,(L17+3),IF(Format!A7=2,(L17+3.5),IF(Format!A7=3,(L17+3),IF(Format!A7=4,(L17+4.25),IF(Format!A7=5,(L17+5),"--------"))))))</f>
        <v>400.5</v>
      </c>
      <c r="J17" s="697"/>
      <c r="K17" s="106"/>
      <c r="L17" s="700">
        <f>IF(Format!A7=1,(K6-2-6)/(L11-1),IF(Format!A7=2,(K6-2-7)/(L11-1),IF(Format!A7=3,(K6-2-6)/(L11-1),IF(Format!A7=4,(K6-2-8.5)/(L11-1),IF(Format!A7=5,(K6-2-10)/(L11-1),"--------")))))</f>
        <v>397</v>
      </c>
      <c r="M17" s="700"/>
      <c r="N17" s="70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695" t="s">
        <v>387</v>
      </c>
      <c r="B18" s="695"/>
      <c r="C18" s="695"/>
      <c r="D18" s="695"/>
      <c r="E18" s="695"/>
      <c r="F18" s="695"/>
      <c r="G18" s="696">
        <f>IF(L11&lt;=3,"0",(L11-3))</f>
        <v>1</v>
      </c>
      <c r="H18" s="696"/>
      <c r="I18" s="697">
        <f>IF(G18="-------","-------",L17)</f>
        <v>397</v>
      </c>
      <c r="J18" s="69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695" t="str">
        <f>IF(Format!H4=1,"Balloon","-------")</f>
        <v>-------</v>
      </c>
      <c r="B19" s="695"/>
      <c r="C19" s="695"/>
      <c r="D19" s="695"/>
      <c r="E19" s="695"/>
      <c r="F19" s="695"/>
      <c r="G19" s="696" t="str">
        <f>IF([1]Format!H4=1,'[1]تقطيع البرجولة'!L14,"0")</f>
        <v>0</v>
      </c>
      <c r="H19" s="696"/>
      <c r="I19" s="697">
        <f>IF(G19="-------","-------",K6-2.5)</f>
        <v>1197.5</v>
      </c>
      <c r="J19" s="697"/>
      <c r="K19" s="106"/>
      <c r="L19" s="701" t="s">
        <v>311</v>
      </c>
      <c r="M19" s="702"/>
      <c r="N19" s="70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4" t="s">
        <v>388</v>
      </c>
      <c r="B20" s="705"/>
      <c r="C20" s="705"/>
      <c r="D20" s="705"/>
      <c r="E20" s="705"/>
      <c r="F20" s="706"/>
      <c r="G20" s="704">
        <f>(G12+G13)/2</f>
        <v>3</v>
      </c>
      <c r="H20" s="705"/>
      <c r="I20" s="697">
        <f>L17-7</f>
        <v>390</v>
      </c>
      <c r="J20" s="697"/>
      <c r="K20" s="106"/>
      <c r="L20" s="114" t="s">
        <v>372</v>
      </c>
      <c r="M20" s="707" t="s">
        <v>389</v>
      </c>
      <c r="N20" s="70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708" t="s">
        <v>390</v>
      </c>
      <c r="B21" s="708"/>
      <c r="C21" s="708"/>
      <c r="D21" s="708"/>
      <c r="E21" s="708"/>
      <c r="F21" s="708"/>
      <c r="G21" s="709">
        <f>L11</f>
        <v>4</v>
      </c>
      <c r="H21" s="709"/>
      <c r="I21" s="710">
        <f>(I11*2)+45</f>
        <v>1575</v>
      </c>
      <c r="J21" s="710"/>
      <c r="K21" s="106"/>
      <c r="L21" s="112">
        <f>IF(Format!E7=1,"-------",IF(Format!E7=5,"-------",تسجيل2!H30))</f>
        <v>4</v>
      </c>
      <c r="M21" s="699" t="str">
        <f>IF(L21="-------","-------",تسجيل2!D11)</f>
        <v>4Χ220- 1Χ250</v>
      </c>
      <c r="N21" s="699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11" t="s">
        <v>391</v>
      </c>
      <c r="B23" s="712"/>
      <c r="C23" s="712"/>
      <c r="D23" s="712"/>
      <c r="E23" s="713"/>
      <c r="F23" s="67" t="s">
        <v>392</v>
      </c>
      <c r="G23" s="68"/>
      <c r="H23" s="711" t="s">
        <v>393</v>
      </c>
      <c r="I23" s="712"/>
      <c r="J23" s="712"/>
      <c r="K23" s="712"/>
      <c r="L23" s="713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4" t="s">
        <v>398</v>
      </c>
      <c r="C24" s="714"/>
      <c r="D24" s="714"/>
      <c r="E24" s="714"/>
      <c r="F24" s="70">
        <f>L11</f>
        <v>4</v>
      </c>
      <c r="G24" s="71"/>
      <c r="H24" s="69">
        <v>16</v>
      </c>
      <c r="I24" s="714" t="s">
        <v>299</v>
      </c>
      <c r="J24" s="714"/>
      <c r="K24" s="714"/>
      <c r="L24" s="714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5" t="s">
        <v>399</v>
      </c>
      <c r="C25" s="715"/>
      <c r="D25" s="715"/>
      <c r="E25" s="715"/>
      <c r="F25" s="73">
        <f>L11</f>
        <v>4</v>
      </c>
      <c r="G25" s="71"/>
      <c r="H25" s="72">
        <v>17</v>
      </c>
      <c r="I25" s="715" t="s">
        <v>232</v>
      </c>
      <c r="J25" s="715"/>
      <c r="K25" s="715"/>
      <c r="L25" s="715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5" t="s">
        <v>400</v>
      </c>
      <c r="C26" s="715"/>
      <c r="D26" s="715"/>
      <c r="E26" s="715"/>
      <c r="F26" s="73">
        <f>M24</f>
        <v>2</v>
      </c>
      <c r="G26" s="71"/>
      <c r="H26" s="72">
        <v>18</v>
      </c>
      <c r="I26" s="715" t="s">
        <v>401</v>
      </c>
      <c r="J26" s="715"/>
      <c r="K26" s="715"/>
      <c r="L26" s="715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6" t="s">
        <v>402</v>
      </c>
      <c r="C27" s="717"/>
      <c r="D27" s="717"/>
      <c r="E27" s="718"/>
      <c r="F27" s="73">
        <v>4</v>
      </c>
      <c r="G27" s="71"/>
      <c r="H27" s="72">
        <v>19</v>
      </c>
      <c r="I27" s="715" t="s">
        <v>403</v>
      </c>
      <c r="J27" s="715"/>
      <c r="K27" s="715"/>
      <c r="L27" s="715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6" t="s">
        <v>404</v>
      </c>
      <c r="C28" s="717"/>
      <c r="D28" s="717"/>
      <c r="E28" s="718"/>
      <c r="F28" s="73">
        <f>L14</f>
        <v>12</v>
      </c>
      <c r="G28" s="71"/>
      <c r="H28" s="72">
        <v>20</v>
      </c>
      <c r="I28" s="715" t="s">
        <v>405</v>
      </c>
      <c r="J28" s="715"/>
      <c r="K28" s="715"/>
      <c r="L28" s="715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6" t="s">
        <v>406</v>
      </c>
      <c r="C29" s="717"/>
      <c r="D29" s="717"/>
      <c r="E29" s="718"/>
      <c r="F29" s="73">
        <f>L11*2</f>
        <v>8</v>
      </c>
      <c r="G29" s="71"/>
      <c r="H29" s="72">
        <v>21</v>
      </c>
      <c r="I29" s="715" t="s">
        <v>233</v>
      </c>
      <c r="J29" s="715"/>
      <c r="K29" s="715"/>
      <c r="L29" s="715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6" t="s">
        <v>407</v>
      </c>
      <c r="C30" s="717"/>
      <c r="D30" s="717"/>
      <c r="E30" s="718"/>
      <c r="F30" s="73">
        <f>L14*L11</f>
        <v>48</v>
      </c>
      <c r="G30" s="71"/>
      <c r="H30" s="72">
        <v>22</v>
      </c>
      <c r="I30" s="715" t="s">
        <v>234</v>
      </c>
      <c r="J30" s="715"/>
      <c r="K30" s="715"/>
      <c r="L30" s="715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6" t="s">
        <v>408</v>
      </c>
      <c r="C31" s="717"/>
      <c r="D31" s="717"/>
      <c r="E31" s="718"/>
      <c r="F31" s="73">
        <f>(L14+N14)*2</f>
        <v>28</v>
      </c>
      <c r="G31" s="71"/>
      <c r="H31" s="72">
        <v>23</v>
      </c>
      <c r="I31" s="715" t="s">
        <v>409</v>
      </c>
      <c r="J31" s="715"/>
      <c r="K31" s="715"/>
      <c r="L31" s="715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6" t="s">
        <v>410</v>
      </c>
      <c r="C32" s="717"/>
      <c r="D32" s="717"/>
      <c r="E32" s="718"/>
      <c r="F32" s="73">
        <f>(L14+N14)*2</f>
        <v>28</v>
      </c>
      <c r="G32" s="71"/>
      <c r="H32" s="72">
        <v>24</v>
      </c>
      <c r="I32" s="715" t="s">
        <v>411</v>
      </c>
      <c r="J32" s="715"/>
      <c r="K32" s="715"/>
      <c r="L32" s="715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6" t="s">
        <v>412</v>
      </c>
      <c r="C33" s="717"/>
      <c r="D33" s="717"/>
      <c r="E33" s="718"/>
      <c r="F33" s="73">
        <f>L11*3</f>
        <v>12</v>
      </c>
      <c r="G33" s="71"/>
      <c r="H33" s="72">
        <v>25</v>
      </c>
      <c r="I33" s="715" t="s">
        <v>413</v>
      </c>
      <c r="J33" s="715"/>
      <c r="K33" s="715"/>
      <c r="L33" s="715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6" t="s">
        <v>414</v>
      </c>
      <c r="C34" s="717"/>
      <c r="D34" s="717"/>
      <c r="E34" s="718"/>
      <c r="F34" s="73">
        <f>L11*3</f>
        <v>12</v>
      </c>
      <c r="G34" s="71"/>
      <c r="H34" s="72">
        <v>26</v>
      </c>
      <c r="I34" s="715" t="s">
        <v>235</v>
      </c>
      <c r="J34" s="715"/>
      <c r="K34" s="715"/>
      <c r="L34" s="715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6" t="s">
        <v>415</v>
      </c>
      <c r="C35" s="717"/>
      <c r="D35" s="717"/>
      <c r="E35" s="718"/>
      <c r="F35" s="73">
        <f>IF(L11&gt;2,(L11-2)*2,"0")</f>
        <v>4</v>
      </c>
      <c r="G35" s="74"/>
      <c r="H35" s="72">
        <v>27</v>
      </c>
      <c r="I35" s="715" t="s">
        <v>236</v>
      </c>
      <c r="J35" s="715"/>
      <c r="K35" s="715"/>
      <c r="L35" s="715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6" t="s">
        <v>416</v>
      </c>
      <c r="C36" s="717"/>
      <c r="D36" s="717"/>
      <c r="E36" s="718"/>
      <c r="F36" s="73">
        <f>IF(L11&gt;2,(L11-2)*L14,"0")</f>
        <v>24</v>
      </c>
      <c r="G36" s="74"/>
      <c r="H36" s="72">
        <v>28</v>
      </c>
      <c r="I36" s="715" t="s">
        <v>417</v>
      </c>
      <c r="J36" s="715"/>
      <c r="K36" s="715"/>
      <c r="L36" s="715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6" t="s">
        <v>418</v>
      </c>
      <c r="C37" s="717"/>
      <c r="D37" s="717"/>
      <c r="E37" s="718"/>
      <c r="F37" s="73">
        <f>M24</f>
        <v>2</v>
      </c>
      <c r="G37" s="74"/>
      <c r="H37" s="72">
        <v>29</v>
      </c>
      <c r="I37" s="715" t="s">
        <v>419</v>
      </c>
      <c r="J37" s="715"/>
      <c r="K37" s="715"/>
      <c r="L37" s="715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5" t="s">
        <v>237</v>
      </c>
      <c r="C38" s="715"/>
      <c r="D38" s="715"/>
      <c r="E38" s="715"/>
      <c r="F38" s="73">
        <f>تسجيل1!C21</f>
        <v>20</v>
      </c>
      <c r="G38" s="74"/>
      <c r="H38" s="72">
        <v>30</v>
      </c>
      <c r="I38" s="715" t="s">
        <v>420</v>
      </c>
      <c r="J38" s="715"/>
      <c r="K38" s="715"/>
      <c r="L38" s="715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75907.1</v>
      </c>
      <c r="AB39" s="740"/>
    </row>
    <row r="40" ht="20.45" customHeight="1" s="58" customFormat="1">
      <c r="A40" s="750" t="s">
        <v>421</v>
      </c>
      <c r="B40" s="751"/>
      <c r="C40" s="75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2" t="s">
        <v>292</v>
      </c>
      <c r="M41" s="753"/>
      <c r="N41" s="75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5">
        <f>AA39+X22+U8</f>
        <v>202599.6715496702</v>
      </c>
      <c r="AB41" s="755"/>
    </row>
    <row r="42" ht="13.9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293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3">
        <f>N8</f>
        <v>772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6" t="s">
        <v>300</v>
      </c>
      <c r="K1" s="757"/>
      <c r="L1" s="757"/>
      <c r="M1" s="758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9" t="s">
        <v>339</v>
      </c>
      <c r="D17" s="760"/>
      <c r="E17" s="760"/>
      <c r="F17" s="761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2" t="s">
        <v>342</v>
      </c>
      <c r="B29" s="763"/>
      <c r="C29" s="763"/>
      <c r="D29" s="763"/>
      <c r="E29" s="763"/>
      <c r="F29" s="763"/>
      <c r="G29" s="763"/>
      <c r="H29" s="764"/>
      <c r="I29" s="762" t="s">
        <v>343</v>
      </c>
      <c r="J29" s="763"/>
      <c r="K29" s="763"/>
      <c r="L29" s="763"/>
      <c r="M29" s="763"/>
      <c r="N29" s="763"/>
      <c r="O29" s="763"/>
      <c r="P29" s="764"/>
      <c r="Q29" s="762" t="s">
        <v>344</v>
      </c>
      <c r="R29" s="763"/>
      <c r="S29" s="763"/>
      <c r="T29" s="763"/>
      <c r="U29" s="763"/>
      <c r="V29" s="763"/>
      <c r="W29" s="763"/>
      <c r="X29" s="76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5" t="s">
        <v>345</v>
      </c>
      <c r="B31" s="766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5" t="s">
        <v>345</v>
      </c>
      <c r="J31" s="766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7" t="s">
        <v>345</v>
      </c>
      <c r="R31" s="768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9" t="s">
        <v>346</v>
      </c>
      <c r="B32" s="770"/>
      <c r="C32" s="770"/>
      <c r="D32" s="34"/>
      <c r="E32" s="34"/>
      <c r="F32" s="38"/>
      <c r="G32" s="34"/>
      <c r="H32" s="35"/>
      <c r="I32" s="769" t="s">
        <v>348</v>
      </c>
      <c r="J32" s="770"/>
      <c r="K32" s="770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1" t="s">
        <v>289</v>
      </c>
      <c r="D10" s="651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1" t="s">
        <v>289</v>
      </c>
      <c r="D11" s="651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6" t="s">
        <v>300</v>
      </c>
      <c r="K1" s="757"/>
      <c r="L1" s="757"/>
      <c r="M1" s="758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9" t="s">
        <v>339</v>
      </c>
      <c r="D17" s="760"/>
      <c r="E17" s="760"/>
      <c r="F17" s="761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2" t="s">
        <v>342</v>
      </c>
      <c r="B29" s="763"/>
      <c r="C29" s="763"/>
      <c r="D29" s="763"/>
      <c r="E29" s="763"/>
      <c r="F29" s="763"/>
      <c r="G29" s="763"/>
      <c r="H29" s="764"/>
      <c r="I29" s="762" t="s">
        <v>343</v>
      </c>
      <c r="J29" s="763"/>
      <c r="K29" s="763"/>
      <c r="L29" s="763"/>
      <c r="M29" s="763"/>
      <c r="N29" s="763"/>
      <c r="O29" s="763"/>
      <c r="P29" s="764"/>
      <c r="Q29" s="762" t="s">
        <v>344</v>
      </c>
      <c r="R29" s="763"/>
      <c r="S29" s="763"/>
      <c r="T29" s="763"/>
      <c r="U29" s="763"/>
      <c r="V29" s="763"/>
      <c r="W29" s="763"/>
      <c r="X29" s="76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5" t="s">
        <v>345</v>
      </c>
      <c r="B31" s="766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5" t="s">
        <v>345</v>
      </c>
      <c r="J31" s="766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7" t="s">
        <v>345</v>
      </c>
      <c r="R31" s="768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9" t="s">
        <v>346</v>
      </c>
      <c r="B32" s="770"/>
      <c r="C32" s="770"/>
      <c r="D32" s="34"/>
      <c r="E32" s="34"/>
      <c r="F32" s="38"/>
      <c r="G32" s="34"/>
      <c r="H32" s="35"/>
      <c r="I32" s="769" t="s">
        <v>348</v>
      </c>
      <c r="J32" s="770"/>
      <c r="K32" s="770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3"/>
      <c r="B3" s="774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9"/>
      <c r="B12" s="780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5"/>
      <c r="B21" s="786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1" t="s">
        <v>289</v>
      </c>
      <c r="D10" s="651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1" t="s">
        <v>289</v>
      </c>
      <c r="D11" s="651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X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5"/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59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4"/>
      <c r="BG1" s="574"/>
      <c r="BH1" s="574"/>
      <c r="BI1" s="574"/>
      <c r="BJ1" s="574"/>
      <c r="BK1" s="574"/>
      <c r="BL1" s="574"/>
      <c r="BM1" s="574"/>
      <c r="BN1" s="574"/>
    </row>
    <row r="2" ht="45" customHeight="1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593"/>
      <c r="S2" s="418" t="s">
        <v>163</v>
      </c>
      <c r="T2" s="419">
        <f>IF((V14="ok"),Royal!G80,"R")</f>
        <v>268581.53969646036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4" t="s">
        <v>163</v>
      </c>
      <c r="AG2" s="573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73"/>
      <c r="AI2" s="422"/>
      <c r="AJ2" s="422"/>
      <c r="AK2" s="422"/>
      <c r="AR2" s="414"/>
      <c r="AS2" s="472" t="s">
        <v>163</v>
      </c>
      <c r="AT2" s="473" t="str">
        <f>IF((AV14="OK"),wavy1!R72,"R")</f>
        <v>R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98839.6230877193</v>
      </c>
      <c r="BF2" s="574"/>
      <c r="BG2" s="574"/>
      <c r="BH2" s="574"/>
      <c r="BI2" s="574"/>
      <c r="BJ2" s="574"/>
      <c r="BK2" s="574"/>
      <c r="BL2" s="574"/>
      <c r="BM2" s="574"/>
      <c r="BN2" s="574"/>
    </row>
    <row r="3" ht="54.75" customHeight="1">
      <c r="A3" s="605"/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593"/>
      <c r="S3" s="528" t="s">
        <v>127</v>
      </c>
      <c r="T3" s="421">
        <f>T2/(AA10*X8)*10000</f>
        <v>6714.53849241151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4"/>
      <c r="AG3" s="573"/>
      <c r="AH3" s="573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 t="e">
        <f>AT2/(AV10*BA12)*10000</f>
        <v>#VALUE!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2823.9892310776941</v>
      </c>
      <c r="BF3" s="574"/>
      <c r="BG3" s="574"/>
      <c r="BH3" s="574"/>
      <c r="BI3" s="574"/>
      <c r="BJ3" s="574"/>
      <c r="BK3" s="574"/>
      <c r="BL3" s="574"/>
      <c r="BM3" s="574"/>
      <c r="BN3" s="574"/>
    </row>
    <row r="4" ht="55.5" customHeight="1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59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4"/>
      <c r="AG4" s="573"/>
      <c r="AH4" s="573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38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5"/>
      <c r="BG4" s="576"/>
      <c r="BH4" s="576"/>
      <c r="BI4" s="576"/>
      <c r="BJ4" s="576"/>
      <c r="BK4" s="576"/>
      <c r="BL4" s="576"/>
      <c r="BM4" s="576"/>
      <c r="BN4" s="572"/>
    </row>
    <row r="5" ht="55.5" customHeight="1">
      <c r="A5" s="605"/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59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168</v>
      </c>
      <c r="BF5" s="575"/>
      <c r="BG5" s="576"/>
      <c r="BH5" s="576"/>
      <c r="BI5" s="576"/>
      <c r="BJ5" s="576"/>
      <c r="BK5" s="576"/>
      <c r="BL5" s="576"/>
      <c r="BM5" s="576"/>
      <c r="BN5" s="572"/>
    </row>
    <row r="6" ht="55.5" customHeight="1">
      <c r="A6" s="605"/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593"/>
      <c r="S6" s="530" t="s">
        <v>169</v>
      </c>
      <c r="T6" s="531" t="s">
        <v>170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171</v>
      </c>
      <c r="AJ6" s="466" t="s">
        <v>172</v>
      </c>
      <c r="AK6" s="467" t="s">
        <v>173</v>
      </c>
      <c r="AL6" s="466" t="s">
        <v>174</v>
      </c>
      <c r="AM6" s="466" t="s">
        <v>175</v>
      </c>
      <c r="AN6" s="468" t="s">
        <v>176</v>
      </c>
      <c r="AO6" s="579" t="s">
        <v>177</v>
      </c>
      <c r="AP6" s="580"/>
      <c r="AQ6" s="415"/>
      <c r="AR6" s="414"/>
      <c r="AS6" s="428" t="s">
        <v>169</v>
      </c>
      <c r="AT6" s="429" t="s">
        <v>170</v>
      </c>
      <c r="AU6" s="475"/>
      <c r="AV6" s="475"/>
      <c r="AW6" s="475"/>
      <c r="AX6" s="475"/>
      <c r="AY6" s="475"/>
      <c r="AZ6" s="475"/>
      <c r="BA6" s="475"/>
      <c r="BB6" s="475"/>
      <c r="BD6" s="490" t="s">
        <v>169</v>
      </c>
      <c r="BE6" s="495" t="s">
        <v>178</v>
      </c>
      <c r="BF6" s="475"/>
      <c r="BG6" s="475"/>
      <c r="BH6" s="475"/>
      <c r="BI6" s="475"/>
      <c r="BJ6" s="475"/>
      <c r="BK6" s="475"/>
      <c r="BL6" s="475"/>
      <c r="BM6" s="475"/>
      <c r="BN6" s="572"/>
    </row>
    <row r="7" ht="18.75" customHeight="1">
      <c r="A7" s="605"/>
      <c r="B7" s="605"/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59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2"/>
    </row>
    <row r="8" ht="55.5" customHeight="1">
      <c r="A8" s="415"/>
      <c r="B8" s="613" t="s">
        <v>179</v>
      </c>
      <c r="C8" s="613"/>
      <c r="D8" s="613"/>
      <c r="E8" s="415"/>
      <c r="F8" s="615"/>
      <c r="G8" s="615"/>
      <c r="H8" s="615"/>
      <c r="I8" s="605"/>
      <c r="J8" s="612"/>
      <c r="K8" s="612"/>
      <c r="L8" s="612"/>
      <c r="M8" s="605"/>
      <c r="N8" s="614"/>
      <c r="O8" s="614"/>
      <c r="P8" s="614"/>
      <c r="Q8" s="415"/>
      <c r="R8" s="593"/>
      <c r="S8" s="617"/>
      <c r="T8" s="617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180</v>
      </c>
      <c r="AJ8" s="470" t="s">
        <v>181</v>
      </c>
      <c r="AK8" s="470">
        <v>3</v>
      </c>
      <c r="AL8" s="470" t="s">
        <v>170</v>
      </c>
      <c r="AM8" s="470" t="s">
        <v>182</v>
      </c>
      <c r="AN8" s="471" t="s">
        <v>183</v>
      </c>
      <c r="AO8" s="581"/>
      <c r="AP8" s="58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2"/>
    </row>
    <row r="9" ht="55.5" customHeight="1">
      <c r="A9" s="415"/>
      <c r="B9" s="613"/>
      <c r="C9" s="613"/>
      <c r="D9" s="613"/>
      <c r="E9" s="415"/>
      <c r="F9" s="615"/>
      <c r="G9" s="615"/>
      <c r="H9" s="615"/>
      <c r="I9" s="605"/>
      <c r="J9" s="612"/>
      <c r="K9" s="612"/>
      <c r="L9" s="612"/>
      <c r="M9" s="605"/>
      <c r="N9" s="614"/>
      <c r="O9" s="614"/>
      <c r="P9" s="614"/>
      <c r="Q9" s="415"/>
      <c r="R9" s="593"/>
      <c r="S9" s="618"/>
      <c r="T9" s="618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184</v>
      </c>
      <c r="AT9" s="424" t="s">
        <v>185</v>
      </c>
      <c r="AU9" s="475"/>
      <c r="AV9" s="475"/>
      <c r="AW9" s="475"/>
      <c r="AX9" s="475"/>
      <c r="AY9" s="475"/>
      <c r="AZ9" s="475"/>
      <c r="BA9" s="475"/>
      <c r="BB9" s="475"/>
      <c r="BD9" s="423" t="s">
        <v>184</v>
      </c>
      <c r="BE9" s="424" t="s">
        <v>186</v>
      </c>
      <c r="BF9" s="475"/>
      <c r="BG9" s="475"/>
      <c r="BH9" s="475"/>
      <c r="BI9" s="475"/>
      <c r="BJ9" s="475"/>
      <c r="BK9" s="475"/>
      <c r="BL9" s="475"/>
      <c r="BM9" s="475"/>
      <c r="BN9" s="572"/>
    </row>
    <row r="10" ht="55.5" customHeight="1">
      <c r="A10" s="415"/>
      <c r="B10" s="613"/>
      <c r="C10" s="613"/>
      <c r="D10" s="613"/>
      <c r="E10" s="415"/>
      <c r="F10" s="615"/>
      <c r="G10" s="615"/>
      <c r="H10" s="615"/>
      <c r="I10" s="605"/>
      <c r="J10" s="612"/>
      <c r="K10" s="612"/>
      <c r="L10" s="612"/>
      <c r="M10" s="605"/>
      <c r="N10" s="614"/>
      <c r="O10" s="614"/>
      <c r="P10" s="614"/>
      <c r="Q10" s="415"/>
      <c r="R10" s="593"/>
      <c r="S10" s="529" t="s">
        <v>187</v>
      </c>
      <c r="T10" s="424" t="s">
        <v>188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9" t="s">
        <v>189</v>
      </c>
      <c r="AF10" s="619"/>
      <c r="AG10" s="619"/>
      <c r="AH10" s="619"/>
      <c r="AI10" s="619"/>
      <c r="AJ10" s="619"/>
      <c r="AK10" s="619"/>
      <c r="AL10" s="619"/>
      <c r="AM10" s="619"/>
      <c r="AN10" s="619"/>
      <c r="AO10" s="619"/>
      <c r="AP10" s="619"/>
      <c r="AQ10" s="619"/>
      <c r="AR10" s="414"/>
      <c r="AS10" s="423" t="s">
        <v>187</v>
      </c>
      <c r="AT10" s="424" t="s">
        <v>188</v>
      </c>
      <c r="AU10" s="475"/>
      <c r="AV10" s="477">
        <v>600</v>
      </c>
      <c r="AW10" s="478"/>
      <c r="AX10" s="478"/>
      <c r="AY10" s="478"/>
      <c r="AZ10" s="478"/>
      <c r="BA10" s="475"/>
      <c r="BB10" s="475"/>
      <c r="BD10" s="423" t="s">
        <v>187</v>
      </c>
      <c r="BE10" s="424" t="s">
        <v>188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9"/>
      <c r="AF11" s="619"/>
      <c r="AG11" s="619"/>
      <c r="AH11" s="619"/>
      <c r="AI11" s="619"/>
      <c r="AJ11" s="619"/>
      <c r="AK11" s="619"/>
      <c r="AL11" s="619"/>
      <c r="AM11" s="619"/>
      <c r="AN11" s="619"/>
      <c r="AO11" s="619"/>
      <c r="AP11" s="619"/>
      <c r="AQ11" s="619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2"/>
    </row>
    <row r="12" ht="55.5" customHeight="1" s="413" customFormat="1">
      <c r="A12" s="415"/>
      <c r="B12" s="612"/>
      <c r="C12" s="612"/>
      <c r="D12" s="612"/>
      <c r="E12" s="415"/>
      <c r="F12" s="620"/>
      <c r="G12" s="620"/>
      <c r="H12" s="620"/>
      <c r="I12" s="605"/>
      <c r="J12" s="612"/>
      <c r="K12" s="612"/>
      <c r="L12" s="612"/>
      <c r="M12" s="605"/>
      <c r="N12" s="606"/>
      <c r="O12" s="606"/>
      <c r="P12" s="606"/>
      <c r="Q12" s="415"/>
      <c r="R12" s="593"/>
      <c r="S12" s="530" t="s">
        <v>190</v>
      </c>
      <c r="T12" s="533"/>
      <c r="AC12" s="415"/>
      <c r="AD12" s="414"/>
      <c r="AE12" s="619"/>
      <c r="AF12" s="619"/>
      <c r="AG12" s="619"/>
      <c r="AH12" s="619"/>
      <c r="AI12" s="619"/>
      <c r="AJ12" s="619"/>
      <c r="AK12" s="619"/>
      <c r="AL12" s="619"/>
      <c r="AM12" s="619"/>
      <c r="AN12" s="619"/>
      <c r="AO12" s="619"/>
      <c r="AP12" s="619"/>
      <c r="AQ12" s="619"/>
      <c r="AR12" s="414"/>
      <c r="AS12" s="438" t="s">
        <v>190</v>
      </c>
      <c r="AT12" s="439"/>
      <c r="AU12" s="475"/>
      <c r="AV12" s="475"/>
      <c r="AW12" s="475"/>
      <c r="AX12" s="475"/>
      <c r="AY12" s="475"/>
      <c r="AZ12" s="475"/>
      <c r="BA12" s="477">
        <v>400</v>
      </c>
      <c r="BB12" s="475"/>
      <c r="BC12" s="414"/>
      <c r="BD12" s="492" t="s">
        <v>190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2"/>
    </row>
    <row r="13" ht="55.5" customHeight="1" s="413" customFormat="1">
      <c r="A13" s="415"/>
      <c r="B13" s="612"/>
      <c r="C13" s="612"/>
      <c r="D13" s="612"/>
      <c r="E13" s="415"/>
      <c r="F13" s="620"/>
      <c r="G13" s="620"/>
      <c r="H13" s="620"/>
      <c r="I13" s="605"/>
      <c r="J13" s="612"/>
      <c r="K13" s="612"/>
      <c r="L13" s="612"/>
      <c r="M13" s="605"/>
      <c r="N13" s="606"/>
      <c r="O13" s="606"/>
      <c r="P13" s="606"/>
      <c r="Q13" s="415"/>
      <c r="R13" s="593"/>
      <c r="S13" s="535" t="s">
        <v>191</v>
      </c>
      <c r="T13" s="496"/>
      <c r="AC13" s="415"/>
      <c r="AD13" s="414"/>
      <c r="AE13" s="619"/>
      <c r="AF13" s="619"/>
      <c r="AG13" s="619"/>
      <c r="AH13" s="619"/>
      <c r="AI13" s="619"/>
      <c r="AJ13" s="619"/>
      <c r="AK13" s="619"/>
      <c r="AL13" s="619"/>
      <c r="AM13" s="619"/>
      <c r="AN13" s="619"/>
      <c r="AO13" s="619"/>
      <c r="AP13" s="619"/>
      <c r="AQ13" s="619"/>
      <c r="AR13" s="414"/>
      <c r="AS13" s="438" t="s">
        <v>191</v>
      </c>
      <c r="AT13" s="438"/>
      <c r="AU13" s="475"/>
      <c r="AV13" s="475"/>
      <c r="AW13" s="475"/>
      <c r="AX13" s="475"/>
      <c r="AY13" s="475"/>
      <c r="AZ13" s="475"/>
      <c r="BA13" s="475" t="s">
        <v>192</v>
      </c>
      <c r="BB13" s="475"/>
      <c r="BC13" s="414"/>
      <c r="BD13" s="492" t="s">
        <v>191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2"/>
    </row>
    <row r="14" ht="55.5" customHeight="1" s="413" customFormat="1">
      <c r="A14" s="415"/>
      <c r="B14" s="612"/>
      <c r="C14" s="612"/>
      <c r="D14" s="612"/>
      <c r="E14" s="415"/>
      <c r="F14" s="620"/>
      <c r="G14" s="620"/>
      <c r="H14" s="620"/>
      <c r="I14" s="605"/>
      <c r="J14" s="612"/>
      <c r="K14" s="612"/>
      <c r="L14" s="612"/>
      <c r="M14" s="605"/>
      <c r="N14" s="606"/>
      <c r="O14" s="606"/>
      <c r="P14" s="606"/>
      <c r="Q14" s="415"/>
      <c r="R14" s="593"/>
      <c r="S14" s="536" t="s">
        <v>193</v>
      </c>
      <c r="T14" s="534"/>
      <c r="U14" s="497" t="s">
        <v>194</v>
      </c>
      <c r="V14" s="577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8"/>
      <c r="X14" s="578"/>
      <c r="Y14" s="578"/>
      <c r="Z14" s="578"/>
      <c r="AA14" s="578"/>
      <c r="AB14" s="578"/>
      <c r="AC14" s="578"/>
      <c r="AD14" s="414"/>
      <c r="AE14" s="619"/>
      <c r="AF14" s="619"/>
      <c r="AG14" s="619"/>
      <c r="AH14" s="619"/>
      <c r="AI14" s="619"/>
      <c r="AJ14" s="619"/>
      <c r="AK14" s="619"/>
      <c r="AL14" s="619"/>
      <c r="AM14" s="619"/>
      <c r="AN14" s="619"/>
      <c r="AO14" s="619"/>
      <c r="AP14" s="619"/>
      <c r="AQ14" s="619"/>
      <c r="AR14" s="414"/>
      <c r="AS14" s="438" t="s">
        <v>193</v>
      </c>
      <c r="AT14" s="438"/>
      <c r="AU14" s="434" t="s">
        <v>195</v>
      </c>
      <c r="AV14" s="577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برجاء مراجعة عرض البرجولة علما بأن اقصي عرض هو 500</v>
      </c>
      <c r="AW14" s="578"/>
      <c r="AX14" s="578"/>
      <c r="AY14" s="578"/>
      <c r="AZ14" s="578"/>
      <c r="BA14" s="578"/>
      <c r="BB14" s="578"/>
      <c r="BC14" s="414"/>
      <c r="BD14" s="492" t="s">
        <v>193</v>
      </c>
      <c r="BE14" s="492"/>
      <c r="BF14" s="497" t="s">
        <v>195</v>
      </c>
      <c r="BG14" s="577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8"/>
      <c r="BI14" s="578"/>
      <c r="BJ14" s="578"/>
      <c r="BK14" s="578"/>
      <c r="BL14" s="578"/>
      <c r="BM14" s="578"/>
      <c r="BN14" s="541"/>
    </row>
    <row r="15" ht="18.75" customHeight="1" s="413" customFormat="1">
      <c r="A15" s="415"/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5"/>
      <c r="M15" s="605"/>
      <c r="N15" s="605"/>
      <c r="O15" s="605"/>
      <c r="P15" s="605"/>
      <c r="Q15" s="415"/>
      <c r="R15" s="59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9"/>
      <c r="AF15" s="619"/>
      <c r="AG15" s="619"/>
      <c r="AH15" s="619"/>
      <c r="AI15" s="619"/>
      <c r="AJ15" s="619"/>
      <c r="AK15" s="619"/>
      <c r="AL15" s="619"/>
      <c r="AM15" s="619"/>
      <c r="AN15" s="619"/>
      <c r="AO15" s="619"/>
      <c r="AP15" s="619"/>
      <c r="AQ15" s="619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5"/>
      <c r="B16" s="605"/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59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9"/>
      <c r="AF16" s="619"/>
      <c r="AG16" s="619"/>
      <c r="AH16" s="619"/>
      <c r="AI16" s="619"/>
      <c r="AJ16" s="619"/>
      <c r="AK16" s="619"/>
      <c r="AL16" s="619"/>
      <c r="AM16" s="619"/>
      <c r="AN16" s="619"/>
      <c r="AO16" s="619"/>
      <c r="AP16" s="619"/>
      <c r="AQ16" s="619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5"/>
      <c r="B17" s="605"/>
      <c r="C17" s="605"/>
      <c r="D17" s="605"/>
      <c r="E17" s="605"/>
      <c r="F17" s="605"/>
      <c r="G17" s="605"/>
      <c r="H17" s="605"/>
      <c r="I17" s="605"/>
      <c r="J17" s="605"/>
      <c r="K17" s="605"/>
      <c r="L17" s="605"/>
      <c r="M17" s="605"/>
      <c r="N17" s="605"/>
      <c r="O17" s="605"/>
      <c r="P17" s="605"/>
      <c r="Q17" s="605"/>
      <c r="R17" s="59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5"/>
      <c r="B18" s="605"/>
      <c r="C18" s="605"/>
      <c r="D18" s="605"/>
      <c r="E18" s="605"/>
      <c r="F18" s="605"/>
      <c r="G18" s="605"/>
      <c r="H18" s="605"/>
      <c r="I18" s="605"/>
      <c r="J18" s="605"/>
      <c r="K18" s="605"/>
      <c r="L18" s="605"/>
      <c r="M18" s="605"/>
      <c r="N18" s="605"/>
      <c r="O18" s="605"/>
      <c r="P18" s="605"/>
      <c r="Q18" s="605"/>
      <c r="R18" s="59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5"/>
      <c r="B19" s="605"/>
      <c r="C19" s="605"/>
      <c r="D19" s="605"/>
      <c r="E19" s="605"/>
      <c r="F19" s="605"/>
      <c r="G19" s="605"/>
      <c r="H19" s="605"/>
      <c r="I19" s="605"/>
      <c r="J19" s="605"/>
      <c r="K19" s="605"/>
      <c r="L19" s="605"/>
      <c r="M19" s="605"/>
      <c r="N19" s="605"/>
      <c r="O19" s="605"/>
      <c r="P19" s="605"/>
      <c r="Q19" s="605"/>
      <c r="R19" s="59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5"/>
      <c r="B20" s="605"/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59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4" t="s">
        <v>196</v>
      </c>
      <c r="B21" s="604"/>
      <c r="C21" s="604"/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4"/>
      <c r="R21" s="593"/>
      <c r="S21" s="591" t="s">
        <v>197</v>
      </c>
      <c r="T21" s="592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198</v>
      </c>
      <c r="AT21" s="416"/>
      <c r="AU21" s="479"/>
      <c r="AW21" s="485"/>
      <c r="BC21" s="414"/>
      <c r="BD21" s="416" t="s">
        <v>199</v>
      </c>
      <c r="BE21" s="416"/>
      <c r="BF21" s="479"/>
      <c r="BH21" s="485"/>
      <c r="BN21" s="415"/>
    </row>
    <row r="22" ht="39.75" customHeight="1" s="413" customFormat="1">
      <c r="A22" s="604"/>
      <c r="B22" s="604"/>
      <c r="C22" s="604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4"/>
      <c r="P22" s="604"/>
      <c r="Q22" s="604"/>
      <c r="R22" s="593"/>
      <c r="S22" s="442" t="s">
        <v>163</v>
      </c>
      <c r="T22" s="443">
        <f>Royal2!G85</f>
        <v>493955.65531602845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1" t="s">
        <v>163</v>
      </c>
      <c r="AF22" s="611"/>
      <c r="AG22" s="573">
        <f>'شماسي و كانتليفر'!AE12</f>
        <v>25220.325</v>
      </c>
      <c r="AH22" s="573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283568.25</v>
      </c>
      <c r="AU22" s="480"/>
      <c r="BC22" s="414"/>
      <c r="BD22" s="472" t="s">
        <v>163</v>
      </c>
      <c r="BE22" s="473">
        <f>'بيرسا و لوفرز'!R140</f>
        <v>322436.25</v>
      </c>
      <c r="BF22" s="480"/>
      <c r="BN22" s="415"/>
    </row>
    <row r="23" ht="39.75" customHeight="1" s="413" customFormat="1">
      <c r="A23" s="604"/>
      <c r="B23" s="604"/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604"/>
      <c r="P23" s="604"/>
      <c r="Q23" s="604"/>
      <c r="R23" s="593"/>
      <c r="S23" s="444" t="s">
        <v>127</v>
      </c>
      <c r="T23" s="443">
        <f>T22/(AA33*X31)*10000</f>
        <v>5145.3714095419637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1"/>
      <c r="AF23" s="611"/>
      <c r="AG23" s="573"/>
      <c r="AH23" s="573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14178.4125</v>
      </c>
      <c r="AU23" s="480"/>
      <c r="AV23" s="481"/>
      <c r="BC23" s="414"/>
      <c r="BD23" s="472" t="s">
        <v>127</v>
      </c>
      <c r="BE23" s="474">
        <f>BE22/(BE33*BE34/10000)</f>
        <v>16121.8125</v>
      </c>
      <c r="BF23" s="480"/>
      <c r="BG23" s="481"/>
      <c r="BN23" s="415"/>
    </row>
    <row r="24" ht="39.75" customHeight="1" s="413" customFormat="1">
      <c r="A24" s="604"/>
      <c r="B24" s="604"/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59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16</v>
      </c>
      <c r="BN24" s="415"/>
    </row>
    <row r="25" ht="39.75" customHeight="1">
      <c r="A25" s="604"/>
      <c r="B25" s="604"/>
      <c r="C25" s="604"/>
      <c r="D25" s="604"/>
      <c r="E25" s="604"/>
      <c r="F25" s="604"/>
      <c r="G25" s="604"/>
      <c r="H25" s="604"/>
      <c r="I25" s="604"/>
      <c r="J25" s="604"/>
      <c r="K25" s="604"/>
      <c r="L25" s="604"/>
      <c r="M25" s="604"/>
      <c r="N25" s="604"/>
      <c r="O25" s="604"/>
      <c r="P25" s="604"/>
      <c r="Q25" s="604"/>
      <c r="R25" s="593"/>
      <c r="S25" s="445" t="s">
        <v>165</v>
      </c>
      <c r="T25" s="446" t="s">
        <v>168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168</v>
      </c>
      <c r="BH25" s="493">
        <f>BE34</f>
        <v>500</v>
      </c>
      <c r="BN25" s="415"/>
    </row>
    <row r="26" ht="39.75" customHeight="1">
      <c r="A26" s="604"/>
      <c r="B26" s="604"/>
      <c r="C26" s="604"/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593"/>
      <c r="S26" s="440" t="s">
        <v>169</v>
      </c>
      <c r="T26" s="447" t="s">
        <v>170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5" t="s">
        <v>171</v>
      </c>
      <c r="AH26" s="599" t="s">
        <v>200</v>
      </c>
      <c r="AI26" s="595" t="s">
        <v>174</v>
      </c>
      <c r="AJ26" s="595" t="s">
        <v>175</v>
      </c>
      <c r="AK26" s="595" t="s">
        <v>176</v>
      </c>
      <c r="AL26" s="609" t="s">
        <v>177</v>
      </c>
      <c r="AM26" s="609"/>
      <c r="AN26" s="415"/>
      <c r="AO26" s="415"/>
      <c r="AP26" s="415"/>
      <c r="AQ26" s="415"/>
      <c r="AR26" s="414"/>
      <c r="AS26" s="428" t="s">
        <v>169</v>
      </c>
      <c r="AT26" s="429" t="s">
        <v>178</v>
      </c>
      <c r="BD26" s="428" t="s">
        <v>169</v>
      </c>
      <c r="BE26" s="429" t="s">
        <v>178</v>
      </c>
      <c r="BN26" s="415"/>
    </row>
    <row r="27" ht="39.75" customHeight="1">
      <c r="A27" s="604"/>
      <c r="B27" s="604"/>
      <c r="C27" s="604"/>
      <c r="D27" s="604"/>
      <c r="E27" s="604"/>
      <c r="F27" s="604"/>
      <c r="G27" s="604"/>
      <c r="H27" s="604"/>
      <c r="I27" s="604"/>
      <c r="J27" s="604"/>
      <c r="K27" s="604"/>
      <c r="L27" s="604"/>
      <c r="M27" s="604"/>
      <c r="N27" s="604"/>
      <c r="O27" s="604"/>
      <c r="P27" s="604"/>
      <c r="Q27" s="604"/>
      <c r="R27" s="59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6"/>
      <c r="AH27" s="600"/>
      <c r="AI27" s="596"/>
      <c r="AJ27" s="596"/>
      <c r="AK27" s="596"/>
      <c r="AL27" s="610"/>
      <c r="AM27" s="610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4"/>
      <c r="B28" s="604"/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59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7" t="s">
        <v>201</v>
      </c>
      <c r="AH28" s="597" t="s">
        <v>202</v>
      </c>
      <c r="AI28" s="597" t="s">
        <v>170</v>
      </c>
      <c r="AJ28" s="597" t="s">
        <v>203</v>
      </c>
      <c r="AK28" s="597" t="s">
        <v>183</v>
      </c>
      <c r="AL28" s="607"/>
      <c r="AM28" s="607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4"/>
      <c r="B29" s="604"/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59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8"/>
      <c r="AH29" s="598"/>
      <c r="AI29" s="598"/>
      <c r="AJ29" s="598"/>
      <c r="AK29" s="598"/>
      <c r="AL29" s="608"/>
      <c r="AM29" s="608"/>
      <c r="AN29" s="415"/>
      <c r="AO29" s="415"/>
      <c r="AP29" s="415"/>
      <c r="AQ29" s="415"/>
      <c r="AR29" s="414"/>
      <c r="AS29" s="423" t="s">
        <v>184</v>
      </c>
      <c r="AT29" s="483" t="s">
        <v>186</v>
      </c>
      <c r="BD29" s="423" t="s">
        <v>184</v>
      </c>
      <c r="BE29" s="483" t="s">
        <v>186</v>
      </c>
      <c r="BN29" s="415"/>
    </row>
    <row r="30" ht="39.75" customHeight="1">
      <c r="A30" s="604"/>
      <c r="B30" s="604"/>
      <c r="C30" s="604"/>
      <c r="D30" s="604"/>
      <c r="E30" s="604"/>
      <c r="F30" s="604"/>
      <c r="G30" s="604"/>
      <c r="H30" s="604"/>
      <c r="I30" s="604"/>
      <c r="J30" s="604"/>
      <c r="K30" s="604"/>
      <c r="L30" s="604"/>
      <c r="M30" s="604"/>
      <c r="N30" s="604"/>
      <c r="O30" s="604"/>
      <c r="P30" s="604"/>
      <c r="Q30" s="604"/>
      <c r="R30" s="593"/>
      <c r="S30" s="440" t="s">
        <v>204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187</v>
      </c>
      <c r="AT30" s="483" t="s">
        <v>188</v>
      </c>
      <c r="AV30" s="484"/>
      <c r="AW30" s="485"/>
      <c r="AX30" s="485"/>
      <c r="AY30" s="485"/>
      <c r="AZ30" s="485"/>
      <c r="BD30" s="423" t="s">
        <v>187</v>
      </c>
      <c r="BE30" s="483" t="s">
        <v>188</v>
      </c>
      <c r="BG30" s="484"/>
      <c r="BH30" s="485"/>
      <c r="BI30" s="485"/>
      <c r="BJ30" s="485"/>
      <c r="BK30" s="485"/>
      <c r="BN30" s="415"/>
    </row>
    <row r="31" ht="39.75" customHeight="1">
      <c r="A31" s="604"/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593"/>
      <c r="S31" s="440" t="s">
        <v>205</v>
      </c>
      <c r="T31" s="450"/>
      <c r="U31" s="451" t="s">
        <v>188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1" t="s">
        <v>206</v>
      </c>
      <c r="AF31" s="621"/>
      <c r="AG31" s="621"/>
      <c r="AH31" s="621"/>
      <c r="AI31" s="621"/>
      <c r="AJ31" s="621"/>
      <c r="AK31" s="621"/>
      <c r="AL31" s="621"/>
      <c r="AM31" s="621"/>
      <c r="AN31" s="621"/>
      <c r="AO31" s="621"/>
      <c r="AP31" s="621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4"/>
      <c r="B32" s="604"/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593"/>
      <c r="S32" s="440" t="s">
        <v>190</v>
      </c>
      <c r="T32" s="453" t="s">
        <v>195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190</v>
      </c>
      <c r="AT32" s="434" t="s">
        <v>195</v>
      </c>
      <c r="BA32" s="484"/>
      <c r="BD32" s="438" t="s">
        <v>190</v>
      </c>
      <c r="BE32" s="434" t="s">
        <v>195</v>
      </c>
      <c r="BL32" s="484"/>
      <c r="BN32" s="415"/>
    </row>
    <row r="33" ht="39.75" customHeight="1">
      <c r="A33" s="604"/>
      <c r="B33" s="604"/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593"/>
      <c r="S33" s="440" t="s">
        <v>191</v>
      </c>
      <c r="T33" s="455"/>
      <c r="U33" s="454"/>
      <c r="V33" s="622"/>
      <c r="W33" s="622"/>
      <c r="X33" s="456"/>
      <c r="Y33" s="454"/>
      <c r="Z33" s="454"/>
      <c r="AA33" s="453">
        <v>1200</v>
      </c>
      <c r="AB33" s="454"/>
      <c r="AC33" s="454"/>
      <c r="AD33" s="414"/>
      <c r="AE33" s="606"/>
      <c r="AF33" s="606"/>
      <c r="AG33" s="606"/>
      <c r="AH33" s="606"/>
      <c r="AI33" s="606"/>
      <c r="AJ33" s="606"/>
      <c r="AK33" s="606"/>
      <c r="AL33" s="606"/>
      <c r="AM33" s="606"/>
      <c r="AN33" s="606"/>
      <c r="AO33" s="606"/>
      <c r="AP33" s="606"/>
      <c r="AQ33" s="606"/>
      <c r="AR33" s="414"/>
      <c r="AS33" s="438" t="s">
        <v>191</v>
      </c>
      <c r="AT33" s="438">
        <v>400</v>
      </c>
      <c r="BA33" s="0" t="s">
        <v>192</v>
      </c>
      <c r="BD33" s="438" t="s">
        <v>191</v>
      </c>
      <c r="BE33" s="438">
        <v>400</v>
      </c>
      <c r="BL33" s="0" t="s">
        <v>192</v>
      </c>
      <c r="BN33" s="415"/>
    </row>
    <row r="34" ht="40.5" customHeight="1">
      <c r="A34" s="604"/>
      <c r="B34" s="604"/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593"/>
      <c r="S34" s="440" t="s">
        <v>193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6"/>
      <c r="AF34" s="606"/>
      <c r="AG34" s="606"/>
      <c r="AH34" s="606"/>
      <c r="AI34" s="606"/>
      <c r="AJ34" s="606"/>
      <c r="AK34" s="606"/>
      <c r="AL34" s="606"/>
      <c r="AM34" s="606"/>
      <c r="AN34" s="606"/>
      <c r="AO34" s="606"/>
      <c r="AP34" s="606"/>
      <c r="AQ34" s="606"/>
      <c r="AR34" s="414"/>
      <c r="AS34" s="438" t="s">
        <v>193</v>
      </c>
      <c r="AT34" s="438">
        <v>500</v>
      </c>
      <c r="AU34" s="486"/>
      <c r="AZ34" s="583"/>
      <c r="BA34" s="583"/>
      <c r="BB34" s="583"/>
      <c r="BD34" s="438" t="s">
        <v>193</v>
      </c>
      <c r="BE34" s="438">
        <v>500</v>
      </c>
      <c r="BF34" s="486"/>
      <c r="BK34" s="583"/>
      <c r="BL34" s="583"/>
      <c r="BM34" s="583"/>
      <c r="BN34" s="415"/>
    </row>
    <row r="35" ht="41.25" customHeight="1">
      <c r="A35" s="604"/>
      <c r="B35" s="604"/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59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6"/>
      <c r="AF35" s="606"/>
      <c r="AG35" s="606"/>
      <c r="AH35" s="606"/>
      <c r="AI35" s="606"/>
      <c r="AJ35" s="606"/>
      <c r="AK35" s="606"/>
      <c r="AL35" s="606"/>
      <c r="AM35" s="606"/>
      <c r="AN35" s="606"/>
      <c r="AO35" s="606"/>
      <c r="AP35" s="606"/>
      <c r="AQ35" s="606"/>
      <c r="AR35" s="414"/>
      <c r="AS35" s="415"/>
      <c r="AT35" s="415"/>
      <c r="BD35" s="415"/>
      <c r="BE35" s="415"/>
      <c r="BN35" s="415"/>
    </row>
    <row r="36" ht="41.25" customHeight="1">
      <c r="A36" s="604"/>
      <c r="B36" s="604"/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59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207</v>
      </c>
      <c r="AD36" s="414"/>
      <c r="AE36" s="606"/>
      <c r="AF36" s="606"/>
      <c r="AG36" s="606"/>
      <c r="AH36" s="606"/>
      <c r="AI36" s="606"/>
      <c r="AJ36" s="606"/>
      <c r="AK36" s="606"/>
      <c r="AL36" s="606"/>
      <c r="AM36" s="606"/>
      <c r="AN36" s="606"/>
      <c r="AO36" s="606"/>
      <c r="AP36" s="606"/>
      <c r="AQ36" s="606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4"/>
      <c r="B37" s="604"/>
      <c r="C37" s="604"/>
      <c r="D37" s="604"/>
      <c r="E37" s="604"/>
      <c r="F37" s="604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593"/>
      <c r="S37" s="415"/>
      <c r="T37" s="415"/>
      <c r="U37" s="61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6"/>
      <c r="W37" s="616"/>
      <c r="X37" s="616"/>
      <c r="Y37" s="616"/>
      <c r="Z37" s="616"/>
      <c r="AA37" s="616"/>
      <c r="AB37" s="616"/>
      <c r="AC37" s="616"/>
      <c r="AD37" s="414"/>
      <c r="AE37" s="606"/>
      <c r="AF37" s="606"/>
      <c r="AG37" s="606"/>
      <c r="AH37" s="606"/>
      <c r="AI37" s="606"/>
      <c r="AJ37" s="606"/>
      <c r="AK37" s="606"/>
      <c r="AL37" s="606"/>
      <c r="AM37" s="606"/>
      <c r="AN37" s="606"/>
      <c r="AO37" s="606"/>
      <c r="AP37" s="606"/>
      <c r="AQ37" s="606"/>
      <c r="AR37" s="414"/>
      <c r="AS37" s="586">
        <f>('بيرسا و لوفرز'!F23+'بيرسا و لوفرز'!V55+'بيرسا و لوفرز'!V63)*1.35</f>
        <v>181107.90000000002</v>
      </c>
      <c r="AT37" s="587"/>
      <c r="BD37" s="586">
        <f>('بيرسا و لوفرز'!F96+'بيرسا و لوفرز'!V126+'بيرسا و لوفرز'!V134)*1.35</f>
        <v>181107.90000000002</v>
      </c>
      <c r="BE37" s="587"/>
      <c r="BN37" s="415"/>
    </row>
    <row r="38" ht="41.25" customHeight="1">
      <c r="A38" s="605"/>
      <c r="B38" s="605"/>
      <c r="C38" s="605"/>
      <c r="D38" s="605"/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605"/>
      <c r="P38" s="605"/>
      <c r="Q38" s="605"/>
      <c r="R38" s="59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6"/>
      <c r="AF38" s="606"/>
      <c r="AG38" s="606"/>
      <c r="AH38" s="606"/>
      <c r="AI38" s="606"/>
      <c r="AJ38" s="606"/>
      <c r="AK38" s="606"/>
      <c r="AL38" s="606"/>
      <c r="AM38" s="606"/>
      <c r="AN38" s="606"/>
      <c r="AO38" s="606"/>
      <c r="AP38" s="606"/>
      <c r="AQ38" s="606"/>
      <c r="AR38" s="414"/>
      <c r="AS38" s="586">
        <f>AS37/(AT34*AT33/10000)</f>
        <v>9055.395</v>
      </c>
      <c r="AT38" s="587"/>
      <c r="BD38" s="586">
        <f>BD37/(BE33*BE34/10000)</f>
        <v>9055.395</v>
      </c>
      <c r="BE38" s="587"/>
      <c r="BK38" s="493">
        <f>BE33</f>
        <v>400</v>
      </c>
      <c r="BN38" s="415"/>
    </row>
    <row r="39" ht="41.25" customHeight="1">
      <c r="A39" s="605"/>
      <c r="B39" s="605"/>
      <c r="C39" s="605"/>
      <c r="D39" s="605"/>
      <c r="E39" s="605"/>
      <c r="F39" s="605"/>
      <c r="G39" s="605"/>
      <c r="H39" s="605"/>
      <c r="I39" s="605"/>
      <c r="J39" s="605"/>
      <c r="K39" s="605"/>
      <c r="L39" s="605"/>
      <c r="M39" s="605"/>
      <c r="N39" s="605"/>
      <c r="O39" s="605"/>
      <c r="P39" s="605"/>
      <c r="Q39" s="605"/>
      <c r="R39" s="593"/>
      <c r="S39" s="605"/>
      <c r="T39" s="605"/>
      <c r="U39" s="605"/>
      <c r="V39" s="605"/>
      <c r="W39" s="605"/>
      <c r="X39" s="605"/>
      <c r="Y39" s="605"/>
      <c r="Z39" s="605"/>
      <c r="AA39" s="605"/>
      <c r="AB39" s="605"/>
      <c r="AC39" s="605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5"/>
      <c r="B40" s="605"/>
      <c r="C40" s="605"/>
      <c r="D40" s="605"/>
      <c r="E40" s="605"/>
      <c r="F40" s="605"/>
      <c r="G40" s="605"/>
      <c r="H40" s="605"/>
      <c r="I40" s="605"/>
      <c r="J40" s="605"/>
      <c r="K40" s="605"/>
      <c r="L40" s="605"/>
      <c r="M40" s="605"/>
      <c r="N40" s="605"/>
      <c r="O40" s="605"/>
      <c r="P40" s="605"/>
      <c r="Q40" s="605"/>
      <c r="R40" s="593"/>
      <c r="S40" s="605"/>
      <c r="T40" s="605"/>
      <c r="U40" s="605"/>
      <c r="V40" s="605"/>
      <c r="W40" s="605"/>
      <c r="X40" s="605"/>
      <c r="Y40" s="605"/>
      <c r="Z40" s="605"/>
      <c r="AA40" s="605"/>
      <c r="AB40" s="605"/>
      <c r="AC40" s="605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593"/>
      <c r="S41" s="605"/>
      <c r="T41" s="605"/>
      <c r="U41" s="605"/>
      <c r="V41" s="605"/>
      <c r="W41" s="605"/>
      <c r="X41" s="605"/>
      <c r="Y41" s="605"/>
      <c r="Z41" s="605"/>
      <c r="AA41" s="605"/>
      <c r="AB41" s="605"/>
      <c r="AC41" s="605"/>
      <c r="AD41" s="414"/>
      <c r="AE41" s="602" t="s">
        <v>208</v>
      </c>
      <c r="AF41" s="602"/>
      <c r="AG41" s="602"/>
      <c r="AH41" s="602"/>
      <c r="AI41" s="602"/>
      <c r="AJ41" s="602"/>
      <c r="AK41" s="602"/>
      <c r="AL41" s="602"/>
      <c r="AM41" s="602"/>
      <c r="AN41" s="602"/>
      <c r="AO41" s="602"/>
      <c r="AP41" s="602"/>
      <c r="AQ41" s="602"/>
      <c r="AR41" s="414"/>
      <c r="AS41" s="588" t="s">
        <v>209</v>
      </c>
      <c r="AT41" s="588"/>
      <c r="AU41" s="588"/>
      <c r="AW41" s="485"/>
      <c r="BD41" s="416" t="s">
        <v>210</v>
      </c>
      <c r="BE41" s="416"/>
      <c r="BF41" s="416"/>
      <c r="BH41" s="485"/>
      <c r="BN41" s="415"/>
    </row>
    <row r="42" ht="42" customHeight="1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593"/>
      <c r="S42" s="591" t="s">
        <v>211</v>
      </c>
      <c r="T42" s="592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2"/>
      <c r="AF42" s="602"/>
      <c r="AG42" s="602"/>
      <c r="AH42" s="602"/>
      <c r="AI42" s="602"/>
      <c r="AJ42" s="602"/>
      <c r="AK42" s="602"/>
      <c r="AL42" s="602"/>
      <c r="AM42" s="602"/>
      <c r="AN42" s="602"/>
      <c r="AO42" s="602"/>
      <c r="AP42" s="602"/>
      <c r="AQ42" s="602"/>
      <c r="AR42" s="414"/>
      <c r="AS42" s="472" t="s">
        <v>163</v>
      </c>
      <c r="AT42" s="473">
        <f>'بيرسا و لوفرز'!BM68</f>
        <v>182073.645</v>
      </c>
      <c r="AU42" s="480"/>
      <c r="BD42" s="472" t="s">
        <v>163</v>
      </c>
      <c r="BE42" s="473">
        <f>'بيرسا و لوفرز'!BM139</f>
        <v>191220.01166666666</v>
      </c>
      <c r="BF42" s="480"/>
      <c r="BN42" s="415"/>
    </row>
    <row r="43" ht="42" customHeight="1">
      <c r="A43" s="604" t="s">
        <v>212</v>
      </c>
      <c r="B43" s="604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593"/>
      <c r="S43" s="442" t="s">
        <v>163</v>
      </c>
      <c r="T43" s="443">
        <f>'شماسي و كانتليفر'!N51</f>
        <v>73382.400000000009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2"/>
      <c r="AF43" s="602"/>
      <c r="AG43" s="602"/>
      <c r="AH43" s="602"/>
      <c r="AI43" s="602"/>
      <c r="AJ43" s="602"/>
      <c r="AK43" s="602"/>
      <c r="AL43" s="602"/>
      <c r="AM43" s="602"/>
      <c r="AN43" s="602"/>
      <c r="AO43" s="602"/>
      <c r="AP43" s="602"/>
      <c r="AQ43" s="602"/>
      <c r="AR43" s="414"/>
      <c r="AS43" s="472" t="s">
        <v>127</v>
      </c>
      <c r="AT43" s="474">
        <f>AT42/(AT53*AT54/10000)</f>
        <v>9103.68225</v>
      </c>
      <c r="AU43" s="480"/>
      <c r="AV43" s="481"/>
      <c r="BD43" s="472" t="s">
        <v>127</v>
      </c>
      <c r="BE43" s="474">
        <f>BE42/(BE53*BE54/10000)</f>
        <v>9561.0005833333325</v>
      </c>
      <c r="BF43" s="480"/>
      <c r="BG43" s="481"/>
      <c r="BN43" s="415"/>
    </row>
    <row r="44" ht="42" customHeight="1">
      <c r="A44" s="604"/>
      <c r="B44" s="604"/>
      <c r="C44" s="604"/>
      <c r="D44" s="604"/>
      <c r="E44" s="604"/>
      <c r="F44" s="604"/>
      <c r="G44" s="604"/>
      <c r="H44" s="604"/>
      <c r="I44" s="604"/>
      <c r="J44" s="604"/>
      <c r="K44" s="604"/>
      <c r="L44" s="604"/>
      <c r="M44" s="604"/>
      <c r="N44" s="604"/>
      <c r="O44" s="604"/>
      <c r="P44" s="604"/>
      <c r="Q44" s="604"/>
      <c r="R44" s="593"/>
      <c r="S44" s="444" t="s">
        <v>127</v>
      </c>
      <c r="T44" s="443">
        <f>T43/T51</f>
        <v>2935.2960000000003</v>
      </c>
      <c r="U44" s="458"/>
      <c r="V44" s="458"/>
      <c r="W44" s="458"/>
      <c r="X44" s="458"/>
      <c r="Y44" s="603"/>
      <c r="Z44" s="603"/>
      <c r="AA44" s="458"/>
      <c r="AB44" s="458"/>
      <c r="AC44" s="458"/>
      <c r="AD44" s="414"/>
      <c r="AE44" s="602"/>
      <c r="AF44" s="602"/>
      <c r="AG44" s="602"/>
      <c r="AH44" s="602"/>
      <c r="AI44" s="602"/>
      <c r="AJ44" s="602"/>
      <c r="AK44" s="602"/>
      <c r="AL44" s="602"/>
      <c r="AM44" s="602"/>
      <c r="AN44" s="602"/>
      <c r="AO44" s="602"/>
      <c r="AP44" s="602"/>
      <c r="AQ44" s="602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4"/>
      <c r="B45" s="604"/>
      <c r="C45" s="604"/>
      <c r="D45" s="604"/>
      <c r="E45" s="604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593"/>
      <c r="S45" s="440" t="s">
        <v>164</v>
      </c>
      <c r="T45" s="441" t="s">
        <v>21</v>
      </c>
      <c r="U45" s="458"/>
      <c r="V45" s="458"/>
      <c r="W45" s="458"/>
      <c r="X45" s="458"/>
      <c r="Y45" s="603"/>
      <c r="Z45" s="603"/>
      <c r="AA45" s="458"/>
      <c r="AB45" s="458"/>
      <c r="AC45" s="458"/>
      <c r="AD45" s="414"/>
      <c r="AE45" s="602"/>
      <c r="AF45" s="602"/>
      <c r="AG45" s="602"/>
      <c r="AH45" s="602"/>
      <c r="AI45" s="602"/>
      <c r="AJ45" s="602"/>
      <c r="AK45" s="602"/>
      <c r="AL45" s="602"/>
      <c r="AM45" s="602"/>
      <c r="AN45" s="602"/>
      <c r="AO45" s="602"/>
      <c r="AP45" s="602"/>
      <c r="AQ45" s="602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4"/>
      <c r="B46" s="604"/>
      <c r="C46" s="604"/>
      <c r="D46" s="604"/>
      <c r="E46" s="604"/>
      <c r="F46" s="604"/>
      <c r="G46" s="604"/>
      <c r="H46" s="604"/>
      <c r="I46" s="604"/>
      <c r="J46" s="604"/>
      <c r="K46" s="604"/>
      <c r="L46" s="604"/>
      <c r="M46" s="604"/>
      <c r="N46" s="604"/>
      <c r="O46" s="604"/>
      <c r="P46" s="604"/>
      <c r="Q46" s="604"/>
      <c r="R46" s="593"/>
      <c r="S46" s="445" t="s">
        <v>165</v>
      </c>
      <c r="T46" s="446" t="s">
        <v>166</v>
      </c>
      <c r="U46" s="458"/>
      <c r="V46" s="458"/>
      <c r="W46" s="458"/>
      <c r="X46" s="458"/>
      <c r="Y46" s="603"/>
      <c r="Z46" s="603"/>
      <c r="AA46" s="458"/>
      <c r="AB46" s="458"/>
      <c r="AC46" s="458"/>
      <c r="AD46" s="414"/>
      <c r="AE46" s="602"/>
      <c r="AF46" s="602"/>
      <c r="AG46" s="602"/>
      <c r="AH46" s="602"/>
      <c r="AI46" s="602"/>
      <c r="AJ46" s="602"/>
      <c r="AK46" s="602"/>
      <c r="AL46" s="602"/>
      <c r="AM46" s="602"/>
      <c r="AN46" s="602"/>
      <c r="AO46" s="602"/>
      <c r="AP46" s="602"/>
      <c r="AQ46" s="602"/>
      <c r="AR46" s="414"/>
      <c r="AS46" s="428" t="s">
        <v>169</v>
      </c>
      <c r="AT46" s="429" t="s">
        <v>178</v>
      </c>
      <c r="AX46" s="493">
        <f>AT54</f>
        <v>400</v>
      </c>
      <c r="BD46" s="428" t="s">
        <v>169</v>
      </c>
      <c r="BE46" s="429" t="s">
        <v>178</v>
      </c>
      <c r="BI46" s="493">
        <f>BE54</f>
        <v>400</v>
      </c>
      <c r="BM46" s="493">
        <f>BE53</f>
        <v>500</v>
      </c>
      <c r="BN46" s="415"/>
    </row>
    <row r="47" ht="42" customHeight="1">
      <c r="A47" s="604"/>
      <c r="B47" s="604"/>
      <c r="C47" s="604"/>
      <c r="D47" s="604"/>
      <c r="E47" s="604"/>
      <c r="F47" s="604"/>
      <c r="G47" s="604"/>
      <c r="H47" s="604"/>
      <c r="I47" s="604"/>
      <c r="J47" s="604"/>
      <c r="K47" s="604"/>
      <c r="L47" s="604"/>
      <c r="M47" s="604"/>
      <c r="N47" s="604"/>
      <c r="O47" s="604"/>
      <c r="P47" s="604"/>
      <c r="Q47" s="604"/>
      <c r="R47" s="593"/>
      <c r="S47" s="440" t="s">
        <v>213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2"/>
      <c r="AF47" s="602"/>
      <c r="AG47" s="602"/>
      <c r="AH47" s="602"/>
      <c r="AI47" s="602"/>
      <c r="AJ47" s="602"/>
      <c r="AK47" s="602"/>
      <c r="AL47" s="602"/>
      <c r="AM47" s="602"/>
      <c r="AN47" s="602"/>
      <c r="AO47" s="602"/>
      <c r="AP47" s="602"/>
      <c r="AQ47" s="602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4"/>
      <c r="B48" s="604"/>
      <c r="C48" s="604"/>
      <c r="D48" s="604"/>
      <c r="E48" s="604"/>
      <c r="F48" s="604"/>
      <c r="G48" s="604"/>
      <c r="H48" s="604"/>
      <c r="I48" s="604"/>
      <c r="J48" s="604"/>
      <c r="K48" s="604"/>
      <c r="L48" s="604"/>
      <c r="M48" s="604"/>
      <c r="N48" s="604"/>
      <c r="O48" s="604"/>
      <c r="P48" s="604"/>
      <c r="Q48" s="604"/>
      <c r="R48" s="59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2"/>
      <c r="AF48" s="602"/>
      <c r="AG48" s="602"/>
      <c r="AH48" s="602"/>
      <c r="AI48" s="602"/>
      <c r="AJ48" s="602"/>
      <c r="AK48" s="602"/>
      <c r="AL48" s="602"/>
      <c r="AM48" s="602"/>
      <c r="AN48" s="602"/>
      <c r="AO48" s="602"/>
      <c r="AP48" s="602"/>
      <c r="AQ48" s="602"/>
      <c r="AR48" s="414"/>
      <c r="AS48" s="439"/>
      <c r="AT48" s="439"/>
      <c r="BD48" s="439"/>
      <c r="BE48" s="439"/>
      <c r="BN48" s="415"/>
    </row>
    <row r="49" ht="42" customHeight="1">
      <c r="A49" s="604"/>
      <c r="B49" s="604"/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59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2"/>
      <c r="AF49" s="602"/>
      <c r="AG49" s="602"/>
      <c r="AH49" s="602"/>
      <c r="AI49" s="602"/>
      <c r="AJ49" s="602"/>
      <c r="AK49" s="602"/>
      <c r="AL49" s="602"/>
      <c r="AM49" s="602"/>
      <c r="AN49" s="602"/>
      <c r="AO49" s="602"/>
      <c r="AP49" s="602"/>
      <c r="AQ49" s="602"/>
      <c r="AR49" s="414"/>
      <c r="AS49" s="423" t="s">
        <v>184</v>
      </c>
      <c r="AT49" s="483" t="s">
        <v>186</v>
      </c>
      <c r="BD49" s="423" t="s">
        <v>184</v>
      </c>
      <c r="BE49" s="483" t="s">
        <v>186</v>
      </c>
      <c r="BN49" s="415"/>
    </row>
    <row r="50" ht="42" customHeight="1">
      <c r="A50" s="604"/>
      <c r="B50" s="604"/>
      <c r="C50" s="604"/>
      <c r="D50" s="604"/>
      <c r="E50" s="604"/>
      <c r="F50" s="604"/>
      <c r="G50" s="604"/>
      <c r="H50" s="604"/>
      <c r="I50" s="604"/>
      <c r="J50" s="604"/>
      <c r="K50" s="604"/>
      <c r="L50" s="604"/>
      <c r="M50" s="604"/>
      <c r="N50" s="604"/>
      <c r="O50" s="604"/>
      <c r="P50" s="604"/>
      <c r="Q50" s="604"/>
      <c r="R50" s="59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2"/>
      <c r="AF50" s="602"/>
      <c r="AG50" s="602"/>
      <c r="AH50" s="602"/>
      <c r="AI50" s="602"/>
      <c r="AJ50" s="602"/>
      <c r="AK50" s="602"/>
      <c r="AL50" s="602"/>
      <c r="AM50" s="602"/>
      <c r="AN50" s="602"/>
      <c r="AO50" s="602"/>
      <c r="AP50" s="602"/>
      <c r="AQ50" s="602"/>
      <c r="AR50" s="414"/>
      <c r="AS50" s="423" t="s">
        <v>187</v>
      </c>
      <c r="AT50" s="483" t="s">
        <v>188</v>
      </c>
      <c r="AV50" s="484"/>
      <c r="AW50" s="485"/>
      <c r="AX50" s="485"/>
      <c r="AY50" s="485"/>
      <c r="AZ50" s="485"/>
      <c r="BD50" s="423" t="s">
        <v>187</v>
      </c>
      <c r="BE50" s="483" t="s">
        <v>188</v>
      </c>
      <c r="BG50" s="484"/>
      <c r="BH50" s="485"/>
      <c r="BI50" s="485"/>
      <c r="BJ50" s="485"/>
      <c r="BK50" s="485"/>
      <c r="BN50" s="415"/>
    </row>
    <row r="51" ht="42" customHeight="1">
      <c r="A51" s="604"/>
      <c r="B51" s="604"/>
      <c r="C51" s="604"/>
      <c r="D51" s="604"/>
      <c r="E51" s="604"/>
      <c r="F51" s="604"/>
      <c r="G51" s="604"/>
      <c r="H51" s="604"/>
      <c r="I51" s="604"/>
      <c r="J51" s="604"/>
      <c r="K51" s="604"/>
      <c r="L51" s="604"/>
      <c r="M51" s="604"/>
      <c r="N51" s="604"/>
      <c r="O51" s="604"/>
      <c r="P51" s="604"/>
      <c r="Q51" s="604"/>
      <c r="R51" s="593"/>
      <c r="S51" s="440" t="s">
        <v>214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2"/>
      <c r="AF51" s="602"/>
      <c r="AG51" s="602"/>
      <c r="AH51" s="602"/>
      <c r="AI51" s="602"/>
      <c r="AJ51" s="602"/>
      <c r="AK51" s="602"/>
      <c r="AL51" s="602"/>
      <c r="AM51" s="602"/>
      <c r="AN51" s="602"/>
      <c r="AO51" s="602"/>
      <c r="AP51" s="602"/>
      <c r="AQ51" s="602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4"/>
      <c r="B52" s="604"/>
      <c r="C52" s="604"/>
      <c r="D52" s="604"/>
      <c r="E52" s="604"/>
      <c r="F52" s="604"/>
      <c r="G52" s="604"/>
      <c r="H52" s="604"/>
      <c r="I52" s="604"/>
      <c r="J52" s="604"/>
      <c r="K52" s="604"/>
      <c r="L52" s="604"/>
      <c r="M52" s="604"/>
      <c r="N52" s="604"/>
      <c r="O52" s="604"/>
      <c r="P52" s="604"/>
      <c r="Q52" s="604"/>
      <c r="R52" s="593"/>
      <c r="S52" s="440" t="s">
        <v>215</v>
      </c>
      <c r="T52" s="459" t="s">
        <v>216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2"/>
      <c r="AF52" s="602"/>
      <c r="AG52" s="602"/>
      <c r="AH52" s="602"/>
      <c r="AI52" s="602"/>
      <c r="AJ52" s="602"/>
      <c r="AK52" s="602"/>
      <c r="AL52" s="602"/>
      <c r="AM52" s="602"/>
      <c r="AN52" s="602"/>
      <c r="AO52" s="602"/>
      <c r="AP52" s="602"/>
      <c r="AQ52" s="602"/>
      <c r="AR52" s="414"/>
      <c r="AS52" s="438" t="s">
        <v>190</v>
      </c>
      <c r="AT52" s="434" t="s">
        <v>195</v>
      </c>
      <c r="BA52" s="484"/>
      <c r="BD52" s="438" t="s">
        <v>190</v>
      </c>
      <c r="BE52" s="434" t="s">
        <v>195</v>
      </c>
      <c r="BL52" s="484"/>
      <c r="BN52" s="415"/>
    </row>
    <row r="53" ht="42" customHeight="1">
      <c r="A53" s="604"/>
      <c r="B53" s="604"/>
      <c r="C53" s="604"/>
      <c r="D53" s="604"/>
      <c r="E53" s="604"/>
      <c r="F53" s="604"/>
      <c r="G53" s="604"/>
      <c r="H53" s="604"/>
      <c r="I53" s="604"/>
      <c r="J53" s="604"/>
      <c r="K53" s="604"/>
      <c r="L53" s="604"/>
      <c r="M53" s="604"/>
      <c r="N53" s="604"/>
      <c r="O53" s="604"/>
      <c r="P53" s="604"/>
      <c r="Q53" s="604"/>
      <c r="R53" s="593"/>
      <c r="S53" s="440" t="s">
        <v>190</v>
      </c>
      <c r="T53" s="453" t="s">
        <v>194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2"/>
      <c r="AF53" s="602"/>
      <c r="AG53" s="602"/>
      <c r="AH53" s="602"/>
      <c r="AI53" s="602"/>
      <c r="AJ53" s="602"/>
      <c r="AK53" s="602"/>
      <c r="AL53" s="602"/>
      <c r="AM53" s="602"/>
      <c r="AN53" s="602"/>
      <c r="AO53" s="602"/>
      <c r="AP53" s="602"/>
      <c r="AQ53" s="602"/>
      <c r="AR53" s="414"/>
      <c r="AS53" s="438" t="s">
        <v>191</v>
      </c>
      <c r="AT53" s="438">
        <v>500</v>
      </c>
      <c r="BA53" s="0" t="s">
        <v>192</v>
      </c>
      <c r="BD53" s="438" t="s">
        <v>191</v>
      </c>
      <c r="BE53" s="438">
        <v>500</v>
      </c>
      <c r="BL53" s="0" t="s">
        <v>192</v>
      </c>
      <c r="BN53" s="415"/>
    </row>
    <row r="54" ht="42" customHeight="1">
      <c r="A54" s="604"/>
      <c r="B54" s="604"/>
      <c r="C54" s="604"/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  <c r="O54" s="604"/>
      <c r="P54" s="604"/>
      <c r="Q54" s="604"/>
      <c r="R54" s="593"/>
      <c r="S54" s="440" t="s">
        <v>191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2"/>
      <c r="AF54" s="602"/>
      <c r="AG54" s="602"/>
      <c r="AH54" s="602"/>
      <c r="AI54" s="602"/>
      <c r="AJ54" s="602"/>
      <c r="AK54" s="602"/>
      <c r="AL54" s="602"/>
      <c r="AM54" s="602"/>
      <c r="AN54" s="602"/>
      <c r="AO54" s="602"/>
      <c r="AP54" s="602"/>
      <c r="AQ54" s="602"/>
      <c r="AR54" s="414"/>
      <c r="AS54" s="438" t="s">
        <v>193</v>
      </c>
      <c r="AT54" s="438">
        <v>400</v>
      </c>
      <c r="AU54" s="486"/>
      <c r="AZ54" s="583"/>
      <c r="BA54" s="583"/>
      <c r="BB54" s="583"/>
      <c r="BD54" s="438" t="s">
        <v>193</v>
      </c>
      <c r="BE54" s="438">
        <v>400</v>
      </c>
      <c r="BF54" s="486"/>
      <c r="BK54" s="583"/>
      <c r="BL54" s="583"/>
      <c r="BM54" s="583"/>
      <c r="BN54" s="415"/>
    </row>
    <row r="55" ht="42" customHeight="1">
      <c r="A55" s="604"/>
      <c r="B55" s="604"/>
      <c r="C55" s="604"/>
      <c r="D55" s="604"/>
      <c r="E55" s="604"/>
      <c r="F55" s="604"/>
      <c r="G55" s="604"/>
      <c r="H55" s="604"/>
      <c r="I55" s="604"/>
      <c r="J55" s="604"/>
      <c r="K55" s="604"/>
      <c r="L55" s="604"/>
      <c r="M55" s="604"/>
      <c r="N55" s="604"/>
      <c r="O55" s="604"/>
      <c r="P55" s="604"/>
      <c r="Q55" s="604"/>
      <c r="R55" s="593"/>
      <c r="S55" s="440" t="s">
        <v>193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2"/>
      <c r="AF55" s="602"/>
      <c r="AG55" s="602"/>
      <c r="AH55" s="602"/>
      <c r="AI55" s="602"/>
      <c r="AJ55" s="602"/>
      <c r="AK55" s="602"/>
      <c r="AL55" s="602"/>
      <c r="AM55" s="602"/>
      <c r="AN55" s="602"/>
      <c r="AO55" s="602"/>
      <c r="AP55" s="602"/>
      <c r="AQ55" s="602"/>
      <c r="AR55" s="414"/>
      <c r="AS55" s="415"/>
      <c r="AT55" s="415"/>
      <c r="BD55" s="415"/>
      <c r="BE55" s="415"/>
      <c r="BN55" s="415"/>
    </row>
    <row r="56" ht="42" customHeight="1">
      <c r="A56" s="604"/>
      <c r="B56" s="604"/>
      <c r="C56" s="604"/>
      <c r="D56" s="604"/>
      <c r="E56" s="604"/>
      <c r="F56" s="604"/>
      <c r="G56" s="604"/>
      <c r="H56" s="604"/>
      <c r="I56" s="604"/>
      <c r="J56" s="604"/>
      <c r="K56" s="604"/>
      <c r="L56" s="604"/>
      <c r="M56" s="604"/>
      <c r="N56" s="604"/>
      <c r="O56" s="604"/>
      <c r="P56" s="604"/>
      <c r="Q56" s="604"/>
      <c r="R56" s="59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2"/>
      <c r="AF56" s="602"/>
      <c r="AG56" s="602"/>
      <c r="AH56" s="602"/>
      <c r="AI56" s="602"/>
      <c r="AJ56" s="602"/>
      <c r="AK56" s="602"/>
      <c r="AL56" s="602"/>
      <c r="AM56" s="602"/>
      <c r="AN56" s="602"/>
      <c r="AO56" s="602"/>
      <c r="AP56" s="602"/>
      <c r="AQ56" s="602"/>
      <c r="AR56" s="414"/>
      <c r="AS56" s="415"/>
      <c r="AT56" s="415"/>
      <c r="BD56" s="415"/>
      <c r="BE56" s="415"/>
      <c r="BN56" s="415"/>
    </row>
    <row r="57" ht="42" customHeight="1">
      <c r="A57" s="604"/>
      <c r="B57" s="604"/>
      <c r="C57" s="604"/>
      <c r="D57" s="604"/>
      <c r="E57" s="604"/>
      <c r="F57" s="604"/>
      <c r="G57" s="604"/>
      <c r="H57" s="604"/>
      <c r="I57" s="604"/>
      <c r="J57" s="604"/>
      <c r="K57" s="604"/>
      <c r="L57" s="604"/>
      <c r="M57" s="604"/>
      <c r="N57" s="604"/>
      <c r="O57" s="604"/>
      <c r="P57" s="604"/>
      <c r="Q57" s="604"/>
      <c r="R57" s="59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2"/>
      <c r="AF57" s="602"/>
      <c r="AG57" s="602"/>
      <c r="AH57" s="602"/>
      <c r="AI57" s="602"/>
      <c r="AJ57" s="602"/>
      <c r="AK57" s="602"/>
      <c r="AL57" s="602"/>
      <c r="AM57" s="602"/>
      <c r="AN57" s="602"/>
      <c r="AO57" s="602"/>
      <c r="AP57" s="602"/>
      <c r="AQ57" s="602"/>
      <c r="AR57" s="414"/>
      <c r="AS57" s="584">
        <f>('بيرسا و لوفرز'!BA14+'بيرسا و لوفرز'!BP62+'بيرسا و لوفرز'!BQ54)*1.35</f>
        <v>125133.52500000001</v>
      </c>
      <c r="AT57" s="585"/>
      <c r="BD57" s="584">
        <f>('بيرسا و لوفرز'!BA85+'بيرسا و لوفرز'!BP133+'بيرسا و لوفرز'!BQ125)*1.35</f>
        <v>125133.52500000001</v>
      </c>
      <c r="BE57" s="585"/>
      <c r="BN57" s="415"/>
    </row>
    <row r="58" ht="42" customHeight="1">
      <c r="A58" s="604"/>
      <c r="B58" s="604"/>
      <c r="C58" s="604"/>
      <c r="D58" s="604"/>
      <c r="E58" s="604"/>
      <c r="F58" s="604"/>
      <c r="G58" s="604"/>
      <c r="H58" s="604"/>
      <c r="I58" s="604"/>
      <c r="J58" s="604"/>
      <c r="K58" s="604"/>
      <c r="L58" s="604"/>
      <c r="M58" s="604"/>
      <c r="N58" s="604"/>
      <c r="O58" s="604"/>
      <c r="P58" s="604"/>
      <c r="Q58" s="604"/>
      <c r="R58" s="59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2"/>
      <c r="AF58" s="602"/>
      <c r="AG58" s="602"/>
      <c r="AH58" s="602"/>
      <c r="AI58" s="602"/>
      <c r="AJ58" s="602"/>
      <c r="AK58" s="602"/>
      <c r="AL58" s="602"/>
      <c r="AM58" s="602"/>
      <c r="AN58" s="602"/>
      <c r="AO58" s="602"/>
      <c r="AP58" s="602"/>
      <c r="AQ58" s="602"/>
      <c r="AR58" s="414"/>
      <c r="AS58" s="589">
        <f>AS57/(AT53*AT54/10000)</f>
        <v>6256.67625</v>
      </c>
      <c r="AT58" s="590"/>
      <c r="BD58" s="589">
        <f>BD57/(BE53*BE54/10000)</f>
        <v>6256.67625</v>
      </c>
      <c r="BE58" s="590"/>
      <c r="BN58" s="415"/>
    </row>
    <row r="59" ht="39" customHeight="1">
      <c r="A59" s="604"/>
      <c r="B59" s="604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604"/>
      <c r="O59" s="604"/>
      <c r="P59" s="604"/>
      <c r="Q59" s="604"/>
      <c r="R59" s="59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4" t="s">
        <v>217</v>
      </c>
      <c r="B60" s="604"/>
      <c r="C60" s="604"/>
      <c r="D60" s="604"/>
      <c r="E60" s="604"/>
      <c r="F60" s="604"/>
      <c r="G60" s="604"/>
      <c r="H60" s="604"/>
      <c r="I60" s="604"/>
      <c r="J60" s="604"/>
      <c r="K60" s="604"/>
      <c r="L60" s="604"/>
      <c r="M60" s="604"/>
      <c r="N60" s="604"/>
      <c r="O60" s="604"/>
      <c r="P60" s="604"/>
      <c r="Q60" s="604"/>
      <c r="R60" s="593"/>
      <c r="S60" s="591" t="s">
        <v>211</v>
      </c>
      <c r="T60" s="592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4"/>
      <c r="B61" s="604"/>
      <c r="C61" s="604"/>
      <c r="D61" s="604"/>
      <c r="E61" s="604"/>
      <c r="F61" s="604"/>
      <c r="G61" s="604"/>
      <c r="H61" s="604"/>
      <c r="I61" s="604"/>
      <c r="J61" s="604"/>
      <c r="K61" s="604"/>
      <c r="L61" s="604"/>
      <c r="M61" s="604"/>
      <c r="N61" s="604"/>
      <c r="O61" s="604"/>
      <c r="P61" s="604"/>
      <c r="Q61" s="604"/>
      <c r="R61" s="593"/>
      <c r="S61" s="442" t="s">
        <v>163</v>
      </c>
      <c r="T61" s="443">
        <f>'شماسي و كانتليفر'!N84</f>
        <v>92350.8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4"/>
      <c r="B62" s="604"/>
      <c r="C62" s="604"/>
      <c r="D62" s="604"/>
      <c r="E62" s="604"/>
      <c r="F62" s="604"/>
      <c r="G62" s="604"/>
      <c r="H62" s="604"/>
      <c r="I62" s="604"/>
      <c r="J62" s="604"/>
      <c r="K62" s="604"/>
      <c r="L62" s="604"/>
      <c r="M62" s="604"/>
      <c r="N62" s="604"/>
      <c r="O62" s="604"/>
      <c r="P62" s="604"/>
      <c r="Q62" s="604"/>
      <c r="R62" s="593"/>
      <c r="S62" s="444" t="s">
        <v>127</v>
      </c>
      <c r="T62" s="443">
        <f>T61/T69</f>
        <v>3694.032</v>
      </c>
      <c r="U62" s="458"/>
      <c r="V62" s="458"/>
      <c r="W62" s="458"/>
      <c r="X62" s="458"/>
      <c r="Y62" s="603"/>
      <c r="Z62" s="603"/>
      <c r="AA62" s="458"/>
      <c r="AB62" s="458"/>
      <c r="AC62" s="458"/>
      <c r="AD62" s="414"/>
      <c r="AR62" s="414"/>
      <c r="BN62" s="415"/>
    </row>
    <row r="63" ht="40.5" customHeight="1">
      <c r="A63" s="604"/>
      <c r="B63" s="604"/>
      <c r="C63" s="604"/>
      <c r="D63" s="604"/>
      <c r="E63" s="604"/>
      <c r="F63" s="604"/>
      <c r="G63" s="604"/>
      <c r="H63" s="604"/>
      <c r="I63" s="604"/>
      <c r="J63" s="604"/>
      <c r="K63" s="604"/>
      <c r="L63" s="604"/>
      <c r="M63" s="604"/>
      <c r="N63" s="604"/>
      <c r="O63" s="604"/>
      <c r="P63" s="604"/>
      <c r="Q63" s="604"/>
      <c r="R63" s="593"/>
      <c r="S63" s="440" t="s">
        <v>164</v>
      </c>
      <c r="T63" s="441" t="s">
        <v>19</v>
      </c>
      <c r="U63" s="458"/>
      <c r="V63" s="458"/>
      <c r="W63" s="458"/>
      <c r="X63" s="458"/>
      <c r="Y63" s="603"/>
      <c r="Z63" s="603"/>
      <c r="AA63" s="458"/>
      <c r="AB63" s="458"/>
      <c r="AC63" s="458"/>
      <c r="AD63" s="414"/>
      <c r="AR63" s="414"/>
      <c r="BN63" s="415"/>
    </row>
    <row r="64" ht="40.5" customHeight="1">
      <c r="A64" s="604"/>
      <c r="B64" s="604"/>
      <c r="C64" s="604"/>
      <c r="D64" s="604"/>
      <c r="E64" s="604"/>
      <c r="F64" s="604"/>
      <c r="G64" s="604"/>
      <c r="H64" s="604"/>
      <c r="I64" s="604"/>
      <c r="J64" s="604"/>
      <c r="K64" s="604"/>
      <c r="L64" s="604"/>
      <c r="M64" s="604"/>
      <c r="N64" s="604"/>
      <c r="O64" s="604"/>
      <c r="P64" s="604"/>
      <c r="Q64" s="604"/>
      <c r="R64" s="593"/>
      <c r="S64" s="445" t="s">
        <v>165</v>
      </c>
      <c r="T64" s="446" t="s">
        <v>166</v>
      </c>
      <c r="U64" s="458"/>
      <c r="V64" s="458"/>
      <c r="W64" s="458"/>
      <c r="X64" s="458"/>
      <c r="Y64" s="603"/>
      <c r="Z64" s="603"/>
      <c r="AA64" s="458"/>
      <c r="AB64" s="458"/>
      <c r="AC64" s="458"/>
      <c r="AD64" s="414"/>
      <c r="AR64" s="414"/>
      <c r="BN64" s="415"/>
    </row>
    <row r="65" ht="40.5" customHeight="1">
      <c r="A65" s="604"/>
      <c r="B65" s="604"/>
      <c r="C65" s="604"/>
      <c r="D65" s="604"/>
      <c r="E65" s="604"/>
      <c r="F65" s="604"/>
      <c r="G65" s="604"/>
      <c r="H65" s="604"/>
      <c r="I65" s="604"/>
      <c r="J65" s="604"/>
      <c r="K65" s="604"/>
      <c r="L65" s="604"/>
      <c r="M65" s="604"/>
      <c r="N65" s="604"/>
      <c r="O65" s="604"/>
      <c r="P65" s="604"/>
      <c r="Q65" s="604"/>
      <c r="R65" s="593"/>
      <c r="S65" s="440" t="s">
        <v>213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4"/>
      <c r="B66" s="604"/>
      <c r="C66" s="604"/>
      <c r="D66" s="604"/>
      <c r="E66" s="604"/>
      <c r="F66" s="604"/>
      <c r="G66" s="604"/>
      <c r="H66" s="604"/>
      <c r="I66" s="604"/>
      <c r="J66" s="604"/>
      <c r="K66" s="604"/>
      <c r="L66" s="604"/>
      <c r="M66" s="604"/>
      <c r="N66" s="604"/>
      <c r="O66" s="604"/>
      <c r="P66" s="604"/>
      <c r="Q66" s="604"/>
      <c r="R66" s="59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4"/>
      <c r="B67" s="604"/>
      <c r="C67" s="604"/>
      <c r="D67" s="604"/>
      <c r="E67" s="604"/>
      <c r="F67" s="604"/>
      <c r="G67" s="604"/>
      <c r="H67" s="604"/>
      <c r="I67" s="604"/>
      <c r="J67" s="604"/>
      <c r="K67" s="604"/>
      <c r="L67" s="604"/>
      <c r="M67" s="604"/>
      <c r="N67" s="604"/>
      <c r="O67" s="604"/>
      <c r="P67" s="604"/>
      <c r="Q67" s="604"/>
      <c r="R67" s="59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4"/>
      <c r="B68" s="604"/>
      <c r="C68" s="604"/>
      <c r="D68" s="604"/>
      <c r="E68" s="604"/>
      <c r="F68" s="604"/>
      <c r="G68" s="604"/>
      <c r="H68" s="604"/>
      <c r="I68" s="604"/>
      <c r="J68" s="604"/>
      <c r="K68" s="604"/>
      <c r="L68" s="604"/>
      <c r="M68" s="604"/>
      <c r="N68" s="604"/>
      <c r="O68" s="604"/>
      <c r="P68" s="604"/>
      <c r="Q68" s="604"/>
      <c r="R68" s="59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4"/>
      <c r="B69" s="604"/>
      <c r="C69" s="604"/>
      <c r="D69" s="604"/>
      <c r="E69" s="604"/>
      <c r="F69" s="604"/>
      <c r="G69" s="604"/>
      <c r="H69" s="604"/>
      <c r="I69" s="604"/>
      <c r="J69" s="604"/>
      <c r="K69" s="604"/>
      <c r="L69" s="604"/>
      <c r="M69" s="604"/>
      <c r="N69" s="604"/>
      <c r="O69" s="604"/>
      <c r="P69" s="604"/>
      <c r="Q69" s="604"/>
      <c r="R69" s="593"/>
      <c r="S69" s="440" t="s">
        <v>214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4"/>
      <c r="B70" s="604"/>
      <c r="C70" s="604"/>
      <c r="D70" s="604"/>
      <c r="E70" s="604"/>
      <c r="F70" s="604"/>
      <c r="G70" s="604"/>
      <c r="H70" s="604"/>
      <c r="I70" s="604"/>
      <c r="J70" s="604"/>
      <c r="K70" s="604"/>
      <c r="L70" s="604"/>
      <c r="M70" s="604"/>
      <c r="N70" s="604"/>
      <c r="O70" s="604"/>
      <c r="P70" s="604"/>
      <c r="Q70" s="604"/>
      <c r="R70" s="593"/>
      <c r="S70" s="440" t="s">
        <v>215</v>
      </c>
      <c r="T70" s="459" t="s">
        <v>216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4"/>
      <c r="B71" s="604"/>
      <c r="C71" s="604"/>
      <c r="D71" s="604"/>
      <c r="E71" s="604"/>
      <c r="F71" s="604"/>
      <c r="G71" s="604"/>
      <c r="H71" s="604"/>
      <c r="I71" s="604"/>
      <c r="J71" s="604"/>
      <c r="K71" s="604"/>
      <c r="L71" s="604"/>
      <c r="M71" s="604"/>
      <c r="N71" s="604"/>
      <c r="O71" s="604"/>
      <c r="P71" s="604"/>
      <c r="Q71" s="604"/>
      <c r="R71" s="593"/>
      <c r="S71" s="440" t="s">
        <v>190</v>
      </c>
      <c r="T71" s="453" t="s">
        <v>194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4"/>
      <c r="B72" s="604"/>
      <c r="C72" s="604"/>
      <c r="D72" s="604"/>
      <c r="E72" s="604"/>
      <c r="F72" s="604"/>
      <c r="G72" s="604"/>
      <c r="H72" s="604"/>
      <c r="I72" s="604"/>
      <c r="J72" s="604"/>
      <c r="K72" s="604"/>
      <c r="L72" s="604"/>
      <c r="M72" s="604"/>
      <c r="N72" s="604"/>
      <c r="O72" s="604"/>
      <c r="P72" s="604"/>
      <c r="Q72" s="604"/>
      <c r="R72" s="593"/>
      <c r="S72" s="440" t="s">
        <v>191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4"/>
      <c r="B73" s="604"/>
      <c r="C73" s="604"/>
      <c r="D73" s="604"/>
      <c r="E73" s="604"/>
      <c r="F73" s="604"/>
      <c r="G73" s="604"/>
      <c r="H73" s="604"/>
      <c r="I73" s="604"/>
      <c r="J73" s="604"/>
      <c r="K73" s="604"/>
      <c r="L73" s="604"/>
      <c r="M73" s="604"/>
      <c r="N73" s="604"/>
      <c r="O73" s="604"/>
      <c r="P73" s="604"/>
      <c r="Q73" s="604"/>
      <c r="R73" s="593"/>
      <c r="S73" s="440" t="s">
        <v>193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4"/>
      <c r="B74" s="604"/>
      <c r="C74" s="604"/>
      <c r="D74" s="604"/>
      <c r="E74" s="604"/>
      <c r="F74" s="604"/>
      <c r="G74" s="604"/>
      <c r="H74" s="604"/>
      <c r="I74" s="604"/>
      <c r="J74" s="604"/>
      <c r="K74" s="604"/>
      <c r="L74" s="604"/>
      <c r="M74" s="604"/>
      <c r="N74" s="604"/>
      <c r="O74" s="604"/>
      <c r="P74" s="604"/>
      <c r="Q74" s="604"/>
      <c r="R74" s="59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4"/>
      <c r="B75" s="604"/>
      <c r="C75" s="604"/>
      <c r="D75" s="604"/>
      <c r="E75" s="604"/>
      <c r="F75" s="604"/>
      <c r="G75" s="604"/>
      <c r="H75" s="604"/>
      <c r="I75" s="604"/>
      <c r="J75" s="604"/>
      <c r="K75" s="604"/>
      <c r="L75" s="604"/>
      <c r="M75" s="604"/>
      <c r="N75" s="604"/>
      <c r="O75" s="604"/>
      <c r="P75" s="604"/>
      <c r="Q75" s="604"/>
      <c r="R75" s="59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4"/>
      <c r="B76" s="604"/>
      <c r="C76" s="604"/>
      <c r="D76" s="604"/>
      <c r="E76" s="604"/>
      <c r="F76" s="604"/>
      <c r="G76" s="604"/>
      <c r="H76" s="604"/>
      <c r="I76" s="604"/>
      <c r="J76" s="604"/>
      <c r="K76" s="604"/>
      <c r="L76" s="604"/>
      <c r="M76" s="604"/>
      <c r="N76" s="604"/>
      <c r="O76" s="604"/>
      <c r="P76" s="604"/>
      <c r="Q76" s="604"/>
      <c r="R76" s="59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3"/>
      <c r="AD77" s="414"/>
      <c r="AR77" s="414"/>
      <c r="BN77" s="415"/>
    </row>
    <row r="78" ht="15" customHeight="1">
      <c r="A78" s="601" t="s">
        <v>218</v>
      </c>
      <c r="B78" s="601"/>
      <c r="C78" s="601"/>
      <c r="D78" s="601"/>
      <c r="E78" s="601"/>
      <c r="F78" s="601"/>
      <c r="G78" s="601"/>
      <c r="H78" s="601"/>
      <c r="I78" s="601"/>
      <c r="J78" s="601"/>
      <c r="K78" s="601"/>
      <c r="L78" s="601"/>
      <c r="M78" s="601"/>
      <c r="N78" s="601"/>
      <c r="O78" s="601"/>
      <c r="P78" s="601"/>
      <c r="Q78" s="601"/>
      <c r="R78" s="59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1"/>
      <c r="B79" s="601"/>
      <c r="C79" s="601"/>
      <c r="D79" s="601"/>
      <c r="E79" s="601"/>
      <c r="F79" s="601"/>
      <c r="G79" s="601"/>
      <c r="H79" s="601"/>
      <c r="I79" s="601"/>
      <c r="J79" s="601"/>
      <c r="K79" s="601"/>
      <c r="L79" s="601"/>
      <c r="M79" s="601"/>
      <c r="N79" s="601"/>
      <c r="O79" s="601"/>
      <c r="P79" s="601"/>
      <c r="Q79" s="601"/>
      <c r="R79" s="593"/>
      <c r="AC79" s="414"/>
      <c r="AQ79" s="414"/>
      <c r="BB79" s="414"/>
      <c r="BM79" s="415"/>
    </row>
    <row r="80" ht="38.25" customHeight="1">
      <c r="A80" s="601"/>
      <c r="B80" s="601"/>
      <c r="C80" s="601"/>
      <c r="D80" s="601"/>
      <c r="E80" s="601"/>
      <c r="F80" s="601"/>
      <c r="G80" s="601"/>
      <c r="H80" s="601"/>
      <c r="I80" s="601"/>
      <c r="J80" s="601"/>
      <c r="K80" s="601"/>
      <c r="L80" s="601"/>
      <c r="M80" s="601"/>
      <c r="N80" s="601"/>
      <c r="O80" s="601"/>
      <c r="P80" s="601"/>
      <c r="Q80" s="601"/>
      <c r="R80" s="593"/>
      <c r="AQ80" s="414"/>
      <c r="BB80" s="414"/>
      <c r="BM80" s="415"/>
    </row>
    <row r="81" ht="38.25" customHeight="1">
      <c r="A81" s="601"/>
      <c r="B81" s="601"/>
      <c r="C81" s="601"/>
      <c r="D81" s="601"/>
      <c r="E81" s="601"/>
      <c r="F81" s="601"/>
      <c r="G81" s="601"/>
      <c r="H81" s="601"/>
      <c r="I81" s="601"/>
      <c r="J81" s="601"/>
      <c r="K81" s="601"/>
      <c r="L81" s="601"/>
      <c r="M81" s="601"/>
      <c r="N81" s="601"/>
      <c r="O81" s="601"/>
      <c r="P81" s="601"/>
      <c r="Q81" s="601"/>
      <c r="R81" s="593"/>
      <c r="AQ81" s="414"/>
      <c r="BB81" s="414"/>
      <c r="BM81" s="415"/>
    </row>
    <row r="82" ht="38.25" customHeight="1">
      <c r="A82" s="601"/>
      <c r="B82" s="601"/>
      <c r="C82" s="601"/>
      <c r="D82" s="601"/>
      <c r="E82" s="601"/>
      <c r="F82" s="601"/>
      <c r="G82" s="601"/>
      <c r="H82" s="601"/>
      <c r="I82" s="601"/>
      <c r="J82" s="601"/>
      <c r="K82" s="601"/>
      <c r="L82" s="601"/>
      <c r="M82" s="601"/>
      <c r="N82" s="601"/>
      <c r="O82" s="601"/>
      <c r="P82" s="601"/>
      <c r="Q82" s="601"/>
      <c r="R82" s="593"/>
      <c r="AQ82" s="414"/>
      <c r="BB82" s="414"/>
      <c r="BM82" s="415"/>
    </row>
    <row r="83" ht="38.25" customHeight="1">
      <c r="A83" s="601"/>
      <c r="B83" s="601"/>
      <c r="C83" s="601"/>
      <c r="D83" s="601"/>
      <c r="E83" s="601"/>
      <c r="F83" s="601"/>
      <c r="G83" s="601"/>
      <c r="H83" s="601"/>
      <c r="I83" s="601"/>
      <c r="J83" s="601"/>
      <c r="K83" s="601"/>
      <c r="L83" s="601"/>
      <c r="M83" s="601"/>
      <c r="N83" s="601"/>
      <c r="O83" s="601"/>
      <c r="P83" s="601"/>
      <c r="Q83" s="601"/>
      <c r="R83" s="593"/>
      <c r="AQ83" s="414"/>
      <c r="BB83" s="414"/>
      <c r="BM83" s="415"/>
    </row>
    <row r="84" ht="38.25" customHeight="1">
      <c r="A84" s="601"/>
      <c r="B84" s="601"/>
      <c r="C84" s="601"/>
      <c r="D84" s="601"/>
      <c r="E84" s="601"/>
      <c r="F84" s="601"/>
      <c r="G84" s="601"/>
      <c r="H84" s="601"/>
      <c r="I84" s="601"/>
      <c r="J84" s="601"/>
      <c r="K84" s="601"/>
      <c r="L84" s="601"/>
      <c r="M84" s="601"/>
      <c r="N84" s="601"/>
      <c r="O84" s="601"/>
      <c r="P84" s="601"/>
      <c r="Q84" s="601"/>
      <c r="R84" s="593"/>
      <c r="AQ84" s="414"/>
      <c r="BB84" s="414"/>
      <c r="BM84" s="415"/>
    </row>
    <row r="85" ht="38.25" customHeight="1">
      <c r="A85" s="601"/>
      <c r="B85" s="601"/>
      <c r="C85" s="601"/>
      <c r="D85" s="601"/>
      <c r="E85" s="601"/>
      <c r="F85" s="601"/>
      <c r="G85" s="601"/>
      <c r="H85" s="601"/>
      <c r="I85" s="601"/>
      <c r="J85" s="601"/>
      <c r="K85" s="601"/>
      <c r="L85" s="601"/>
      <c r="M85" s="601"/>
      <c r="N85" s="601"/>
      <c r="O85" s="601"/>
      <c r="P85" s="601"/>
      <c r="Q85" s="601"/>
      <c r="R85" s="593"/>
      <c r="AQ85" s="414"/>
      <c r="BB85" s="414"/>
      <c r="BM85" s="415"/>
    </row>
    <row r="86" ht="38.25" customHeight="1">
      <c r="A86" s="601"/>
      <c r="B86" s="601"/>
      <c r="C86" s="601"/>
      <c r="D86" s="601"/>
      <c r="E86" s="601"/>
      <c r="F86" s="601"/>
      <c r="G86" s="601"/>
      <c r="H86" s="601"/>
      <c r="I86" s="601"/>
      <c r="J86" s="601"/>
      <c r="K86" s="601"/>
      <c r="L86" s="601"/>
      <c r="M86" s="601"/>
      <c r="N86" s="601"/>
      <c r="O86" s="601"/>
      <c r="P86" s="601"/>
      <c r="Q86" s="601"/>
      <c r="R86" s="593"/>
      <c r="AQ86" s="414"/>
      <c r="BB86" s="414"/>
      <c r="BM86" s="415"/>
    </row>
    <row r="87" ht="38.25" customHeight="1">
      <c r="A87" s="601"/>
      <c r="B87" s="601"/>
      <c r="C87" s="601"/>
      <c r="D87" s="601"/>
      <c r="E87" s="601"/>
      <c r="F87" s="601"/>
      <c r="G87" s="601"/>
      <c r="H87" s="601"/>
      <c r="I87" s="601"/>
      <c r="J87" s="601"/>
      <c r="K87" s="601"/>
      <c r="L87" s="601"/>
      <c r="M87" s="601"/>
      <c r="N87" s="601"/>
      <c r="O87" s="601"/>
      <c r="P87" s="601"/>
      <c r="Q87" s="601"/>
      <c r="R87" s="593"/>
      <c r="AQ87" s="414"/>
      <c r="BB87" s="414"/>
      <c r="BM87" s="415"/>
    </row>
    <row r="88" ht="38.25" customHeight="1">
      <c r="A88" s="601"/>
      <c r="B88" s="601"/>
      <c r="C88" s="601"/>
      <c r="D88" s="601"/>
      <c r="E88" s="601"/>
      <c r="F88" s="601"/>
      <c r="G88" s="601"/>
      <c r="H88" s="601"/>
      <c r="I88" s="601"/>
      <c r="J88" s="601"/>
      <c r="K88" s="601"/>
      <c r="L88" s="601"/>
      <c r="M88" s="601"/>
      <c r="N88" s="601"/>
      <c r="O88" s="601"/>
      <c r="P88" s="601"/>
      <c r="Q88" s="601"/>
      <c r="R88" s="593"/>
      <c r="AQ88" s="414"/>
      <c r="BB88" s="414"/>
      <c r="BM88" s="415"/>
    </row>
    <row r="89" ht="38.25" customHeight="1">
      <c r="A89" s="601"/>
      <c r="B89" s="601"/>
      <c r="C89" s="601"/>
      <c r="D89" s="601"/>
      <c r="E89" s="601"/>
      <c r="F89" s="601"/>
      <c r="G89" s="601"/>
      <c r="H89" s="601"/>
      <c r="I89" s="601"/>
      <c r="J89" s="601"/>
      <c r="K89" s="601"/>
      <c r="L89" s="601"/>
      <c r="M89" s="601"/>
      <c r="N89" s="601"/>
      <c r="O89" s="601"/>
      <c r="P89" s="601"/>
      <c r="Q89" s="601"/>
      <c r="R89" s="593"/>
      <c r="AQ89" s="414"/>
      <c r="BB89" s="414"/>
      <c r="BM89" s="415"/>
    </row>
    <row r="90" ht="38.25" customHeight="1">
      <c r="A90" s="601"/>
      <c r="B90" s="601"/>
      <c r="C90" s="601"/>
      <c r="D90" s="601"/>
      <c r="E90" s="601"/>
      <c r="F90" s="601"/>
      <c r="G90" s="601"/>
      <c r="H90" s="601"/>
      <c r="I90" s="601"/>
      <c r="J90" s="601"/>
      <c r="K90" s="601"/>
      <c r="L90" s="601"/>
      <c r="M90" s="601"/>
      <c r="N90" s="601"/>
      <c r="O90" s="601"/>
      <c r="P90" s="601"/>
      <c r="Q90" s="601"/>
      <c r="R90" s="593"/>
      <c r="AQ90" s="414"/>
      <c r="BB90" s="414"/>
      <c r="BM90" s="415"/>
    </row>
    <row r="91" ht="38.25" customHeight="1">
      <c r="A91" s="601"/>
      <c r="B91" s="601"/>
      <c r="C91" s="601"/>
      <c r="D91" s="601"/>
      <c r="E91" s="601"/>
      <c r="F91" s="601"/>
      <c r="G91" s="601"/>
      <c r="H91" s="601"/>
      <c r="I91" s="601"/>
      <c r="J91" s="601"/>
      <c r="K91" s="601"/>
      <c r="L91" s="601"/>
      <c r="M91" s="601"/>
      <c r="N91" s="601"/>
      <c r="O91" s="601"/>
      <c r="P91" s="601"/>
      <c r="Q91" s="601"/>
      <c r="R91" s="593"/>
      <c r="AQ91" s="414"/>
      <c r="BB91" s="414"/>
      <c r="BM91" s="415"/>
    </row>
    <row r="92" ht="38.25" customHeight="1">
      <c r="A92" s="601"/>
      <c r="B92" s="601"/>
      <c r="C92" s="601"/>
      <c r="D92" s="601"/>
      <c r="E92" s="601"/>
      <c r="F92" s="601"/>
      <c r="G92" s="601"/>
      <c r="H92" s="601"/>
      <c r="I92" s="601"/>
      <c r="J92" s="601"/>
      <c r="K92" s="601"/>
      <c r="L92" s="601"/>
      <c r="M92" s="601"/>
      <c r="N92" s="601"/>
      <c r="O92" s="601"/>
      <c r="P92" s="601"/>
      <c r="Q92" s="601"/>
      <c r="R92" s="593"/>
      <c r="AQ92" s="414"/>
      <c r="BB92" s="414"/>
      <c r="BM92" s="415"/>
    </row>
    <row r="93" ht="38.25" customHeight="1">
      <c r="A93" s="601"/>
      <c r="B93" s="601"/>
      <c r="C93" s="601"/>
      <c r="D93" s="601"/>
      <c r="E93" s="601"/>
      <c r="F93" s="601"/>
      <c r="G93" s="601"/>
      <c r="H93" s="601"/>
      <c r="I93" s="601"/>
      <c r="J93" s="601"/>
      <c r="K93" s="601"/>
      <c r="L93" s="601"/>
      <c r="M93" s="601"/>
      <c r="N93" s="601"/>
      <c r="O93" s="601"/>
      <c r="P93" s="601"/>
      <c r="Q93" s="601"/>
      <c r="R93" s="593"/>
      <c r="AQ93" s="414"/>
      <c r="BB93" s="414"/>
      <c r="BM93" s="415"/>
    </row>
    <row r="94" ht="38.25" customHeight="1">
      <c r="A94" s="601"/>
      <c r="B94" s="601"/>
      <c r="C94" s="601"/>
      <c r="D94" s="601"/>
      <c r="E94" s="601"/>
      <c r="F94" s="601"/>
      <c r="G94" s="601"/>
      <c r="H94" s="601"/>
      <c r="I94" s="601"/>
      <c r="J94" s="601"/>
      <c r="K94" s="601"/>
      <c r="L94" s="601"/>
      <c r="M94" s="601"/>
      <c r="N94" s="601"/>
      <c r="O94" s="601"/>
      <c r="P94" s="601"/>
      <c r="Q94" s="601"/>
      <c r="R94" s="593"/>
      <c r="AQ94" s="414"/>
      <c r="BB94" s="414"/>
      <c r="BM94" s="415"/>
    </row>
    <row r="95" ht="38.25" customHeight="1">
      <c r="A95" s="601"/>
      <c r="B95" s="601"/>
      <c r="C95" s="601"/>
      <c r="D95" s="601"/>
      <c r="E95" s="601"/>
      <c r="F95" s="601"/>
      <c r="G95" s="601"/>
      <c r="H95" s="601"/>
      <c r="I95" s="601"/>
      <c r="J95" s="601"/>
      <c r="K95" s="601"/>
      <c r="L95" s="601"/>
      <c r="M95" s="601"/>
      <c r="N95" s="601"/>
      <c r="O95" s="601"/>
      <c r="P95" s="601"/>
      <c r="Q95" s="601"/>
      <c r="R95" s="593"/>
      <c r="AQ95" s="414"/>
      <c r="BB95" s="414"/>
      <c r="BM95" s="415"/>
    </row>
    <row r="96" ht="38.25" customHeight="1">
      <c r="A96" s="601"/>
      <c r="B96" s="601"/>
      <c r="C96" s="601"/>
      <c r="D96" s="601"/>
      <c r="E96" s="601"/>
      <c r="F96" s="601"/>
      <c r="G96" s="601"/>
      <c r="H96" s="601"/>
      <c r="I96" s="601"/>
      <c r="J96" s="601"/>
      <c r="K96" s="601"/>
      <c r="L96" s="601"/>
      <c r="M96" s="601"/>
      <c r="N96" s="601"/>
      <c r="O96" s="601"/>
      <c r="P96" s="601"/>
      <c r="Q96" s="601"/>
      <c r="R96" s="593"/>
      <c r="AQ96" s="414"/>
      <c r="BB96" s="414"/>
      <c r="BM96" s="415"/>
    </row>
    <row r="97" ht="39" customHeight="1">
      <c r="A97" s="601"/>
      <c r="B97" s="601"/>
      <c r="C97" s="601"/>
      <c r="D97" s="601"/>
      <c r="E97" s="601"/>
      <c r="F97" s="601"/>
      <c r="G97" s="601"/>
      <c r="H97" s="601"/>
      <c r="I97" s="601"/>
      <c r="J97" s="601"/>
      <c r="K97" s="601"/>
      <c r="L97" s="601"/>
      <c r="M97" s="601"/>
      <c r="N97" s="601"/>
      <c r="O97" s="601"/>
      <c r="P97" s="601"/>
      <c r="Q97" s="601"/>
      <c r="R97" s="593"/>
      <c r="AQ97" s="414"/>
      <c r="BB97" s="414"/>
      <c r="BM97" s="415"/>
    </row>
    <row r="98" ht="39" customHeight="1">
      <c r="A98" s="601" t="s">
        <v>219</v>
      </c>
      <c r="B98" s="601"/>
      <c r="C98" s="601"/>
      <c r="D98" s="601"/>
      <c r="E98" s="601"/>
      <c r="F98" s="601"/>
      <c r="G98" s="601"/>
      <c r="H98" s="601"/>
      <c r="I98" s="601"/>
      <c r="J98" s="601"/>
      <c r="K98" s="601"/>
      <c r="L98" s="601"/>
      <c r="M98" s="601"/>
      <c r="N98" s="601"/>
      <c r="O98" s="601"/>
      <c r="P98" s="601"/>
      <c r="Q98" s="601"/>
      <c r="R98" s="593"/>
      <c r="AR98" s="414"/>
      <c r="BN98" s="415"/>
    </row>
    <row r="99" ht="39" customHeight="1">
      <c r="A99" s="601"/>
      <c r="B99" s="601"/>
      <c r="C99" s="601"/>
      <c r="D99" s="601"/>
      <c r="E99" s="601"/>
      <c r="F99" s="601"/>
      <c r="G99" s="601"/>
      <c r="H99" s="601"/>
      <c r="I99" s="601"/>
      <c r="J99" s="601"/>
      <c r="K99" s="601"/>
      <c r="L99" s="601"/>
      <c r="M99" s="601"/>
      <c r="N99" s="601"/>
      <c r="O99" s="601"/>
      <c r="P99" s="601"/>
      <c r="Q99" s="601"/>
      <c r="R99" s="593"/>
      <c r="AR99" s="414"/>
      <c r="BN99" s="415"/>
    </row>
    <row r="100" ht="39" customHeight="1">
      <c r="A100" s="601"/>
      <c r="B100" s="601"/>
      <c r="C100" s="601"/>
      <c r="D100" s="601"/>
      <c r="E100" s="601"/>
      <c r="F100" s="601"/>
      <c r="G100" s="601"/>
      <c r="H100" s="601"/>
      <c r="I100" s="601"/>
      <c r="J100" s="601"/>
      <c r="K100" s="601"/>
      <c r="L100" s="601"/>
      <c r="M100" s="601"/>
      <c r="N100" s="601"/>
      <c r="O100" s="601"/>
      <c r="P100" s="601"/>
      <c r="Q100" s="601"/>
      <c r="R100" s="593"/>
      <c r="AR100" s="414"/>
      <c r="BN100" s="415"/>
    </row>
    <row r="101" ht="39" customHeight="1">
      <c r="A101" s="601"/>
      <c r="B101" s="601"/>
      <c r="C101" s="601"/>
      <c r="D101" s="601"/>
      <c r="E101" s="601"/>
      <c r="F101" s="601"/>
      <c r="G101" s="601"/>
      <c r="H101" s="601"/>
      <c r="I101" s="601"/>
      <c r="J101" s="601"/>
      <c r="K101" s="601"/>
      <c r="L101" s="601"/>
      <c r="M101" s="601"/>
      <c r="N101" s="601"/>
      <c r="O101" s="601"/>
      <c r="P101" s="601"/>
      <c r="Q101" s="601"/>
      <c r="R101" s="593"/>
      <c r="AR101" s="414"/>
      <c r="BN101" s="415"/>
    </row>
    <row r="102" ht="39" customHeight="1">
      <c r="A102" s="601"/>
      <c r="B102" s="601"/>
      <c r="C102" s="601"/>
      <c r="D102" s="601"/>
      <c r="E102" s="601"/>
      <c r="F102" s="601"/>
      <c r="G102" s="601"/>
      <c r="H102" s="601"/>
      <c r="I102" s="601"/>
      <c r="J102" s="601"/>
      <c r="K102" s="601"/>
      <c r="L102" s="601"/>
      <c r="M102" s="601"/>
      <c r="N102" s="601"/>
      <c r="O102" s="601"/>
      <c r="P102" s="601"/>
      <c r="Q102" s="601"/>
      <c r="R102" s="593"/>
      <c r="AR102" s="414"/>
      <c r="BN102" s="415"/>
    </row>
    <row r="103" ht="39" customHeight="1">
      <c r="A103" s="601"/>
      <c r="B103" s="601"/>
      <c r="C103" s="601"/>
      <c r="D103" s="601"/>
      <c r="E103" s="601"/>
      <c r="F103" s="601"/>
      <c r="G103" s="601"/>
      <c r="H103" s="601"/>
      <c r="I103" s="601"/>
      <c r="J103" s="601"/>
      <c r="K103" s="601"/>
      <c r="L103" s="601"/>
      <c r="M103" s="601"/>
      <c r="N103" s="601"/>
      <c r="O103" s="601"/>
      <c r="P103" s="601"/>
      <c r="Q103" s="601"/>
      <c r="R103" s="593"/>
      <c r="AR103" s="414"/>
      <c r="BN103" s="415"/>
    </row>
    <row r="104" ht="39" customHeight="1">
      <c r="A104" s="601"/>
      <c r="B104" s="601"/>
      <c r="C104" s="601"/>
      <c r="D104" s="601"/>
      <c r="E104" s="601"/>
      <c r="F104" s="601"/>
      <c r="G104" s="601"/>
      <c r="H104" s="601"/>
      <c r="I104" s="601"/>
      <c r="J104" s="601"/>
      <c r="K104" s="601"/>
      <c r="L104" s="601"/>
      <c r="M104" s="601"/>
      <c r="N104" s="601"/>
      <c r="O104" s="601"/>
      <c r="P104" s="601"/>
      <c r="Q104" s="601"/>
      <c r="R104" s="593"/>
      <c r="AR104" s="414"/>
      <c r="BN104" s="415"/>
    </row>
    <row r="105" ht="39" customHeight="1">
      <c r="A105" s="601"/>
      <c r="B105" s="601"/>
      <c r="C105" s="601"/>
      <c r="D105" s="601"/>
      <c r="E105" s="601"/>
      <c r="F105" s="601"/>
      <c r="G105" s="601"/>
      <c r="H105" s="601"/>
      <c r="I105" s="601"/>
      <c r="J105" s="601"/>
      <c r="K105" s="601"/>
      <c r="L105" s="601"/>
      <c r="M105" s="601"/>
      <c r="N105" s="601"/>
      <c r="O105" s="601"/>
      <c r="P105" s="601"/>
      <c r="Q105" s="601"/>
      <c r="R105" s="593"/>
      <c r="AR105" s="414"/>
      <c r="BN105" s="415"/>
    </row>
    <row r="106" ht="39" customHeight="1">
      <c r="A106" s="601"/>
      <c r="B106" s="601"/>
      <c r="C106" s="601"/>
      <c r="D106" s="601"/>
      <c r="E106" s="601"/>
      <c r="F106" s="601"/>
      <c r="G106" s="601"/>
      <c r="H106" s="601"/>
      <c r="I106" s="601"/>
      <c r="J106" s="601"/>
      <c r="K106" s="601"/>
      <c r="L106" s="601"/>
      <c r="M106" s="601"/>
      <c r="N106" s="601"/>
      <c r="O106" s="601"/>
      <c r="P106" s="601"/>
      <c r="Q106" s="601"/>
      <c r="R106" s="593"/>
      <c r="AR106" s="414"/>
      <c r="BN106" s="415"/>
    </row>
    <row r="107" ht="39" customHeight="1">
      <c r="A107" s="601"/>
      <c r="B107" s="601"/>
      <c r="C107" s="601"/>
      <c r="D107" s="601"/>
      <c r="E107" s="601"/>
      <c r="F107" s="601"/>
      <c r="G107" s="601"/>
      <c r="H107" s="601"/>
      <c r="I107" s="601"/>
      <c r="J107" s="601"/>
      <c r="K107" s="601"/>
      <c r="L107" s="601"/>
      <c r="M107" s="601"/>
      <c r="N107" s="601"/>
      <c r="O107" s="601"/>
      <c r="P107" s="601"/>
      <c r="Q107" s="601"/>
      <c r="R107" s="593"/>
      <c r="AR107" s="414"/>
      <c r="BN107" s="415"/>
    </row>
    <row r="108" ht="39" customHeight="1">
      <c r="A108" s="601"/>
      <c r="B108" s="601"/>
      <c r="C108" s="601"/>
      <c r="D108" s="601"/>
      <c r="E108" s="601"/>
      <c r="F108" s="601"/>
      <c r="G108" s="601"/>
      <c r="H108" s="601"/>
      <c r="I108" s="601"/>
      <c r="J108" s="601"/>
      <c r="K108" s="601"/>
      <c r="L108" s="601"/>
      <c r="M108" s="601"/>
      <c r="N108" s="601"/>
      <c r="O108" s="601"/>
      <c r="P108" s="601"/>
      <c r="Q108" s="601"/>
      <c r="R108" s="593"/>
      <c r="AR108" s="414"/>
      <c r="BN108" s="415"/>
    </row>
    <row r="109" ht="39" customHeight="1">
      <c r="A109" s="601"/>
      <c r="B109" s="601"/>
      <c r="C109" s="601"/>
      <c r="D109" s="601"/>
      <c r="E109" s="601"/>
      <c r="F109" s="601"/>
      <c r="G109" s="601"/>
      <c r="H109" s="601"/>
      <c r="I109" s="601"/>
      <c r="J109" s="601"/>
      <c r="K109" s="601"/>
      <c r="L109" s="601"/>
      <c r="M109" s="601"/>
      <c r="N109" s="601"/>
      <c r="O109" s="601"/>
      <c r="P109" s="601"/>
      <c r="Q109" s="601"/>
      <c r="R109" s="593"/>
      <c r="AR109" s="414"/>
      <c r="BN109" s="415"/>
    </row>
    <row r="110" ht="39" customHeight="1">
      <c r="A110" s="601"/>
      <c r="B110" s="601"/>
      <c r="C110" s="601"/>
      <c r="D110" s="601"/>
      <c r="E110" s="601"/>
      <c r="F110" s="601"/>
      <c r="G110" s="601"/>
      <c r="H110" s="601"/>
      <c r="I110" s="601"/>
      <c r="J110" s="601"/>
      <c r="K110" s="601"/>
      <c r="L110" s="601"/>
      <c r="M110" s="601"/>
      <c r="N110" s="601"/>
      <c r="O110" s="601"/>
      <c r="P110" s="601"/>
      <c r="Q110" s="601"/>
      <c r="R110" s="593"/>
      <c r="AR110" s="414"/>
      <c r="BN110" s="415"/>
    </row>
    <row r="111" ht="39" customHeight="1">
      <c r="A111" s="601"/>
      <c r="B111" s="601"/>
      <c r="C111" s="601"/>
      <c r="D111" s="601"/>
      <c r="E111" s="601"/>
      <c r="F111" s="601"/>
      <c r="G111" s="601"/>
      <c r="H111" s="601"/>
      <c r="I111" s="601"/>
      <c r="J111" s="601"/>
      <c r="K111" s="601"/>
      <c r="L111" s="601"/>
      <c r="M111" s="601"/>
      <c r="N111" s="601"/>
      <c r="O111" s="601"/>
      <c r="P111" s="601"/>
      <c r="Q111" s="601"/>
      <c r="R111" s="593"/>
      <c r="AR111" s="414"/>
      <c r="BN111" s="415"/>
    </row>
    <row r="112" ht="39" customHeight="1">
      <c r="A112" s="601"/>
      <c r="B112" s="601"/>
      <c r="C112" s="601"/>
      <c r="D112" s="601"/>
      <c r="E112" s="601"/>
      <c r="F112" s="601"/>
      <c r="G112" s="601"/>
      <c r="H112" s="601"/>
      <c r="I112" s="601"/>
      <c r="J112" s="601"/>
      <c r="K112" s="601"/>
      <c r="L112" s="601"/>
      <c r="M112" s="601"/>
      <c r="N112" s="601"/>
      <c r="O112" s="601"/>
      <c r="P112" s="601"/>
      <c r="Q112" s="601"/>
      <c r="R112" s="593"/>
      <c r="AR112" s="414"/>
      <c r="BN112" s="415"/>
    </row>
    <row r="113" ht="39" customHeight="1">
      <c r="A113" s="601"/>
      <c r="B113" s="601"/>
      <c r="C113" s="601"/>
      <c r="D113" s="601"/>
      <c r="E113" s="601"/>
      <c r="F113" s="601"/>
      <c r="G113" s="601"/>
      <c r="H113" s="601"/>
      <c r="I113" s="601"/>
      <c r="J113" s="601"/>
      <c r="K113" s="601"/>
      <c r="L113" s="601"/>
      <c r="M113" s="601"/>
      <c r="N113" s="601"/>
      <c r="O113" s="601"/>
      <c r="P113" s="601"/>
      <c r="Q113" s="601"/>
      <c r="R113" s="593"/>
      <c r="AR113" s="414"/>
      <c r="BN113" s="415"/>
    </row>
    <row r="114" ht="39" customHeight="1">
      <c r="A114" s="601"/>
      <c r="B114" s="601"/>
      <c r="C114" s="601"/>
      <c r="D114" s="601"/>
      <c r="E114" s="601"/>
      <c r="F114" s="601"/>
      <c r="G114" s="601"/>
      <c r="H114" s="601"/>
      <c r="I114" s="601"/>
      <c r="J114" s="601"/>
      <c r="K114" s="601"/>
      <c r="L114" s="601"/>
      <c r="M114" s="601"/>
      <c r="N114" s="601"/>
      <c r="O114" s="601"/>
      <c r="P114" s="601"/>
      <c r="Q114" s="601"/>
      <c r="R114" s="593"/>
      <c r="AR114" s="414"/>
      <c r="BN114" s="415"/>
    </row>
    <row r="115" ht="39" customHeight="1">
      <c r="A115" s="601"/>
      <c r="B115" s="601"/>
      <c r="C115" s="601"/>
      <c r="D115" s="601"/>
      <c r="E115" s="601"/>
      <c r="F115" s="601"/>
      <c r="G115" s="601"/>
      <c r="H115" s="601"/>
      <c r="I115" s="601"/>
      <c r="J115" s="601"/>
      <c r="K115" s="601"/>
      <c r="L115" s="601"/>
      <c r="M115" s="601"/>
      <c r="N115" s="601"/>
      <c r="O115" s="601"/>
      <c r="P115" s="601"/>
      <c r="Q115" s="601"/>
      <c r="R115" s="59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6F1A6BB7-FD88-44FF-AAC8-50427CDDC358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56D69916-1F9A-4E7D-A566-470A571B589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9AAAA775-6A4D-491D-81C3-B4DCB98FC63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6B3053D-C4E5-4672-8FBA-C57D2AA7D53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2004A38-D169-471E-99E8-BAD11F08EBF3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48C31207-C83E-433C-80DF-44AC37A86338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21ABFD2-A186-4CD2-880C-92F2E81E71F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50437EC9-C272-463E-82BA-38FD0D1219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B9EDD856-AB30-43DA-AB80-5449F64DDDB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49EDD47-0606-4C40-B3DC-F3DA1C7CABA7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2BCFC21F-7BD3-46B1-83AE-DF8E99D3A662}">
          <x14:formula1>
            <xm:f>wavy2!$A$19:$A$20</xm:f>
          </x14:formula1>
          <xm:sqref>BE9</xm:sqref>
        </x14:dataValidation>
        <x14:dataValidation type="list" allowBlank="1" showInputMessage="1" showErrorMessage="1" xr:uid="{23F88046-DD33-4F7E-91F6-7EADB776EA4C}">
          <x14:formula1>
            <xm:f>wavy1!$A$19:$A$20</xm:f>
          </x14:formula1>
          <xm:sqref>AT9</xm:sqref>
        </x14:dataValidation>
        <x14:dataValidation type="list" allowBlank="1" showInputMessage="1" showErrorMessage="1" xr:uid="{B1EC8466-C031-45E9-B517-5B9D2CA584D2}">
          <x14:formula1>
            <xm:f>Sheet2!$B$5:$B$7</xm:f>
          </x14:formula1>
          <xm:sqref>T25 T46 T64</xm:sqref>
        </x14:dataValidation>
        <x14:dataValidation type="list" allowBlank="1" showInputMessage="1" showErrorMessage="1" xr:uid="{97153EE4-9C00-43E6-A95C-E1D49BAC0A7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9C43D1D-A0AE-4855-817B-99F5324E13D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318AD95-891B-4780-A0B6-0211A4F5AF40}">
          <x14:formula1>
            <xm:f>Sheet2!$C$5:$C$6</xm:f>
          </x14:formula1>
          <xm:sqref>T26</xm:sqref>
        </x14:dataValidation>
        <x14:dataValidation type="list" allowBlank="1" showInputMessage="1" showErrorMessage="1" xr:uid="{1EB4E7BE-B2D7-4AF5-A3D3-A4F8521EA4E4}">
          <x14:formula1>
            <xm:f>Sheet2!$A$5</xm:f>
          </x14:formula1>
          <xm:sqref>U31</xm:sqref>
        </x14:dataValidation>
        <x14:dataValidation type="list" allowBlank="1" showInputMessage="1" showErrorMessage="1" xr:uid="{0C182D66-75F6-4B7F-BE9D-FA1FE8EF484A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B9882BB-29A3-42F6-9E0E-D0D76BE1AD86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13A82385-A1FF-438C-A687-9308B6C8890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036D3E4-3998-4289-A739-7FC544438FE9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3B18FD50-21C9-4532-836E-0B73231924A7}">
          <x14:formula1>
            <xm:f>Sheet2!$D$5:$D$6</xm:f>
          </x14:formula1>
          <xm:sqref>T32 T53 T71</xm:sqref>
        </x14:dataValidation>
        <x14:dataValidation type="list" allowBlank="1" showInputMessage="1" showErrorMessage="1" xr:uid="{87647149-AD8A-4AA6-B929-0F9A51EDBF67}">
          <x14:formula1>
            <xm:f>Sheet2!$A$6</xm:f>
          </x14:formula1>
          <xm:sqref>AC36</xm:sqref>
        </x14:dataValidation>
        <x14:dataValidation type="list" allowBlank="1" showInputMessage="1" showErrorMessage="1" xr:uid="{D5543E39-7925-42A2-BF27-FCAF6D364911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60000</v>
      </c>
      <c r="I2" s="231">
        <f>Sheet2!B13</f>
        <v>65000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45361.552503680556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510</v>
      </c>
      <c r="K6" s="240">
        <f>B6*J6</f>
        <v>4080</v>
      </c>
      <c r="L6" s="241">
        <f>(K6)/$G$79</f>
        <v>0.019748192694085974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2805</v>
      </c>
      <c r="K7" s="240">
        <f>B7*J7</f>
        <v>9817.5</v>
      </c>
      <c r="L7" s="241">
        <f>(K7)/$G$79</f>
        <v>0.047519088670144378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3360</v>
      </c>
      <c r="K8" s="240">
        <f>B8*J8</f>
        <v>5040</v>
      </c>
      <c r="L8" s="241">
        <f>(K8)/$G$79</f>
        <v>0.024394826269165028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18937.5</v>
      </c>
      <c r="L9" s="244">
        <f>Table1[[#Totals],[اجمالي]]/$G$79</f>
        <v>0.091662107633395384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0.0038721946458992107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0.00363018248053051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0.0016456827245071646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0.000363018248053051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0.0014520729922122041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0.0004356218976636612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0.024201216536870067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0.00019360973229496053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0.017424875906546448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0.0038721946458992107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0.057090669810476488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840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0.000363018248053051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0.000363018248053051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0.00060503041342175169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0.00363018248053051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0.00096804866147480267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0.0060535309630890995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0.0019660304065609977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0.016214815079702946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0.033078222762594013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0.063241897263480229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0.0072845661775978905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0.016940851575809046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0.024225417753406937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0.56064464967698324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0.056064464967698326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0.61670911464468159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0.0038721946458992107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0.0029041459844244082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0.0058082919688488164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0.0043562189766366121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0.018876948898758652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0.01415771167406899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0.018876948898758652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0.012778242331467396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0.019360973229496054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0.01452072992212204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0.022265119213920461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0.0092932671501581056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0.14707079289455941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206601.18438189256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268581.53969646036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CBD5EE1-EA2C-4E7B-A447-44F23293219A}">
      <formula1>$N$2:$N$20</formula1>
    </dataValidation>
    <dataValidation type="list" allowBlank="1" showInputMessage="1" showErrorMessage="1" sqref="G63:G75" xr:uid="{082F9F73-9D14-46EC-BDE0-91D014841311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60000</v>
      </c>
      <c r="I2" s="231">
        <f>Sheet2!B13</f>
        <v>65000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45361.552503680556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510</v>
      </c>
      <c r="K6" s="240">
        <f>B6*J6</f>
        <v>2550</v>
      </c>
      <c r="L6" s="241">
        <f>(K6)/$G$84</f>
        <v>0.0067111287507764083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2805</v>
      </c>
      <c r="K7" s="240">
        <f ref="K7:K9" t="shared" si="2">B7*J7</f>
        <v>22440</v>
      </c>
      <c r="L7" s="241">
        <f>(K7)/$G$84</f>
        <v>0.059057933006832396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1695</v>
      </c>
      <c r="K8" s="240">
        <f t="shared" si="2"/>
        <v>5085</v>
      </c>
      <c r="L8" s="241">
        <f>(K8)/$G$84</f>
        <v>0.013382780273607073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3360</v>
      </c>
      <c r="K9" s="240">
        <f t="shared" si="2"/>
        <v>6720</v>
      </c>
      <c r="L9" s="241">
        <f>(K9)/$G$84</f>
        <v>0.017685798119693123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36795</v>
      </c>
      <c r="L10" s="244">
        <f>Table118[[#Totals],[اجمالي]]/$G$84</f>
        <v>0.096837640150909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0.0031581782356594865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0.0026318151963829052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0.0011185214584627347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0.00059215841918615374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0.0025265425885275892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0.00031581782356594865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0.03158178235659486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0.00010527260785531622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0.0031581782356594865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0.045188266921894482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60</v>
      </c>
      <c r="J31" s="243">
        <f ref="J31:J32" t="shared" si="8">H31*$H$2/1000</f>
        <v>840</v>
      </c>
      <c r="K31" s="240">
        <f ref="K31:K32" t="shared" si="9">B31*J31</f>
        <v>6720</v>
      </c>
      <c r="L31" s="241">
        <f>(K31)/$G$84</f>
        <v>0.017685798119693123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60</v>
      </c>
      <c r="J32" s="243">
        <f t="shared" si="8"/>
        <v>90</v>
      </c>
      <c r="K32" s="240">
        <f t="shared" si="9"/>
        <v>2880</v>
      </c>
      <c r="L32" s="251">
        <f>(K32)/$G$84</f>
        <v>0.0075796277655827676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9600</v>
      </c>
      <c r="L33" s="244">
        <f>Table1624[[#Totals],[اجمالي]]/$G$84</f>
        <v>0.025265425885275892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0.006316356471318973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0.00055268119124041008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0.00019738613972871791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0.00019738613972871791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0.0006579537990957263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0.0019738613972871788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0.00052636303927658108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0.023686336767446147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0.028949967160211958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0.0021054521571063243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0.0021054521571063243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0.067269196419547053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0.00495110233819534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0.092113531873401683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0.097064634211597028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0.53320489436660745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0.053320489436660748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0.58652538380326813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0.0031581782356594865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0.0015790891178297432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0.00473726735348923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0.0031581782356594865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0.010264079265893331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0.010264079265893331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0.010264079265893331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0.00694799211845087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0.011843168383723074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0.0078954455891487151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0.0060531749516806819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0.0056847208241870752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0.081849452607508352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379965.88870463724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493955.65531602845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FA67D005-FEED-4177-9DBE-D9F8993FCCA0}">
      <formula1>$U$4:$U$5</formula1>
    </dataValidation>
    <dataValidation type="list" allowBlank="1" showInputMessage="1" showErrorMessage="1" sqref="F72:F80" xr:uid="{A0CC6C63-7F63-4DAD-8F70-90D115F8C2E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24</v>
      </c>
      <c r="C1" s="272" t="s">
        <v>427</v>
      </c>
      <c r="D1" s="273">
        <f>تسعير!BA12</f>
        <v>400</v>
      </c>
      <c r="E1" s="272" t="s">
        <v>125</v>
      </c>
      <c r="F1" s="273">
        <f>تسعير!AV10</f>
        <v>600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60000</v>
      </c>
      <c r="T2" s="231">
        <f>Sheet2!B13</f>
        <v>65000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A2</v>
      </c>
      <c r="O3" s="207"/>
      <c r="P3" s="207"/>
      <c r="Q3" s="234" t="s">
        <v>18</v>
      </c>
      <c r="R3" s="633">
        <f>NOW()</f>
        <v>45361.552503680556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8</v>
      </c>
      <c r="F4" s="392">
        <f>B4*C4*D4*E4</f>
        <v>5152.0000000000009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16</v>
      </c>
      <c r="D6" s="187">
        <v>15</v>
      </c>
      <c r="F6" s="392">
        <f ref="F6:F14" t="shared" si="0">B6*D6</f>
        <v>240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0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0</v>
      </c>
      <c r="R6" s="242" t="s">
        <v>43</v>
      </c>
      <c r="S6" s="211">
        <v>8.5</v>
      </c>
      <c r="T6" s="211">
        <f>Table158[[#This Row],[المسطح]]*Table158[[#This Row],[عدد]]</f>
        <v>0</v>
      </c>
      <c r="U6" s="243">
        <f>S6*$S$2/1000</f>
        <v>510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28.2</v>
      </c>
      <c r="D7" s="187">
        <v>225</v>
      </c>
      <c r="F7" s="392">
        <f t="shared" si="0"/>
        <v>6345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3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5.4</v>
      </c>
      <c r="R7" s="211" t="s">
        <v>43</v>
      </c>
      <c r="S7" s="211">
        <v>28.5</v>
      </c>
      <c r="T7" s="211">
        <f>Table158[[#This Row],[المسطح]]*Table158[[#This Row],[عدد]]</f>
        <v>16.200000000000003</v>
      </c>
      <c r="U7" s="243">
        <f>S7*$S$2/1000</f>
        <v>1710</v>
      </c>
      <c r="V7" s="240">
        <f>M7*U7</f>
        <v>5130</v>
      </c>
      <c r="W7" s="241">
        <f>(V7)/$R$71</f>
        <v>0.1219099144892066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5.4</v>
      </c>
      <c r="R8" s="211"/>
      <c r="S8" s="211">
        <f>(S7*M7)</f>
        <v>85.5</v>
      </c>
      <c r="T8" s="211">
        <f>SUBTOTAL(109,Table158[سعر الكيلو])</f>
        <v>16.200000000000003</v>
      </c>
      <c r="U8" s="242"/>
      <c r="V8" s="240">
        <f>SUBTOTAL(109,Table158[اجمالي])</f>
        <v>5130</v>
      </c>
      <c r="W8" s="244">
        <f>Table158[[#Totals],[اجمالي]]/$R$71</f>
        <v>0.1219099144892066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0.0095056463539342374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1</v>
      </c>
      <c r="D12" s="187">
        <v>500</v>
      </c>
      <c r="F12" s="392">
        <f t="shared" si="0"/>
        <v>500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0.0040398997004220507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16</v>
      </c>
      <c r="D13" s="187">
        <v>10</v>
      </c>
      <c r="F13" s="392">
        <f t="shared" si="0"/>
        <v>160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0.0017823086913626696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186</v>
      </c>
      <c r="B14" s="195">
        <f>IF((تسعير!AT9=wavy1!A20),1,0)</f>
        <v>0</v>
      </c>
      <c r="C14" s="195"/>
      <c r="D14" s="195">
        <v>6000</v>
      </c>
      <c r="E14" s="195"/>
      <c r="F14" s="392">
        <f t="shared" si="0"/>
        <v>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12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360</v>
      </c>
      <c r="W14" s="241">
        <f t="shared" si="2" ca="1"/>
        <v>0.0085550817185408145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903</v>
      </c>
      <c r="F15" s="395">
        <f>SUBTOTAL(109,Table8[اجمالي التكلفة])</f>
        <v>21672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 ca="1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1005</v>
      </c>
      <c r="W18" s="244">
        <f>Table1561[[#Totals],[اجمالي]]/$R$71</f>
        <v>0.023882936464259773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2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0.36</v>
      </c>
      <c r="R21" s="250" t="s">
        <v>85</v>
      </c>
      <c r="S21" s="250">
        <v>7</v>
      </c>
      <c r="T21" s="211"/>
      <c r="U21" s="243">
        <f>S21*$S$2/1000</f>
        <v>420</v>
      </c>
      <c r="V21" s="240">
        <f>M21*U21</f>
        <v>840</v>
      </c>
      <c r="W21" s="241">
        <f>(V21)/$R$71</f>
        <v>0.019961857343261898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8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0.080000000000000016</v>
      </c>
      <c r="R22" s="211" t="s">
        <v>85</v>
      </c>
      <c r="S22" s="211">
        <v>0.75</v>
      </c>
      <c r="T22" s="211"/>
      <c r="U22" s="243">
        <f>S22*$S$2/1000</f>
        <v>45</v>
      </c>
      <c r="V22" s="240">
        <f>M22*U22</f>
        <v>360</v>
      </c>
      <c r="W22" s="251">
        <f>(V22)/$R$71</f>
        <v>0.0085550817185408145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0.44</v>
      </c>
      <c r="R23" s="211"/>
      <c r="S23" s="211">
        <f>(S21*M21)+(M22*S22)</f>
        <v>20</v>
      </c>
      <c r="T23" s="211"/>
      <c r="U23" s="242"/>
      <c r="V23" s="240">
        <f>SUBTOTAL(109,Table1662[اجمالي])</f>
        <v>1200</v>
      </c>
      <c r="W23" s="244">
        <f>Table1662[[#Totals],[اجمالي]]/$R$71</f>
        <v>0.028516939061802714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0.0010693852148176018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0.0010693852148176018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0.00059410289712088984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0.0035646173827253392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0.0019011292707868475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0.0052531203534899734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566.0526315789474</v>
      </c>
      <c r="W45" s="244">
        <f>Table1359[[#Totals],[اجمالي]]/$R$71</f>
        <v>0.013451740333758254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21672</v>
      </c>
      <c r="V50" s="240">
        <f>M50*Table161368[[#This Row],[سعر الشبك ]]</f>
        <v>21672</v>
      </c>
      <c r="W50" s="241">
        <f t="shared" si="6" ca="1"/>
        <v>0.515015919456157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21672</v>
      </c>
      <c r="V51" s="240">
        <f>M51*Table161368[[#This Row],[سعر الشبك ]]</f>
        <v>2167.2000000000003</v>
      </c>
      <c r="W51" s="241">
        <f t="shared" si="6" ca="1"/>
        <v>0.05150159194561571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23839.2</v>
      </c>
      <c r="W52" s="244">
        <f>Table161368[[#Totals],[اجمالي]]/$R$71</f>
        <v>0.56651751140177276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2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400</v>
      </c>
      <c r="V55" s="240">
        <f ref="V55:V67" t="shared" si="7" ca="1">M55*U55</f>
        <v>800</v>
      </c>
      <c r="W55" s="241">
        <f ref="W55:W67" t="shared" si="8" ca="1">(V55)/$R$71</f>
        <v>0.019011292707868475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2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400</v>
      </c>
      <c r="V56" s="240">
        <f t="shared" si="7" ca="1"/>
        <v>800</v>
      </c>
      <c r="W56" s="241">
        <f t="shared" si="8" ca="1"/>
        <v>0.019011292707868475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0.014258469530901357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0.014258469530901357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التجمع</v>
      </c>
      <c r="R59" s="214" t="s">
        <v>39</v>
      </c>
      <c r="S59" s="216"/>
      <c r="T59" s="243">
        <f>IF((تسعير!$AU$14="بالتات"),1,2)</f>
        <v>1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59" s="240">
        <f t="shared" si="7" ca="1"/>
        <v>1300</v>
      </c>
      <c r="W59" s="241">
        <f t="shared" si="8" ca="1"/>
        <v>0.030893350650286273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التجمع</v>
      </c>
      <c r="R60" s="214" t="s">
        <v>39</v>
      </c>
      <c r="S60" s="216"/>
      <c r="T60" s="243">
        <f>IF((تسعير!$AU$14="بالتات"),0,2)</f>
        <v>0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0" s="240">
        <f t="shared" si="7" ca="1"/>
        <v>0</v>
      </c>
      <c r="W60" s="241">
        <f t="shared" si="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التجمع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التجمع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0.030893350650286273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التجمع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0.062737265935965972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0</v>
      </c>
      <c r="N64" s="220" t="s">
        <v>149</v>
      </c>
      <c r="O64" s="211"/>
      <c r="P64" s="211"/>
      <c r="Q64" s="211" t="str">
        <f>تسعير!$AT$4</f>
        <v>التجمع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0</v>
      </c>
      <c r="W64" s="241">
        <f t="shared" si="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التجمع</v>
      </c>
      <c r="R65" s="214"/>
      <c r="S65" s="247">
        <f>SUMIF(Table1769[Column1],Table161267[[#This Row],[موقع العمل]],$AC$2:$AC$20)</f>
        <v>1600</v>
      </c>
      <c r="T65" s="247"/>
      <c r="U65" s="243">
        <f>Table161267[[#This Row],[Column12]]</f>
        <v>1600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1</v>
      </c>
      <c r="N66" s="220" t="s">
        <v>151</v>
      </c>
      <c r="O66" s="211"/>
      <c r="P66" s="211"/>
      <c r="Q66" s="211" t="str">
        <f>تسعير!$AT$4</f>
        <v>التجمع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2300</v>
      </c>
      <c r="W66" s="241">
        <f t="shared" si="8" ca="1"/>
        <v>0.054657466535121865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0</v>
      </c>
      <c r="N67" s="220" t="s">
        <v>15</v>
      </c>
      <c r="O67" s="211"/>
      <c r="P67" s="211"/>
      <c r="Q67" s="211" t="str">
        <f>تسعير!$AT$4</f>
        <v>التجمع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0</v>
      </c>
      <c r="W67" s="241">
        <f t="shared" si="8" ca="1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4390</v>
      </c>
      <c r="T68" s="518"/>
      <c r="U68" s="523"/>
      <c r="V68" s="524">
        <f>SUBTOTAL(109,Table161267[اجمالي])</f>
        <v>10340</v>
      </c>
      <c r="W68" s="525">
        <f>Table161267[[#Totals],[اجمالي]]/$R$71</f>
        <v>0.24572095824920004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42080.252631578944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54704.328421052625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21262D4-D253-436B-869D-E948EB476B43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60000</v>
      </c>
      <c r="T2" s="231">
        <f>Sheet2!B13</f>
        <v>65000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45361.552503680556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510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1710</v>
      </c>
      <c r="V7" s="240">
        <f>M7*U7</f>
        <v>6840</v>
      </c>
      <c r="W7" s="241">
        <f>(V7)/$R$71</f>
        <v>0.0899639205636026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6840</v>
      </c>
      <c r="W8" s="244">
        <f>Table15855[[#Totals],[اجمالي]]/$R$71</f>
        <v>0.0899639205636026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0.0052610479861755904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0.0022359453941246258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0.00098644649740792321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186</v>
      </c>
      <c r="B14" s="195">
        <f>IF((تسعير!BE9=A20),1,0)</f>
        <v>1</v>
      </c>
      <c r="C14" s="195"/>
      <c r="D14" s="195">
        <v>7500</v>
      </c>
      <c r="E14" s="195"/>
      <c r="F14" s="392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0.0063132575834107087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1076.9142857142858</v>
      </c>
      <c r="F17" s="395">
        <f>SUBTOTAL(109,Table823[اجمالي التكلفة])</f>
        <v>37692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0.014796697461118847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420</v>
      </c>
      <c r="V21" s="240">
        <f>M21*U21</f>
        <v>1680</v>
      </c>
      <c r="W21" s="241">
        <f>(V21)/$R$71</f>
        <v>0.022096401541937479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45</v>
      </c>
      <c r="V22" s="240">
        <f>M22*U22</f>
        <v>720</v>
      </c>
      <c r="W22" s="251">
        <f>(V22)/$R$71</f>
        <v>0.0094698863751160635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2400</v>
      </c>
      <c r="W23" s="244">
        <f>Table166241[[#Totals],[اجمالي]]/$R$71</f>
        <v>0.031566287917053543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0.0039808596428728641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0.000591867898444754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0.000591867898444754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0.00098644649740792321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0.0059186789844475392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0.0015783143958526772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0.0029074212555180896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0.040510069493552049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0.059186789844475389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0.072339409809914365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0.0019108126285789749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0.0019108126285789749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0.19241335097808837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37692</v>
      </c>
      <c r="V50" s="240">
        <f>M50*Table16136845[[#This Row],[سعر الشبك ]]</f>
        <v>37692</v>
      </c>
      <c r="W50" s="241">
        <f t="shared" si="6"/>
        <v>0.4957485517373259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37692</v>
      </c>
      <c r="V51" s="240">
        <f>M51*Table16136845[[#This Row],[سعر الشبك ]]</f>
        <v>3769.2000000000003</v>
      </c>
      <c r="W51" s="241">
        <f t="shared" si="6"/>
        <v>0.049574855173732592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41461.2</v>
      </c>
      <c r="W52" s="244">
        <f>Table16136845[[#Totals],[اجمالي]]/$R$71</f>
        <v>0.54532340691105841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0.010522095972351181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0.010522095972351181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0.0052610479861755904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0.0078915719792633857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0.017098405955070669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0.012823804466303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0.031566287917053543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0.030251025920509645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0.12593633616907821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76030.479298245613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98839.6230877193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5BFA2C7-8FA4-4F4F-A270-16EB14F1E39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4" t="s">
        <v>476</v>
      </c>
      <c r="B2" s="324" t="s">
        <v>200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200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182</v>
      </c>
      <c r="F3" s="331">
        <f>Sheet2!B42</f>
        <v>450</v>
      </c>
      <c r="H3" s="568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182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8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202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203</v>
      </c>
      <c r="F5" s="331">
        <f>Sheet2!B44</f>
        <v>175</v>
      </c>
      <c r="H5" s="568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203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8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181</v>
      </c>
      <c r="B7" s="331">
        <v>2</v>
      </c>
      <c r="C7" s="331">
        <v>10.5</v>
      </c>
      <c r="E7" s="331" t="s">
        <v>9</v>
      </c>
      <c r="F7" s="331" t="s">
        <v>30</v>
      </c>
      <c r="H7" s="568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181</v>
      </c>
      <c r="B8" s="331">
        <v>2.5</v>
      </c>
      <c r="C8" s="331">
        <v>11.75</v>
      </c>
      <c r="E8" s="331" t="s">
        <v>178</v>
      </c>
      <c r="F8" s="331">
        <f>Table626[[#This Row],[Column2]]</f>
        <v>50</v>
      </c>
      <c r="H8" s="568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178</v>
      </c>
      <c r="W8" s="331">
        <f>Sheet2!B15/1000</f>
        <v>50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181</v>
      </c>
      <c r="B9" s="331">
        <v>3</v>
      </c>
      <c r="C9" s="331">
        <v>13.5</v>
      </c>
      <c r="E9" s="331" t="s">
        <v>170</v>
      </c>
      <c r="F9" s="331">
        <f>Table626[[#This Row],[Column2]]</f>
        <v>20</v>
      </c>
      <c r="H9" s="568" t="s">
        <v>504</v>
      </c>
      <c r="I9" s="366">
        <v>7</v>
      </c>
      <c r="J9" s="367">
        <v>8</v>
      </c>
      <c r="K9" s="368">
        <f t="shared" si="0"/>
        <v>56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170</v>
      </c>
      <c r="W9" s="331">
        <f>Sheet2!B41</f>
        <v>20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181</v>
      </c>
      <c r="B10" s="331">
        <v>3.3</v>
      </c>
      <c r="C10" s="331">
        <v>16.5</v>
      </c>
      <c r="E10" s="331" t="s">
        <v>227</v>
      </c>
      <c r="F10" s="331">
        <f>W11</f>
        <v>215</v>
      </c>
      <c r="H10" s="568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5"/>
      <c r="B11" s="565"/>
      <c r="C11" s="567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227</v>
      </c>
      <c r="W11" s="331">
        <f>Sheet2!B14/1000</f>
        <v>215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200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201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200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180</v>
      </c>
      <c r="F18" s="323" t="s">
        <v>216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201</v>
      </c>
      <c r="W18" s="339" t="s">
        <v>525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183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180</v>
      </c>
      <c r="W19" s="339" t="s">
        <v>216</v>
      </c>
      <c r="X19" s="323"/>
      <c r="Y19" s="331" t="s">
        <v>202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183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6"/>
      <c r="I24" s="566"/>
      <c r="J24" s="566"/>
      <c r="K24" s="566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60</v>
      </c>
      <c r="E28" s="324">
        <f>Table12[[#This Row],[سعر]]*Table12[[#This Row],[ميزان]]*Table12[[#This Row],[عدد]]</f>
        <v>9360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60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60</v>
      </c>
      <c r="E30" s="324">
        <f>Table12[[#This Row],[سعر]]*Table12[[#This Row],[ميزان]]*Table12[[#This Row],[عدد]]</f>
        <v>3360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72</v>
      </c>
      <c r="E31" s="324">
        <f>Table12[[#This Row],[سعر]]*Table12[[#This Row],[ميزان]]*Table12[[#This Row],[عدد]]</f>
        <v>2160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72</v>
      </c>
      <c r="E32" s="324">
        <f>Table12[[#This Row],[سعر]]*Table12[[#This Row],[ميزان]]*Table12[[#This Row],[عدد]]</f>
        <v>6624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248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60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56448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60</v>
      </c>
      <c r="E50" s="350">
        <f>Table12[[#This Row],[سعر]]*Table12[[#This Row],[ميزان]]*Table12[[#This Row],[عدد]]</f>
        <v>2400</v>
      </c>
      <c r="J50" s="213" t="s">
        <v>155</v>
      </c>
      <c r="K50" s="214"/>
      <c r="L50" s="211"/>
      <c r="M50" s="290"/>
      <c r="N50" s="291">
        <f>N49+N48</f>
        <v>56448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73382.400000000009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60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37603</v>
      </c>
      <c r="F54" s="353">
        <f>Table12[[#Totals],[Column5]]/(تسعير!T54*تسعير!T55/10000)</f>
        <v>1504.12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60</v>
      </c>
      <c r="E61" s="324">
        <f>Table1257[[#This Row],[سعر]]*Table1257[[#This Row],[ميزان]]*Table1257[[#This Row],[عدد]]</f>
        <v>9360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60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60</v>
      </c>
      <c r="E63" s="324">
        <f>Table1257[[#This Row],[سعر]]*Table1257[[#This Row],[ميزان]]*Table1257[[#This Row],[عدد]]</f>
        <v>3360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72</v>
      </c>
      <c r="E64" s="324">
        <f>Table1257[[#This Row],[سعر]]*Table1257[[#This Row],[ميزان]]*Table1257[[#This Row],[عدد]]</f>
        <v>6480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72</v>
      </c>
      <c r="E65" s="324">
        <f>Table1257[[#This Row],[سعر]]*Table1257[[#This Row],[ميزان]]*Table1257[[#This Row],[عدد]]</f>
        <v>6624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248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60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68408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68408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60</v>
      </c>
      <c r="E84" s="350">
        <f>Table1257[[#This Row],[سعر]]*Table1257[[#This Row],[ميزان]]*Table1257[[#This Row],[عدد]]</f>
        <v>1800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92350.8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60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42758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95FB7D9-2319-4210-B8B8-7074ABC1068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174</v>
      </c>
      <c r="H1" s="547" t="str">
        <f>تسعير!AT26</f>
        <v>خشبي</v>
      </c>
      <c r="I1" s="548">
        <v>125000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60000</v>
      </c>
      <c r="T2" s="231">
        <f>Sheet2!B13</f>
        <v>65000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3">
        <f>NOW()</f>
        <v>45361.552503865743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45361.552503865743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3420</v>
      </c>
      <c r="V6" s="240">
        <f>M6*U6</f>
        <v>6840</v>
      </c>
      <c r="W6" s="241">
        <f>(V6)/$R$68</f>
        <v>0.036181765765384524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3420</v>
      </c>
      <c r="BQ6" s="240">
        <f>BH6*BP6</f>
        <v>3420</v>
      </c>
      <c r="BR6" s="241">
        <f>(BQ6)/$R$68</f>
        <v>0.018090882882692262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2220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2220</v>
      </c>
      <c r="BQ7" s="240">
        <f>BH7*BP7</f>
        <v>8880</v>
      </c>
      <c r="BR7" s="241">
        <f>(BQ7)/$R$68</f>
        <v>0.046972818712955347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300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300</v>
      </c>
      <c r="BQ8" s="240">
        <f>BH8*BP8</f>
        <v>1200</v>
      </c>
      <c r="BR8" s="241">
        <f>(BQ8)/$R$68</f>
        <v>0.0063476782044534254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600</v>
      </c>
      <c r="F9" s="550">
        <f>E9*B9</f>
        <v>1200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5040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5040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17</v>
      </c>
      <c r="F10" s="550">
        <f>E10*C10</f>
        <v>1088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12</v>
      </c>
      <c r="F11" s="550">
        <f>E11*C11</f>
        <v>768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6840</v>
      </c>
      <c r="W11" s="244">
        <f>Table15880[[#Totals],[اجمالي]]/$R$68</f>
        <v>0.036181765765384524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13500</v>
      </c>
      <c r="BR11" s="244">
        <f>Table1588090[[#Totals],[اجمالي]]/$R$68</f>
        <v>0.071411379800101038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150</v>
      </c>
      <c r="F12" s="550">
        <f>Table80102114[[#This Row],[wt/m]]*Table80102114[[#This Row],[عدد]]</f>
        <v>150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150</v>
      </c>
      <c r="F13" s="550">
        <f>C13*E13</f>
        <v>600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186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200</v>
      </c>
      <c r="F14" s="550">
        <f>C14*E14</f>
        <v>1600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0.0042317854696356169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4910.4825</v>
      </c>
      <c r="AX14" s="194"/>
      <c r="AY14" s="194"/>
      <c r="AZ14" s="194"/>
      <c r="BA14" s="194">
        <f>SUBTOTAL(109,Table8091[price])</f>
        <v>89281.5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0.0042317854696356169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90</v>
      </c>
      <c r="F15" s="550">
        <f>C15*E15</f>
        <v>5760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0.00089925441229756853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0.00089925441229756853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90</v>
      </c>
      <c r="F16" s="550">
        <f>C16*E16</f>
        <v>5760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0.00039672988777833909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0.00039672988777833909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0.00253907128178137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5</v>
      </c>
      <c r="F18" s="550">
        <f>C18*E18</f>
        <v>615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49" t="s">
        <v>588</v>
      </c>
      <c r="B19" s="550" t="s">
        <v>589</v>
      </c>
      <c r="C19" s="550">
        <f>ROUNDUP((B3/3),0)</f>
        <v>11</v>
      </c>
      <c r="D19" s="550" t="s">
        <v>28</v>
      </c>
      <c r="E19" s="550">
        <v>175</v>
      </c>
      <c r="F19" s="550">
        <f>C19*E19</f>
        <v>1925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0.0055277697697115246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0.008066841051492895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C19</f>
        <v>11</v>
      </c>
      <c r="D20" s="550" t="s">
        <v>28</v>
      </c>
      <c r="E20" s="550">
        <v>40</v>
      </c>
      <c r="F20" s="550">
        <f>E20*C20</f>
        <v>440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28</v>
      </c>
      <c r="C21" s="550">
        <v>2</v>
      </c>
      <c r="D21" s="550" t="s">
        <v>28</v>
      </c>
      <c r="E21" s="550">
        <v>300</v>
      </c>
      <c r="F21" s="550">
        <f>E21*C21</f>
        <v>600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186</v>
      </c>
      <c r="B22" s="550" t="s">
        <v>28</v>
      </c>
      <c r="C22" s="550">
        <v>1</v>
      </c>
      <c r="D22" s="550" t="s">
        <v>28</v>
      </c>
      <c r="E22" s="550">
        <v>5000</v>
      </c>
      <c r="F22" s="550">
        <f>E22*C22</f>
        <v>5000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720</v>
      </c>
      <c r="V22" s="240">
        <f>M22*U22</f>
        <v>1440</v>
      </c>
      <c r="W22" s="249">
        <f>(V22)/$R$68</f>
        <v>0.00761721384534411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720</v>
      </c>
      <c r="BQ22" s="240">
        <f>BH22*BP22</f>
        <v>1440</v>
      </c>
      <c r="BR22" s="249">
        <f>(BQ22)/$R$68</f>
        <v>0.00761721384534411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8" t="s">
        <v>58</v>
      </c>
      <c r="B23" s="559">
        <f>(Table80102114[[#Totals],[price]]*1.1)/(F1*D1/10000)</f>
        <v>7257.4700000000012</v>
      </c>
      <c r="C23" s="560"/>
      <c r="D23" s="560"/>
      <c r="E23" s="560"/>
      <c r="F23" s="560">
        <f>SUBTOTAL(109,Table80102114[price])</f>
        <v>131954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420</v>
      </c>
      <c r="V23" s="240">
        <f>M23*U23</f>
        <v>840</v>
      </c>
      <c r="W23" s="241">
        <f>(V23)/$R$68</f>
        <v>0.0044433747431173974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420</v>
      </c>
      <c r="BQ23" s="240">
        <f>BH23*BP23</f>
        <v>840</v>
      </c>
      <c r="BR23" s="241">
        <f>(BQ23)/$R$68</f>
        <v>0.0044433747431173974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45</v>
      </c>
      <c r="V24" s="240">
        <f>M24*U24</f>
        <v>360</v>
      </c>
      <c r="W24" s="251">
        <f>(V24)/$R$68</f>
        <v>0.0019043034613360275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45</v>
      </c>
      <c r="BQ24" s="240">
        <f>BH24*BP24</f>
        <v>360</v>
      </c>
      <c r="BR24" s="251">
        <f>(BQ24)/$R$68</f>
        <v>0.0019043034613360275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2640</v>
      </c>
      <c r="W25" s="244">
        <f>Table166273[[#Totals],[اجمالي]]/$R$68</f>
        <v>0.013964892049797536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2640</v>
      </c>
      <c r="BR25" s="244">
        <f>Table16627383[[#Totals],[اجمالي]]/$R$68</f>
        <v>0.013964892049797536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608.00000000000011</v>
      </c>
      <c r="W28" s="241">
        <f ref="W28:W42" t="shared" si="9" ca="1">(V28)/$R$68</f>
        <v>0.0032161569569230694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904.00000000000011</v>
      </c>
      <c r="BR28" s="241">
        <f ref="BR28:BR41" t="shared" si="11" ca="1">(BQ28)/$R$68</f>
        <v>0.0047819175806882476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0.00031738391022267124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0.00028564551920040414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0.00031738391022267124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0.00028564551920040414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0.00021158927348178085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0.00013224329592611303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0.00079345977555667817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0.00079345977555667817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0.0004231785469635617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0.0004231785469635617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2000</v>
      </c>
      <c r="W34" s="251">
        <f t="shared" si="9" ca="1"/>
        <v>0.010579463674089042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2750</v>
      </c>
      <c r="BR34" s="251">
        <f t="shared" si="11" ca="1"/>
        <v>0.014546762551872433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630</v>
      </c>
      <c r="W35" s="251">
        <f t="shared" si="9" ca="1"/>
        <v>0.0033325310573380481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735</v>
      </c>
      <c r="BR35" s="251">
        <f t="shared" si="11" ca="1"/>
        <v>0.0038879529002277232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2550</v>
      </c>
      <c r="W36" s="251">
        <f t="shared" si="9" ca="1"/>
        <v>0.013488816184463529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3570</v>
      </c>
      <c r="BR36" s="251">
        <f t="shared" si="11" ca="1"/>
        <v>0.01888434265824894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0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0</v>
      </c>
      <c r="W38" s="251">
        <f t="shared" si="9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0.0440211483478845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6178</v>
      </c>
      <c r="W43" s="244">
        <f>Table135971[[#Totals],[اجمالي]]/$R$68</f>
        <v>0.032679963289261052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89281.5</v>
      </c>
      <c r="BQ46" s="252">
        <f>BH46*Table1613687787[[#This Row],[سعر الشبك ]]</f>
        <v>89281.5</v>
      </c>
      <c r="BR46" s="241">
        <f>(BQ46)/$R$68</f>
        <v>0.47227519300909038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131954</v>
      </c>
      <c r="V47" s="252">
        <f>M47*Table16136877[[#This Row],[سعر الشبك ]]</f>
        <v>131954</v>
      </c>
      <c r="W47" s="241">
        <f>(V47)/$R$68</f>
        <v>0.69800127482537278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89281.5</v>
      </c>
      <c r="BQ47" s="240">
        <f>BH47*Table1613687787[[#This Row],[سعر الشبك ]]</f>
        <v>8928.15</v>
      </c>
      <c r="BR47" s="241">
        <f>(BQ47)/$R$68</f>
        <v>0.047227519300909036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131954</v>
      </c>
      <c r="V48" s="240">
        <f>M48*Table16136877[[#This Row],[سعر الشبك ]]</f>
        <v>32988.5</v>
      </c>
      <c r="W48" s="241">
        <f>(V48)/$R$68</f>
        <v>0.17450031870634319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98209.65</v>
      </c>
      <c r="BR48" s="244">
        <f>Table1613687787[[#Totals],[اجمالي]]/$R$68</f>
        <v>0.51950271230999945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164942.5</v>
      </c>
      <c r="W49" s="244">
        <f>Table16136877[[#Totals],[اجمالي]]/$R$68</f>
        <v>0.87250159353171586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0.0019572007797064726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0.0021158927348178085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0.0019572007797064726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0.0021158927348178085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0.0058716023391194184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0.0063476782044534254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0.013118534955870412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0.0084635709392712338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0.0098389012169028088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0.0063476782044534254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0.013118534955870412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0.0084635709392712338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0.013964892049797536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0.011901896633350173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1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2300</v>
      </c>
      <c r="BR62" s="267">
        <f t="shared" si="16" ca="1"/>
        <v>0.012166383225202398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1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1000</v>
      </c>
      <c r="W63" s="241">
        <f t="shared" si="18" ca="1"/>
        <v>0.0052897318370445211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0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0</v>
      </c>
      <c r="BR63" s="267">
        <f t="shared" si="16" ca="1"/>
        <v>0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0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15860</v>
      </c>
      <c r="BR64" s="289">
        <f>Table1612677686[[#Totals],[اجمالي]]/$R$68</f>
        <v>0.0838951469355261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7400</v>
      </c>
      <c r="W65" s="525">
        <f>Table16126776[[#Totals],[اجمالي]]/$R$68</f>
        <v>0.039144015594129458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140056.65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189045.5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182073.645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283568.25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60000</v>
      </c>
      <c r="T73" s="303">
        <f>Sheet2!B13</f>
        <v>65000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45361.552503865743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427</v>
      </c>
      <c r="D74" s="547">
        <f>تسعير!BE34</f>
        <v>500</v>
      </c>
      <c r="E74" s="546" t="s">
        <v>125</v>
      </c>
      <c r="F74" s="547">
        <f>تسعير!BE33</f>
        <v>400</v>
      </c>
      <c r="G74" s="546" t="s">
        <v>174</v>
      </c>
      <c r="H74" s="547" t="str">
        <f>تسعير!BE26</f>
        <v>خشبي</v>
      </c>
      <c r="I74" s="548">
        <v>125000</v>
      </c>
      <c r="J74" s="548"/>
      <c r="K74" s="167"/>
      <c r="L74" s="636" t="s">
        <v>17</v>
      </c>
      <c r="M74" s="636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4">
        <f>NOW()</f>
        <v>45361.552503865743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32</v>
      </c>
      <c r="C76" s="553">
        <f>F74-16.5</f>
        <v>383.5</v>
      </c>
      <c r="D76" s="550" t="s">
        <v>564</v>
      </c>
      <c r="E76" s="550">
        <v>2.3</v>
      </c>
      <c r="F76" s="550">
        <f ref="F76:F81" t="shared" si="21">IF(($H$74="سادة"),(J76*H76*E76*($U$73+12000)/1000),(J76*H76*E76*($U$73+40000)/1000))</f>
        <v>75072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4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5040</v>
      </c>
      <c r="BQ76" s="240">
        <f>BH76*BP76</f>
        <v>10080</v>
      </c>
      <c r="BR76" s="241">
        <f>(BQ76)/$R$68</f>
        <v>0.053320496917408769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400</v>
      </c>
      <c r="D77" s="550" t="s">
        <v>564</v>
      </c>
      <c r="E77" s="550">
        <v>3.8</v>
      </c>
      <c r="F77" s="550">
        <f t="shared" si="21"/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4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5040</v>
      </c>
      <c r="V77" s="240">
        <f>M77*U77</f>
        <v>20160</v>
      </c>
      <c r="W77" s="241">
        <f>(V77)/$R$68</f>
        <v>0.10664099383481754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2220</v>
      </c>
      <c r="BQ77" s="240">
        <f>BH77*BP77</f>
        <v>8880</v>
      </c>
      <c r="BR77" s="241">
        <f>(BQ77)/$R$68</f>
        <v>0.046972818712955347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500</v>
      </c>
      <c r="D78" s="550" t="s">
        <v>564</v>
      </c>
      <c r="E78" s="550">
        <v>3.8</v>
      </c>
      <c r="F78" s="550">
        <f t="shared" si="21"/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4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2220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300</v>
      </c>
      <c r="BQ78" s="240">
        <f>BH78*BP78</f>
        <v>1200</v>
      </c>
      <c r="BR78" s="241">
        <f>(BQ78)/$R$68</f>
        <v>0.0063476782044534254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400</v>
      </c>
      <c r="D79" s="550" t="s">
        <v>564</v>
      </c>
      <c r="E79" s="550">
        <v>1.7</v>
      </c>
      <c r="F79" s="550">
        <f t="shared" si="21"/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4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300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5040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500</v>
      </c>
      <c r="D80" s="550" t="s">
        <v>564</v>
      </c>
      <c r="E80" s="550">
        <v>1.7</v>
      </c>
      <c r="F80" s="550">
        <f t="shared" si="21"/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4">
        <f t="shared" si="23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5040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383.5</v>
      </c>
      <c r="D81" s="550" t="s">
        <v>564</v>
      </c>
      <c r="E81" s="550">
        <v>0.65</v>
      </c>
      <c r="F81" s="550">
        <f t="shared" si="21"/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4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20160</v>
      </c>
      <c r="BR81" s="244">
        <f>Table15880101112[[#Totals],[اجمالي]]/$R$68</f>
        <v>0.10664099383481754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487.59999999999997</v>
      </c>
      <c r="D82" s="550" t="s">
        <v>564</v>
      </c>
      <c r="E82" s="550">
        <v>600</v>
      </c>
      <c r="F82" s="550">
        <f>E82*B82</f>
        <v>1200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20160</v>
      </c>
      <c r="W82" s="244">
        <f>Table15880101[[#Totals],[اجمالي]]/$R$68</f>
        <v>0.10664099383481754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64</v>
      </c>
      <c r="D83" s="550" t="s">
        <v>28</v>
      </c>
      <c r="E83" s="550">
        <v>17</v>
      </c>
      <c r="F83" s="550">
        <f>E83*C83</f>
        <v>1088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64</v>
      </c>
      <c r="D84" s="550" t="s">
        <v>28</v>
      </c>
      <c r="E84" s="550">
        <v>12</v>
      </c>
      <c r="F84" s="550">
        <f>E84*C84</f>
        <v>768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186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0.0063476782044534254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150</v>
      </c>
      <c r="F85" s="550">
        <f>Table80102114115[[#This Row],[wt/m]]*Table80102114115[[#This Row],[عدد]]</f>
        <v>150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0.0042317854696356169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4910.4825</v>
      </c>
      <c r="AX85" s="310"/>
      <c r="AY85" s="310"/>
      <c r="AZ85" s="310"/>
      <c r="BA85" s="310">
        <f>SUBTOTAL(109,Table80102113[price])</f>
        <v>89281.5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0.00089925441229756853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150</v>
      </c>
      <c r="F86" s="550">
        <f>C86*E86</f>
        <v>600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0.00089925441229756853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0.00039672988777833909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200</v>
      </c>
      <c r="F87" s="550">
        <f>C87*E87</f>
        <v>1600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0.00039672988777833909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0.00253907128178137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64</v>
      </c>
      <c r="D88" s="550" t="s">
        <v>28</v>
      </c>
      <c r="E88" s="550">
        <v>90</v>
      </c>
      <c r="F88" s="550">
        <f>C88*E88</f>
        <v>5760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64</v>
      </c>
      <c r="D89" s="550" t="s">
        <v>28</v>
      </c>
      <c r="E89" s="550">
        <v>90</v>
      </c>
      <c r="F89" s="550">
        <f>C89*E89</f>
        <v>5760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5"/>
        <v>4800</v>
      </c>
      <c r="W89" s="241">
        <f>(V89)/$R$68</f>
        <v>0.0253907128178137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0.010182733786310703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0.030918482587525227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123</v>
      </c>
      <c r="D91" s="550" t="s">
        <v>564</v>
      </c>
      <c r="E91" s="550">
        <v>5</v>
      </c>
      <c r="F91" s="550">
        <f>C91*E91</f>
        <v>615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49" t="s">
        <v>588</v>
      </c>
      <c r="B92" s="550" t="s">
        <v>589</v>
      </c>
      <c r="C92" s="550">
        <f>ROUNDUP((B76/3),0)</f>
        <v>11</v>
      </c>
      <c r="D92" s="550" t="s">
        <v>28</v>
      </c>
      <c r="E92" s="550">
        <v>175</v>
      </c>
      <c r="F92" s="550">
        <f>C92*E92</f>
        <v>1925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720</v>
      </c>
      <c r="BQ92" s="240">
        <f>BH92*BP92</f>
        <v>2880</v>
      </c>
      <c r="BR92" s="249">
        <f>(BQ92)/$R$68</f>
        <v>0.01523442769068822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C92</f>
        <v>11</v>
      </c>
      <c r="D93" s="550" t="s">
        <v>28</v>
      </c>
      <c r="E93" s="550">
        <v>40</v>
      </c>
      <c r="F93" s="550">
        <f>E93*C93</f>
        <v>440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720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420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28</v>
      </c>
      <c r="C94" s="550">
        <v>2</v>
      </c>
      <c r="D94" s="550" t="s">
        <v>28</v>
      </c>
      <c r="E94" s="550">
        <v>300</v>
      </c>
      <c r="F94" s="550">
        <f>E94*C94</f>
        <v>600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420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45</v>
      </c>
      <c r="BQ94" s="240">
        <f>BH94*BP94</f>
        <v>720</v>
      </c>
      <c r="BR94" s="251">
        <f>(BQ94)/$R$68</f>
        <v>0.003808606922672055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186</v>
      </c>
      <c r="B95" s="550" t="s">
        <v>28</v>
      </c>
      <c r="C95" s="550">
        <v>1</v>
      </c>
      <c r="D95" s="550" t="s">
        <v>28</v>
      </c>
      <c r="E95" s="550">
        <v>5000</v>
      </c>
      <c r="F95" s="550">
        <f>E95*C95</f>
        <v>5000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3600</v>
      </c>
      <c r="BR95" s="244">
        <f>Table16627394105[[#Totals],[اجمالي]]/$R$68</f>
        <v>0.019043034613360276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8" t="s">
        <v>58</v>
      </c>
      <c r="B96" s="559">
        <f>(Table80102114115[[#Totals],[price]]*1.1)/(F74*D74/10000)</f>
        <v>7257.4700000000012</v>
      </c>
      <c r="C96" s="560"/>
      <c r="D96" s="560"/>
      <c r="E96" s="560"/>
      <c r="F96" s="560">
        <f>SUBTOTAL(109,Table80102114115[price])</f>
        <v>131954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6">BH98*BP98</f>
        <v>1014.6666666666666</v>
      </c>
      <c r="BR98" s="241">
        <f ref="BR98:BR112" t="shared" si="27" ca="1">(BQ98)/$R$68</f>
        <v>0.0053673145706545069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0.00028564551920040414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0.00031738391022267124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0.00028564551920040414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0.00031738391022267124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0.00013224329592611303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0.00021158927348178085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0.00079345977555667817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0.00079345977555667817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0.0004231785469635617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0.0004231785469635617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0.006612164796305651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0.0033325310573380481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0.0022216873715586987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4080</v>
      </c>
      <c r="BR106" s="251">
        <f t="shared" si="27" ca="1"/>
        <v>0.021582105895141646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450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550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1"/>
        <v>6750</v>
      </c>
      <c r="W110" s="251">
        <f t="shared" si="29" ca="1"/>
        <v>0.035705689900050519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1"/>
        <v>8250</v>
      </c>
      <c r="W111" s="251">
        <f t="shared" si="29" ca="1"/>
        <v>0.043640287655617296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0.0042317854696356169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0.038814288976287012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16610</v>
      </c>
      <c r="W114" s="525">
        <f>Table13597192[[#Totals],[اجمالي]]/$R$68</f>
        <v>0.0878624458133095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89281.5</v>
      </c>
      <c r="BQ117" s="252">
        <f>BH117*Table1613687798109[[#This Row],[سعر الشبك ]]</f>
        <v>89281.5</v>
      </c>
      <c r="BR117" s="241">
        <f>(BQ117)/$R$68</f>
        <v>0.47227519300909038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F96</f>
        <v>131954</v>
      </c>
      <c r="V118" s="252">
        <f>M118*Table1613687798[[#This Row],[سعر الشبك ]]</f>
        <v>131954</v>
      </c>
      <c r="W118" s="241">
        <f>(V118)/$R$68</f>
        <v>0.69800127482537278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89281.5</v>
      </c>
      <c r="BQ118" s="240">
        <f>BH118*Table1613687798109[[#This Row],[سعر الشبك ]]</f>
        <v>8928.15</v>
      </c>
      <c r="BR118" s="241">
        <f>(BQ118)/$R$68</f>
        <v>0.047227519300909036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131954</v>
      </c>
      <c r="V119" s="240">
        <f>M119*Table1613687798[[#This Row],[سعر الشبك ]]</f>
        <v>32988.5</v>
      </c>
      <c r="W119" s="241">
        <f>(V119)/$R$68</f>
        <v>0.17450031870634319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98209.65</v>
      </c>
      <c r="BR119" s="244">
        <f>Table1613687798109[[#Totals],[اجمالي]]/$R$68</f>
        <v>0.51950271230999945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164942.5</v>
      </c>
      <c r="W120" s="244">
        <f>Table1613687798[[#Totals],[اجمالي]]/$R$68</f>
        <v>0.87250159353171586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0.0019572007797064726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0.0021158927348178085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0.0019572007797064726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0.0021158927348178085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0.0058716023391194184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0.0063476782044534254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0.013118534955870412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0.0084635709392712338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0.0098389012169028088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0.0063476782044534254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0.013118534955870412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0.0084635709392712338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0.013964892049797536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0.011901896633350173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1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2300</v>
      </c>
      <c r="BR133" s="241">
        <f t="shared" si="34" ca="1"/>
        <v>0.012166383225202398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1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1000</v>
      </c>
      <c r="W134" s="241">
        <f t="shared" si="36" ca="1"/>
        <v>0.0052897318370445211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0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0</v>
      </c>
      <c r="BR134" s="241">
        <f t="shared" si="34" ca="1"/>
        <v>0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0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15860</v>
      </c>
      <c r="BR135" s="289">
        <f>Table1612677697108[[#Totals],[اجمالي]]/$R$68</f>
        <v>0.0838951469355261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1500</v>
      </c>
      <c r="T136" s="518"/>
      <c r="U136" s="523"/>
      <c r="V136" s="524">
        <f>SUBTOTAL(109,Table1612677697[اجمالي])</f>
        <v>7400</v>
      </c>
      <c r="W136" s="525">
        <f>Table1612677697[[#Totals],[اجمالي]]/$R$68</f>
        <v>0.039144015594129458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147092.31666666665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214957.5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191220.01166666666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322436.25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12164ACC-2B46-44DC-AA5B-8AE3041AD3D8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9" t="s">
        <v>422</v>
      </c>
      <c r="K1" s="649"/>
      <c r="L1" s="649"/>
      <c r="M1" s="649"/>
      <c r="N1" s="649"/>
      <c r="O1" s="649"/>
      <c r="P1" s="649"/>
      <c r="Q1" s="649"/>
      <c r="R1" s="649"/>
      <c r="S1" s="649"/>
    </row>
    <row r="2" ht="18" customHeight="1">
      <c r="A2" s="11" t="s">
        <v>360</v>
      </c>
      <c r="B2" s="638">
        <f>Royal!C3</f>
        <v>0</v>
      </c>
      <c r="C2" s="639"/>
      <c r="D2" s="639"/>
      <c r="E2" s="639"/>
      <c r="F2" s="640"/>
      <c r="G2" s="1">
        <v>1</v>
      </c>
      <c r="J2" s="649"/>
      <c r="K2" s="649"/>
      <c r="L2" s="649"/>
      <c r="M2" s="649"/>
      <c r="N2" s="649"/>
      <c r="O2" s="649"/>
      <c r="P2" s="649"/>
      <c r="Q2" s="649"/>
      <c r="R2" s="649"/>
      <c r="S2" s="649"/>
    </row>
    <row r="3" ht="18" customHeight="1">
      <c r="A3" s="11" t="s">
        <v>423</v>
      </c>
      <c r="F3" s="641" t="s">
        <v>424</v>
      </c>
      <c r="G3" s="641"/>
    </row>
    <row r="4" ht="18" customHeight="1">
      <c r="A4" s="11" t="s">
        <v>292</v>
      </c>
      <c r="F4" s="642" t="s">
        <v>425</v>
      </c>
      <c r="G4" s="643"/>
      <c r="H4" s="643"/>
      <c r="I4" s="644"/>
      <c r="J4" s="10"/>
    </row>
    <row r="5" ht="18" customHeight="1">
      <c r="A5" s="11" t="s">
        <v>293</v>
      </c>
      <c r="F5" s="645" t="s">
        <v>426</v>
      </c>
      <c r="G5" s="646"/>
      <c r="H5" s="646"/>
      <c r="I5" s="647"/>
      <c r="J5" s="10"/>
    </row>
    <row r="6" ht="18" customHeight="1">
      <c r="A6" s="11" t="s">
        <v>364</v>
      </c>
      <c r="Q6" s="648"/>
      <c r="R6" s="648"/>
      <c r="S6" s="648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50" t="s">
        <v>428</v>
      </c>
      <c r="C11" s="651"/>
      <c r="D11" s="646" t="s">
        <v>429</v>
      </c>
      <c r="E11" s="647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8"/>
      <c r="R15" s="648"/>
      <c r="S15" s="648"/>
    </row>
    <row r="16" ht="18" customHeight="1">
      <c r="C16" s="641" t="s">
        <v>431</v>
      </c>
      <c r="D16" s="641"/>
      <c r="E16" s="641"/>
      <c r="F16" s="1" t="s">
        <v>432</v>
      </c>
    </row>
    <row r="17" ht="18" customHeight="1">
      <c r="A17" s="641" t="s">
        <v>297</v>
      </c>
      <c r="B17" s="641"/>
      <c r="C17" s="641"/>
    </row>
    <row r="18" ht="18" customHeight="1">
      <c r="A18" s="652" t="s">
        <v>433</v>
      </c>
      <c r="B18" s="653"/>
      <c r="C18" s="14">
        <f>'Format Φωτισμου'!B9</f>
        <v>5</v>
      </c>
    </row>
    <row r="19" ht="18" customHeight="1">
      <c r="A19" s="652" t="s">
        <v>434</v>
      </c>
      <c r="B19" s="653"/>
      <c r="C19" s="14">
        <f>'Format Φωτισμου'!B12</f>
        <v>15</v>
      </c>
    </row>
    <row r="20" ht="18" customHeight="1">
      <c r="A20" s="652" t="s">
        <v>435</v>
      </c>
      <c r="B20" s="653"/>
      <c r="C20" s="14">
        <f>C19/C18</f>
        <v>3</v>
      </c>
    </row>
    <row r="21" ht="18" customHeight="1">
      <c r="A21" s="654" t="s">
        <v>436</v>
      </c>
      <c r="B21" s="655"/>
      <c r="C21" s="656">
        <v>20</v>
      </c>
      <c r="D21" s="657"/>
      <c r="E21" s="650" t="s">
        <v>437</v>
      </c>
      <c r="F21" s="651"/>
      <c r="G21" s="651"/>
      <c r="H21" s="14">
        <f>C21/C18</f>
        <v>4</v>
      </c>
      <c r="J21" s="659"/>
      <c r="K21" s="659"/>
      <c r="L21" s="659"/>
      <c r="M21" s="659"/>
      <c r="N21" s="659"/>
      <c r="O21" s="659"/>
      <c r="P21" s="659"/>
      <c r="Q21" s="659"/>
      <c r="R21" s="659"/>
      <c r="S21" s="659"/>
    </row>
    <row r="22" ht="18" customHeight="1">
      <c r="A22" s="652" t="s">
        <v>438</v>
      </c>
      <c r="B22" s="653"/>
      <c r="C22" s="179">
        <v>50</v>
      </c>
      <c r="D22" s="184" t="s">
        <v>439</v>
      </c>
      <c r="J22" s="659"/>
      <c r="K22" s="659"/>
      <c r="L22" s="659"/>
      <c r="M22" s="659"/>
      <c r="N22" s="659"/>
      <c r="O22" s="659"/>
      <c r="P22" s="659"/>
      <c r="Q22" s="659"/>
      <c r="R22" s="659"/>
      <c r="S22" s="659"/>
    </row>
    <row r="23" ht="18" customHeight="1">
      <c r="J23" s="659"/>
      <c r="K23" s="659"/>
      <c r="L23" s="659"/>
      <c r="M23" s="659"/>
      <c r="N23" s="659"/>
      <c r="O23" s="659"/>
      <c r="P23" s="659"/>
      <c r="Q23" s="659"/>
      <c r="R23" s="659"/>
      <c r="S23" s="659"/>
    </row>
    <row r="24" ht="18" customHeight="1"/>
    <row r="25" ht="18" customHeight="1">
      <c r="A25" s="11" t="s">
        <v>440</v>
      </c>
      <c r="J25" s="658"/>
      <c r="K25" s="658"/>
      <c r="L25" s="658"/>
      <c r="M25" s="658"/>
      <c r="N25" s="658"/>
      <c r="O25" s="658"/>
      <c r="P25" s="658"/>
      <c r="Q25" s="658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8"/>
      <c r="K27" s="648"/>
      <c r="L27" s="648"/>
      <c r="M27" s="648"/>
      <c r="N27" s="648"/>
      <c r="O27" s="648"/>
      <c r="P27" s="648"/>
      <c r="Q27" s="648"/>
      <c r="R27" s="648"/>
      <c r="S27" s="648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2024-02-28T13:56:49Z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