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<sst xmlns="http://schemas.openxmlformats.org/spreadsheetml/2006/main" count="598" uniqueCount="598">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</sst>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58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83" totalsRowDxfId="17"/>
    <tableColumn id="2" name="عدد" dataDxfId="180" totalsRowDxfId="17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BP28</calculatedColumnFormula>
    </tableColumn>
    <tableColumn id="8" name="اجمالي" totalsRowFunction="sum" dataDxfId="176" totalsRowDxfId="15">
      <calculatedColumnFormula>BH98*BP99</calculatedColumnFormula>
    </tableColumn>
    <tableColumn id="9" name="%" totalsRowFunction="custom" totalsRowDxfId="1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83" totalsRowDxfId="17"/>
    <tableColumn id="2" name="عدد" dataDxfId="180" totalsRowDxfId="17">
      <calculatedColumnFormula>IF((#REF!="بالتات"),0,4)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09" totalsRowDxfId="16">
      <calculatedColumnFormula>Sheet2!AW26</calculatedColumnFormula>
    </tableColumn>
    <tableColumn id="8" name="اجمالي" totalsRowFunction="sum" dataDxfId="176" totalsRowDxfId="15">
      <calculatedColumnFormula>BH84*BP84</calculatedColumnFormula>
    </tableColumn>
    <tableColumn id="9" name="%" totalsRowFunction="custom" totalsRowDxfId="1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83"/>
    <tableColumn id="2" name="عدد" totalsRowFunction="sum" dataDxfId="183">
      <calculatedColumnFormula>BH90*4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name="الوحده" dataDxfId="183"/>
    <tableColumn id="5" name="الوزن" totalsRowFunction="custom">
      <totalsRowFormula>(BN93*BH93)+(BH94*BN94)</totalsRowFormula>
    </tableColumn>
    <tableColumn id="6" name="سعر الكيلو" dataDxfId="180"/>
    <tableColumn id="7" name="سعر الشبك " dataDxfId="240">
      <calculatedColumnFormula>BN92*$S$2/1000</calculatedColumnFormula>
    </tableColumn>
    <tableColumn id="8" name="اجمالي" totalsRowFunction="sum" dataDxfId="17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83" totalsRowDxfId="17"/>
    <tableColumn id="2" name="عدد" dataDxfId="196" totalsRowDxfId="17">
      <calculatedColumnFormula>IF((تسعير!$AU$14="بالتات"),0,BH119-2)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SUMIF(Table17697899110[Column1],Table1612677697108[[#This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Table1612677697108[[#This Row],[Column12]]</calculatedColumnFormula>
    </tableColumn>
    <tableColumn id="8" name="اجمالي" totalsRowFunction="sum" dataDxfId="176" totalsRowDxfId="15">
      <calculatedColumnFormula>BH122*BP122</calculatedColumnFormula>
    </tableColumn>
    <tableColumn id="9" name="%" totalsRowFunction="custom" totalsRowDxfId="14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98"/>
    <tableColumn id="2" name="عدد" dataDxfId="196">
      <calculatedColumnFormula>IF((BL133="الاسكندرية"),0.25,0.1)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BQ116</calculatedColumnFormula>
    </tableColumn>
    <tableColumn id="8" name="اجمالي" totalsRowFunction="sum" dataDxfId="17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IF((BL133="المقطم"),0.3,IF((BL133="التجمع"),0.3,IF((BL133="الشيخ زايد"),0.3,IF((BL133="الاسكندرية"),0.5,0.35))))</calculatedColumnFormula>
    </tableColumn>
    <tableColumn id="2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83" totalsRowDxfId="17"/>
    <tableColumn id="2" name="عدد" dataDxfId="183" totalsRowDxfId="17">
      <calculatedColumnFormula>IF(OR((BI69="B11"),(BI69="B12"),(BI69="B21"),(BI69="B22"),(BI69="B31"),(BI69="B32")),3,0)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(Table15880101112[[#This Row],[Column1]]+Table15880101112[[#This Row],[Column2]])*12*Table15880101112[[#This Row],[عدد]]</calculatedColumnFormula>
    </tableColumn>
    <tableColumn id="4" name="الوحده" dataDxfId="183" totalsRowDxfId="17"/>
    <tableColumn id="5" name="الوزن" totalsRowFunction="custom" totalsRowDxfId="17">
      <totalsRowFormula>(BN76*BH76)+(BN77*BH77)+(BN78*BH78)+(BN79*BH79)</totalsRowFormula>
    </tableColumn>
    <tableColumn id="6" name="اجمالي المسطح" totalsRowFunction="sum" dataDxfId="180" totalsRowDxfId="17">
      <calculatedColumnFormula>Table15880101112[[#This Row],[المسطح]]*Table15880101112[[#This Row],[عدد]]</calculatedColumnFormula>
    </tableColumn>
    <tableColumn id="7" name="سعر الشبك " dataDxfId="178" totalsRowDxfId="16">
      <calculatedColumnFormula>BN76*$S$2/1000</calculatedColumnFormula>
    </tableColumn>
    <tableColumn id="8" name="اجمالي" totalsRowFunction="sum" dataDxfId="176" totalsRowDxfId="15">
      <calculatedColumnFormula>BH76*BP76</calculatedColumnFormula>
    </tableColumn>
    <tableColumn id="9" name="%" totalsRowFunction="custom" totalsRowDxfId="1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83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64" totalsRowDxfId="143"/>
    <tableColumn id="2" name="عدد" totalsRowFunction="custom" totalsRowDxfId="141">
      <totalsRowFormula>(Table80102113[[#Totals],[price]]*1.1)/(BA72*AY72/10000)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34" totalsRowDxfId="143"/>
    <tableColumn id="2" name="عدد" totalsRowFunction="custom" dataDxfId="134" totalsRowDxfId="141">
      <totalsRowFormula>(Table80102114[[#Totals],[price]]*1.1)/(F1*D1/10000)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7" dataDxfId="134" totalsRowDxfId="145">
  <autoFilter ref="A75:F96"/>
  <tableColumns count="6">
    <tableColumn id="1" name="Column1" totalsRowLabel="Total" dataDxfId="134" totalsRowDxfId="143"/>
    <tableColumn id="2" name="عدد" totalsRowFunction="custom" dataDxfId="134" totalsRowDxfId="141">
      <totalsRowFormula>(Table80102114115[[#Totals],[price]]*1.1)/(F74*D74/10000)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83"/>
    <tableColumn id="2" name="عدد" dataDxfId="183">
      <calculatedColumnFormula>IF((F74="الاسكندرية"),0.25,0.1)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(K57)</calculatedColumnFormula>
    </tableColumn>
    <tableColumn id="8" name="اجمالي" totalsRowFunction="sum" dataDxfId="17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83" totalsRowDxfId="17"/>
    <tableColumn id="2" name="عدد" dataDxfId="196" totalsRowDxfId="17">
      <calculatedColumnFormula>B60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SUMIF(Table17[Column1],Table1612[[#This Row],[موقع العمل]],$T$2:$T$20)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Table1612[[#This Row],[Column12]]</calculatedColumnFormula>
    </tableColumn>
    <tableColumn id="8" name="اجمالي" totalsRowFunction="sum" dataDxfId="176" totalsRowDxfId="15">
      <calculatedColumnFormula>B63*J63</calculatedColumnFormula>
    </tableColumn>
    <tableColumn id="9" name="%" totalsRowFunction="custom" totalsRowDxfId="1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9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83" totalsRowDxfId="17"/>
    <tableColumn id="2" name="عدد" dataDxfId="183" totalsRowDxfId="17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(Table118[[#This Row],[Column1]]+Table118[[#This Row],[Column2]])*12*Table118[[#This Row],[عدد]]</calculatedColumnFormula>
    </tableColumn>
    <tableColumn id="4" name="الوحده" dataDxfId="183" totalsRowDxfId="17"/>
    <tableColumn id="5" name="الوزن" totalsRowFunction="custom" dataDxfId="183" totalsRowDxfId="17">
      <totalsRowFormula>H9*B9+B8*H8+H7*B7</totalsRowFormula>
    </tableColumn>
    <tableColumn id="6" name="اجمالي الميزان" totalsRowFunction="sum" dataDxfId="180" totalsRowDxfId="17">
      <calculatedColumnFormula>Table118[[#This Row],[الوزن]]*Table118[[#This Row],[عدد]]</calculatedColumnFormula>
    </tableColumn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83" totalsRowDxfId="17"/>
    <tableColumn id="2" name="عدد" dataDxfId="180" totalsRowDxfId="17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0" totalsRowDxfId="17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83" totalsRowDxfId="17">
      <calculatedColumnFormula>Sheet2!B7</calculatedColumnFormula>
    </tableColumn>
    <tableColumn id="7" name="سعر الشبك " dataDxfId="240" totalsRowDxfId="16"/>
    <tableColumn id="8" name="اجمالي" totalsRowFunction="sum" dataDxfId="176" totalsRowDxfId="15">
      <calculatedColumnFormula>B36*Table1319[[#This Row],[سعر الكيلو]]</calculatedColumnFormula>
    </tableColumn>
    <tableColumn id="9" name="%" totalsRowFunction="custom" totalsRowDxfId="1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83"/>
    <tableColumn id="2" name="عدد" dataDxfId="183">
      <calculatedColumnFormula>IF((تسعير!X30&lt;800),0,IF(AND((تسعير!X30&gt;800),(600&gt;=تسعير!AA32)),1,0))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(Table1421[[#This Row],[Column1]]+Table1421[[#This Row],[Column2]])*12*Table1421[[#This Row],[عدد]]</calculatedColumnFormula>
    </tableColumn>
    <tableColumn id="4" name="الوحده" dataDxfId="183"/>
    <tableColumn id="5" name="الوزن" dataDxfId="183"/>
    <tableColumn id="6" name="سعر الكيلو" totalsRowFunction="sum" dataDxfId="180">
      <calculatedColumnFormula>Table1421[[#This Row],[الوزن]]*Table1421[[#This Row],[عدد]]</calculatedColumnFormula>
    </tableColumn>
    <tableColumn id="7" name="سعر الشبك " dataDxfId="240">
      <calculatedColumnFormula>H13*$I$2/1000</calculatedColumnFormula>
    </tableColumn>
    <tableColumn id="8" name="اجمالي" totalsRowFunction="sum" dataDxfId="17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83" totalsRowDxfId="17"/>
    <tableColumn id="2" name="عدد" dataDxfId="180" totalsRowDxfId="17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B18*J18</calculatedColumnFormula>
    </tableColumn>
    <tableColumn id="9" name="%" totalsRowFunction="custom" totalsRowDxfId="1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83"/>
    <tableColumn id="2" name="عدد" totalsRowFunction="count" dataDxfId="180">
      <calculatedColumnFormula>B30*4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(Table1624[[#This Row],[Column1]]*Table1624[[#This Row],[Column2]])*Table1624[[#This Row],[عدد]]</calculatedColumnFormula>
    </tableColumn>
    <tableColumn id="4" name="الوحده" dataDxfId="183"/>
    <tableColumn id="5" name="الوزن" totalsRowFunction="custom">
      <totalsRowFormula>H31*B31+H32*B32</totalsRowFormula>
    </tableColumn>
    <tableColumn id="6" name="سعر الكيلو" dataDxfId="180">
      <calculatedColumnFormula>$H$2/1000</calculatedColumnFormula>
    </tableColumn>
    <tableColumn id="7" name="سعر الشبك " dataDxfId="240">
      <calculatedColumnFormula>H31*$H$2/1000</calculatedColumnFormula>
    </tableColumn>
    <tableColumn id="8" name="اجمالي" totalsRowFunction="sum" dataDxfId="17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83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83"/>
    <tableColumn id="2" name="عدد" dataDxfId="183">
      <calculatedColumnFormula>IF((F79="الاسكندرية"),0.25,0.1)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K58</calculatedColumnFormula>
    </tableColumn>
    <tableColumn id="8" name="اجمالي" totalsRowFunction="sum" dataDxfId="17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83" totalsRowDxfId="17"/>
    <tableColumn id="2" name="عدد" dataDxfId="196" totalsRowDxfId="17">
      <calculatedColumnFormula>B65</calculatedColumnFormula>
    </tableColumn>
    <tableColumn id="3" name="بيان" totalsRowLabel="Total" dataDxfId="226" totalsRowDxfId="17"/>
    <tableColumn id="5" name="اليومية / الاجرة" dataDxfId="120" totalsRowDxfId="17"/>
    <tableColumn id="6" name="بدل الوجبة" dataDxfId="225" totalsRowDxfId="17"/>
    <tableColumn id="11" name="موقع العمل" dataDxfId="198" totalsRowDxfId="17">
      <calculatedColumnFormula>تسعير!$T$24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SUMIF(Table1731[Column1],Table161229[[#This Row],[موقع العمل]],$T$2:$T$26)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Table161229[[#This Row],[Column12]]</calculatedColumnFormula>
    </tableColumn>
    <tableColumn id="8" name="اجمالي" totalsRowFunction="sum" dataDxfId="176" totalsRowDxfId="15">
      <calculatedColumnFormula>B68*J68</calculatedColumnFormula>
    </tableColumn>
    <tableColumn id="9" name="%" totalsRowFunction="custom" totalsRowDxfId="1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98" totalsRowDxfId="17"/>
    <tableColumn id="2" name="عدد" dataDxfId="196" totalsRowDxfId="17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/>
    <tableColumn id="8" name="اجمالي" totalsRowFunction="sum" dataDxfId="176" totalsRowDxfId="15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9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(Table1662[[#This Row],[Column1]]*Table1662[[#This Row],[Column2]])*Table1662[[#This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IF((تسعير!$AU$14="بالتات"),0,M52-2)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SUMIF(Table1769[Column1],Table161267[[#This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IF((N2="A1"),2,IF((N2="A2"),3,IF((N2="B1"),2.5,IF((N2="B2"),3,0))))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(Table158[[#This Row],[Column1]]+Table158[[#This Row],[Column2]])*12*Table158[[#This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totalsRowFunction="sum" dataDxfId="180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Table823[[#Totals],[اجمالي التكلفة]]/B1</totalsRowFormula>
    </tableColumn>
    <tableColumn id="2" name="اجمالي التكلفة" totalsRowFunction="sum" dataDxfId="896" totalsRowDxfId="895"/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(Table166241[[#This Row],[Column1]]*Table166241[[#This Row],[Column2]])*Table166241[[#This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IF((تسعير!$BF$14="بالتات"),0,M52-2)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</calculatedColumnFormula>
    </tableColumn>
    <tableColumn id="10" name="شيفت العمل" dataDxfId="183" totalsRowDxfId="17"/>
    <tableColumn id="12" name="Column12" totalsRowFunction="sum" dataDxfId="185" totalsRowDxfId="18"/>
    <tableColumn id="4" name="عدد الايام" dataDxfId="221" totalsRowDxfId="17"/>
    <tableColumn id="7" name="اجمالي التكلفة للعامل" dataDxfId="220" totalsRowDxfId="16">
      <calculatedColumnFormula>Table16126744[[#This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IF((N2="c1"),3,IF((N2="c2"),4,IF((N2="d1"),4,IF((N2="d2"),5,0))))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(Table15855[[#This Row],[Column1]]+Table15855[[#This Row],[Column2]])*12*Table15855[[#This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dataDxfId="180"/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740"/>
    <tableColumn id="2" name="المقاس" dataDxfId="74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83" totalsRowDxfId="17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183" totalsRowDxfId="17"/>
    <tableColumn id="5" name="الوزن" totalsRowFunction="custom" totalsRowDxfId="17">
      <totalsRowFormula>(H6*B6)+(H8*B8)+(H7*B7)</totalsRowFormula>
    </tableColumn>
    <tableColumn id="6" name="مسطح" dataDxfId="180" totalsRowDxfId="17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740" totalsRowDxfId="775"/>
    <tableColumn id="2" name="عدد/الشمسية" dataDxfId="774" totalsRowDxfId="771"/>
    <tableColumn id="3" name="سعر الوحدة" dataDxfId="740" totalsRowDxfId="771"/>
    <tableColumn id="4" name="قيمة" totalsRowFunction="sum" dataDxfId="74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740"/>
    <tableColumn id="2" name="Column2" dataDxfId="74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758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7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740" totalsRowDxfId="18"/>
    <tableColumn id="2" name="عدد/الشمسية" dataDxfId="751" totalsRowDxfId="18"/>
    <tableColumn id="3" name="سعر الوحدة" dataDxfId="740" totalsRowDxfId="18"/>
    <tableColumn id="4" name="قيمة" totalsRowFunction="sum" dataDxfId="740" totalsRowDxfId="18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83" totalsRowDxfId="17"/>
    <tableColumn id="2" name="عدد" dataDxfId="180" totalsRowDxfId="17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Sheet2!B8</calculatedColumnFormula>
    </tableColumn>
    <tableColumn id="8" name="اجمالي" totalsRowFunction="sum" dataDxfId="176" totalsRowDxfId="15">
      <calculatedColumnFormula>B35*J35</calculatedColumnFormula>
    </tableColumn>
    <tableColumn id="9" name="%" totalsRowFunction="custom" totalsRowDxfId="14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740"/>
    <tableColumn id="2" name="Column2" dataDxfId="74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73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735"/>
    <tableColumn id="2" name="الناتج" dataDxfId="736"/>
    <tableColumn id="3" name="Column1" dataDxfId="73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96" totalsRowDxfId="17">
      <calculatedColumnFormula>I28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تسعير!$T$45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Table161243[[#This Row],[Column12]]</calculatedColumnFormula>
    </tableColumn>
    <tableColumn id="8" name="اجمالي" totalsRowFunction="sum" dataDxfId="176" totalsRowDxfId="15">
      <calculatedColumnFormula>I31*Q31</calculatedColumnFormula>
    </tableColumn>
    <tableColumn id="9" name="%" totalsRowFunction="custom" totalsRowDxfId="14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96" totalsRowDxfId="17">
      <calculatedColumnFormula>I61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تسعير!$T$63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SUMIF(Table17[Column1],Table16124360[[#This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Table16124360[[#This Row],[Column12]]</calculatedColumnFormula>
    </tableColumn>
    <tableColumn id="8" name="اجمالي" totalsRowFunction="sum" dataDxfId="176" totalsRowDxfId="15">
      <calculatedColumnFormula>I64*Q64</calculatedColumnFormula>
    </tableColumn>
    <tableColumn id="9" name="%" totalsRowFunction="custom" totalsRowDxfId="14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M28*U28</calculatedColumnFormula>
    </tableColumn>
    <tableColumn id="9" name="%" totalsRowFunction="custom" totalsRowDxfId="1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83"/>
    <tableColumn id="2" name="عدد" dataDxfId="183">
      <calculatedColumnFormula>IF((تسعير!X7&lt;800),0,IF(AND((تسعير!X7&gt;800),(600&gt;=تسعير!AA9)),1,0))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(Table14[[#This Row],[Column1]]+Table14[[#This Row],[Column2]])*12*Table14[[#This Row],[عدد]]</calculatedColumnFormula>
    </tableColumn>
    <tableColumn id="4" name="الوحده" dataDxfId="183"/>
    <tableColumn id="5" name="الوزن" totalsRowFunction="custom">
      <totalsRowFormula>H12*B12+H13*B13</totalsRowFormula>
    </tableColumn>
    <tableColumn id="6" name="مسطح" dataDxfId="180">
      <calculatedColumnFormula>Table14[[#This Row],[Column12]]*Table14[[#This Row],[عدد]]</calculatedColumnFormula>
    </tableColumn>
    <tableColumn id="7" name="سعر الشبك " dataDxfId="240">
      <calculatedColumnFormula>H12*$I$2/1000</calculatedColumnFormula>
    </tableColumn>
    <tableColumn id="8" name="اجمالي" totalsRowFunction="sum" dataDxfId="17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M14*U14</calculatedColumnFormula>
    </tableColumn>
    <tableColumn id="9" name="%" totalsRowFunction="custom" totalsRowDxfId="1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(Table166273[[#This Row],[Column1]]*Table166273[[#This Row],[Column2]])*Table166273[[#This Row],[عدد]]</calculatedColumnFormula>
    </tableColumn>
    <tableColumn id="4" name="الوحده" dataDxfId="183"/>
    <tableColumn id="5" name="الوزن" totalsRowFunction="custom">
      <totalsRowFormula>(S23*M23)+(M24*S24)</totalsRowFormula>
    </tableColumn>
    <tableColumn id="6" name="سعر الكيلو" dataDxfId="180"/>
    <tableColumn id="7" name="سعر الشبك " dataDxfId="240">
      <calculatedColumnFormula>S22*$S$2/1000</calculatedColumnFormula>
    </tableColumn>
    <tableColumn id="8" name="اجمالي" totalsRowFunction="sum" dataDxfId="17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83" totalsRowDxfId="17"/>
    <tableColumn id="2" name="عدد" dataDxfId="196" totalsRowDxfId="17">
      <calculatedColumnFormula>IF((تسعير!$AU$14="بالتات"),0,M49-2)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SUMIF(Table176978[Column1],Table16126776[[#This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Table16126776[[#This Row],[Column12]]</calculatedColumnFormula>
    </tableColumn>
    <tableColumn id="8" name="اجمالي" totalsRowFunction="sum" dataDxfId="176" totalsRowDxfId="15">
      <calculatedColumnFormula>M52*U52</calculatedColumnFormula>
    </tableColumn>
    <tableColumn id="9" name="%" totalsRowFunction="custom" totalsRowDxfId="1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98" totalsRowDxfId="17"/>
    <tableColumn id="2" name="عدد" dataDxfId="196" totalsRowDxfId="17">
      <calculatedColumnFormula>IF((Q63="الاسكندرية"),0.25,0.1)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Table80102114[[#Totals],[price]]</calculatedColumnFormula>
    </tableColumn>
    <tableColumn id="8" name="اجمالي" totalsRowFunction="sum" dataDxfId="176" totalsRowDxfId="15">
      <calculatedColumnFormula>M47*Table16136877[[#This Row],[سعر الشبك ]]</calculatedColumnFormula>
    </tableColumn>
    <tableColumn id="9" name="%" totalsRowFunction="custom" totalsRowDxfId="1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IF((Q63="المقطم"),0.3,IF((Q63="التجمع"),0.3,IF((Q63="الشيخ زايد"),0.3,IF((Q63="الاسكندرية"),0.5,0.35))))</calculatedColumnFormula>
    </tableColumn>
    <tableColumn id="2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(Table15880[[#This Row],[Column1]]+Table15880[[#This Row],[Column2]])*12*Table15880[[#This Row],[عدد]]</calculatedColumnFormula>
    </tableColumn>
    <tableColumn id="4" name="الوحده" dataDxfId="183" totalsRowDxfId="17"/>
    <tableColumn id="5" name="الوزن" totalsRowFunction="custom" totalsRowDxfId="17">
      <totalsRowFormula>(S6*M6)+(S7*M7)+(M8*S8)+(S9*M9)</totalsRowFormula>
    </tableColumn>
    <tableColumn id="6" name="اجمالي المسطح" totalsRowFunction="sum" dataDxfId="180" totalsRowDxfId="17">
      <calculatedColumnFormula>Table15880[[#This Row],[المسطح]]*Table15880[[#This Row],[عدد]]</calculatedColumnFormula>
    </tableColumn>
    <tableColumn id="7" name="سعر الشبك " dataDxfId="178" totalsRowDxfId="16">
      <calculatedColumnFormula>S6*$S$2/1000</calculatedColumnFormula>
    </tableColumn>
    <tableColumn id="8" name="اجمالي" totalsRowFunction="sum" dataDxfId="176" totalsRowDxfId="15">
      <calculatedColumnFormula>M6*U6</calculatedColumnFormula>
    </tableColumn>
    <tableColumn id="9" name="%" totalsRowFunction="custom" totalsRowDxfId="1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83" totalsRowDxfId="17"/>
    <tableColumn id="2" name="عدد" dataDxfId="180" totalsRowDxfId="17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M99*U100</calculatedColumnFormula>
    </tableColumn>
    <tableColumn id="9" name="%" totalsRowFunction="custom" totalsRowDxfId="1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B17*J17</calculatedColumnFormula>
    </tableColumn>
    <tableColumn id="9" name="%" totalsRowFunction="custom" totalsRowDxfId="1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83" totalsRowDxfId="17"/>
    <tableColumn id="2" name="عدد" dataDxfId="180" totalsRowDxfId="17">
      <calculatedColumnFormula>IF((I70="بالتات"),0,4)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M85*U85</calculatedColumnFormula>
    </tableColumn>
    <tableColumn id="9" name="%" totalsRowFunction="custom" totalsRowDxfId="1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83"/>
    <tableColumn id="2" name="عدد" totalsRowFunction="sum" dataDxfId="183">
      <calculatedColumnFormula>M91*4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(Table16627394[[#This Row],[Column1]]*Table16627394[[#This Row],[Column2]])*Table16627394[[#This Row],[عدد]]</calculatedColumnFormula>
    </tableColumn>
    <tableColumn id="4" name="الوحده" dataDxfId="183"/>
    <tableColumn id="5" name="الوزن" totalsRowFunction="custom">
      <totalsRowFormula>(S94*M94)+(M95*S95)</totalsRowFormula>
    </tableColumn>
    <tableColumn id="6" name="سعر الكيلو" dataDxfId="180"/>
    <tableColumn id="7" name="سعر الشبك " dataDxfId="240">
      <calculatedColumnFormula>S93*$S$2/1000</calculatedColumnFormula>
    </tableColumn>
    <tableColumn id="8" name="اجمالي" totalsRowFunction="sum" dataDxfId="17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83" totalsRowDxfId="17"/>
    <tableColumn id="2" name="عدد" dataDxfId="196" totalsRowDxfId="17">
      <calculatedColumnFormula>IF((تسعير!$AU$14="بالتات"),0,M120-2)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SUMIF(Table17697899[Column1],Table1612677697[[#This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Table1612677697[[#This Row],[Column12]]</calculatedColumnFormula>
    </tableColumn>
    <tableColumn id="8" name="اجمالي" totalsRowFunction="sum" dataDxfId="176" totalsRowDxfId="15">
      <calculatedColumnFormula>M123*U123</calculatedColumnFormula>
    </tableColumn>
    <tableColumn id="9" name="%" totalsRowFunction="custom" totalsRowDxfId="1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98" totalsRowDxfId="17"/>
    <tableColumn id="2" name="عدد" dataDxfId="196" totalsRowDxfId="17">
      <calculatedColumnFormula>IF((Q134="الاسكندرية"),0.25,0.1)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F96</calculatedColumnFormula>
    </tableColumn>
    <tableColumn id="8" name="اجمالي" totalsRowFunction="sum" dataDxfId="176" totalsRowDxfId="15">
      <calculatedColumnFormula>M118*Table1613687798[[#This Row],[سعر الشبك ]]</calculatedColumnFormula>
    </tableColumn>
    <tableColumn id="9" name="%" totalsRowFunction="custom" totalsRowDxfId="1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IF((Q134="المقطم"),0.3,IF((Q134="التجمع"),0.3,IF((Q134="الشيخ زايد"),0.3,IF((Q134="الاسكندرية"),0.5,0.35))))</calculatedColumnFormula>
    </tableColumn>
    <tableColumn id="2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83" totalsRowDxfId="17"/>
    <tableColumn id="2" name="عدد" dataDxfId="183" totalsRowDxfId="17">
      <calculatedColumnFormula>IF(OR((N70="B11"),(N70="B12"),(N70="B21"),(N70="B22"),(N70="B31"),(N70="B32")),3,0)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(Table15880101[[#This Row],[Column1]]+Table15880101[[#This Row],[Column2]])*12*Table15880101[[#This Row],[عدد]]</calculatedColumnFormula>
    </tableColumn>
    <tableColumn id="4" name="الوحده" dataDxfId="183" totalsRowDxfId="17"/>
    <tableColumn id="5" name="الوزن" totalsRowFunction="custom" totalsRowDxfId="17">
      <totalsRowFormula>(S77*M77)+(S78*M78)+(M79*S79)+(S80*M80)</totalsRowFormula>
    </tableColumn>
    <tableColumn id="6" name="اجمالي المسطح" totalsRowFunction="sum" dataDxfId="180" totalsRowDxfId="17">
      <calculatedColumnFormula>Table15880101[[#This Row],[المسطح]]*Table15880101[[#This Row],[عدد]]</calculatedColumnFormula>
    </tableColumn>
    <tableColumn id="7" name="سعر الشبك " dataDxfId="178" totalsRowDxfId="16">
      <calculatedColumnFormula>S77*$S$2/1000</calculatedColumnFormula>
    </tableColumn>
    <tableColumn id="8" name="اجمالي" totalsRowFunction="sum" dataDxfId="176" totalsRowDxfId="15">
      <calculatedColumnFormula>M77*U77</calculatedColumnFormula>
    </tableColumn>
    <tableColumn id="9" name="%" totalsRowFunction="custom" totalsRowDxfId="1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Sheet2!AW6</calculatedColumnFormula>
    </tableColumn>
    <tableColumn id="8" name="اجمالي" totalsRowFunction="sum" dataDxfId="176" totalsRowDxfId="15">
      <calculatedColumnFormula>BH28*BP28</calculatedColumnFormula>
    </tableColumn>
    <tableColumn id="9" name="%" totalsRowFunction="custom" totalsRowDxfId="1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83" totalsRowDxfId="17"/>
    <tableColumn id="2" name="عدد" totalsRowFunction="count" dataDxfId="183" totalsRowDxfId="17">
      <calculatedColumnFormula>B29*4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totalsRowFunction="sum" dataDxfId="185" totalsRowDxfId="18">
      <calculatedColumnFormula>(Table16[[#This Row],[Column1]]*Table16[[#This Row],[Column2]])*Table16[[#This Row],[عدد]]</calculatedColumnFormula>
    </tableColumn>
    <tableColumn id="4" name="الوحده" dataDxfId="183" totalsRowDxfId="17"/>
    <tableColumn id="5" name="الوزن" totalsRowFunction="custom" totalsRowDxfId="17">
      <totalsRowFormula>H30*B30+H31*B31</totalsRowFormula>
    </tableColumn>
    <tableColumn id="6" name="Column3" dataDxfId="180" totalsRowDxfId="17"/>
    <tableColumn id="7" name="سعر الشبك " dataDxfId="240" totalsRowDxfId="16">
      <calculatedColumnFormula>H30*$H$2/1000</calculatedColumnFormula>
    </tableColumn>
    <tableColumn id="8" name="اجمالي" totalsRowFunction="sum" dataDxfId="176" totalsRowDxfId="15">
      <calculatedColumnFormula>B30*J30</calculatedColumnFormula>
    </tableColumn>
    <tableColumn id="9" name="%" totalsRowFunction="custom" totalsRowDxfId="1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Sheet2!AW26</calculatedColumnFormula>
    </tableColumn>
    <tableColumn id="8" name="اجمالي" totalsRowFunction="sum" dataDxfId="176" totalsRowDxfId="15">
      <calculatedColumnFormula>BH14*BP14</calculatedColumnFormula>
    </tableColumn>
    <tableColumn id="9" name="%" totalsRowFunction="custom" totalsRowDxfId="1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83"/>
    <tableColumn id="2" name="عدد" totalsRowFunction="count" dataDxfId="183">
      <calculatedColumnFormula>BH20*4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(Table16627383[[#This Row],[Column1]]*Table16627383[[#This Row],[Column2]])*Table16627383[[#This Row],[عدد]]</calculatedColumnFormula>
    </tableColumn>
    <tableColumn id="4" name="الوحده" dataDxfId="183"/>
    <tableColumn id="5" name="الوزن" totalsRowFunction="custom">
      <totalsRowFormula>(BN23*BH23)+(BH24*BN24)</totalsRowFormula>
    </tableColumn>
    <tableColumn id="6" name="سعر الكيلو" dataDxfId="180"/>
    <tableColumn id="7" name="سعر الشبك " dataDxfId="240">
      <calculatedColumnFormula>BN22*$S$2/1000</calculatedColumnFormula>
    </tableColumn>
    <tableColumn id="8" name="اجمالي" totalsRowFunction="sum" dataDxfId="17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83" totalsRowDxfId="17"/>
    <tableColumn id="2" name="عدد" dataDxfId="196" totalsRowDxfId="17">
      <calculatedColumnFormula>IF((تسعير!$AU$14="بالتات"),0,BH48-2)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SUMIF(Table17697888[Column1],Table1612677686[[#This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Table1612677686[[#This Row],[Column12]]</calculatedColumnFormula>
    </tableColumn>
    <tableColumn id="8" name="اجمالي" totalsRowFunction="sum" dataDxfId="176" totalsRowDxfId="15">
      <calculatedColumnFormula>BH51*BP51</calculatedColumnFormula>
    </tableColumn>
    <tableColumn id="9" name="%" totalsRowFunction="custom" totalsRowDxfId="14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98"/>
    <tableColumn id="2" name="عدد" dataDxfId="196">
      <calculatedColumnFormula>IF((BL62="الاسكندرية"),0.25,0.1)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BQ45</calculatedColumnFormula>
    </tableColumn>
    <tableColumn id="8" name="اجمالي" totalsRowFunction="sum" dataDxfId="17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IF((BL62="المقطم"),0.3,IF((BL62="التجمع"),0.3,IF((BL62="الشيخ زايد"),0.3,IF((BL62="الاسكندرية"),0.5,0.35))))</calculatedColumnFormula>
    </tableColumn>
    <tableColumn id="2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(Table1588090[[#This Row],[Column1]]+Table1588090[[#This Row],[Column2]])*12*Table1588090[[#This Row],[عدد]]</calculatedColumnFormula>
    </tableColumn>
    <tableColumn id="4" name="الوحده" dataDxfId="183" totalsRowDxfId="17"/>
    <tableColumn id="5" name="الوزن" totalsRowFunction="custom" totalsRowDxfId="17">
      <totalsRowFormula>(BN6*BH6)+(BN7*BG7)+(BN8*BG8)+(BN9*BG9)</totalsRowFormula>
    </tableColumn>
    <tableColumn id="6" name="اجمالي المسطح" totalsRowFunction="sum" dataDxfId="180" totalsRowDxfId="17">
      <calculatedColumnFormula>Table1588090[[#This Row],[المسطح]]*Table1588090[[#This Row],[عدد]]</calculatedColumnFormula>
    </tableColumn>
    <tableColumn id="7" name="سعر الشبك " dataDxfId="178" totalsRowDxfId="16">
      <calculatedColumnFormula>BN6*$S$2/1000</calculatedColumnFormula>
    </tableColumn>
    <tableColumn id="8" name="اجمالي" totalsRowFunction="sum" dataDxfId="176" totalsRowDxfId="15">
      <calculatedColumnFormula>BH6*BP6</calculatedColumnFormula>
    </tableColumn>
    <tableColumn id="9" name="%" totalsRowFunction="custom" totalsRowDxfId="1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NO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14802.083333333332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45000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225000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160</v>
      </c>
    </row>
    <row r="23">
      <c r="A23" s="233" t="s">
        <v>80</v>
      </c>
      <c r="B23" s="559">
        <v>160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105</v>
      </c>
    </row>
    <row r="26">
      <c r="A26" s="233" t="s">
        <v>106</v>
      </c>
      <c r="B26" s="559">
        <v>250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1000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1500</v>
      </c>
    </row>
    <row r="36">
      <c r="A36" s="233" t="s">
        <v>232</v>
      </c>
      <c r="B36" s="559">
        <v>1500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3014.2535679959346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25076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63299.324927914626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1800</v>
      </c>
      <c r="D7" s="182" t="s">
        <v>428</v>
      </c>
      <c r="E7" s="183">
        <f>تسعير!X31</f>
        <v>1800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 t="e">
        <f>'Format Φωτισμου (2)'!B9</f>
        <v>#VALUE!</v>
      </c>
    </row>
    <row r="19" ht="18" customHeight="1">
      <c r="A19" s="648" t="s">
        <v>435</v>
      </c>
      <c r="B19" s="649"/>
      <c r="C19" s="14" t="e">
        <f>'Format Φωτισμου (2)'!B12</f>
        <v>#VALUE!</v>
      </c>
    </row>
    <row r="20" ht="18" customHeight="1">
      <c r="A20" s="648" t="s">
        <v>436</v>
      </c>
      <c r="B20" s="649"/>
      <c r="C20" s="14" t="e">
        <f>C19/C18</f>
        <v>#VALUE!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 t="e">
        <f>C21/C18</f>
        <v>#VALUE!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6</v>
      </c>
      <c r="H27" s="185">
        <f>IF('Format (2)'!J8=3,تسجيل2!G27,IF('Format (2)'!J8=1,تسجيل2!G27-2,IF('Format (2)'!J8=2,تسجيل2!G27-1,IF('Format (2)'!J8=4,تسجيل2!G27+1,IF('Format (2)'!J8=5,تسجيل2!G27+2)))))</f>
        <v>6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7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7</v>
      </c>
      <c r="M29" s="15"/>
      <c r="O29" s="15"/>
    </row>
    <row r="30" ht="18" customHeight="1">
      <c r="A30" s="11" t="s">
        <v>312</v>
      </c>
      <c r="G30" s="185">
        <f>G27</f>
        <v>6</v>
      </c>
      <c r="H30" s="185">
        <f>IF('Format (2)'!M8=3,G30,IF('Format (2)'!M8=1,G30-2,IF('Format (2)'!M8=2,G30-1,IF('Format (2)'!M8=4,G30+1,IF('Format (2)'!M8=5,G30+2)))))</f>
        <v>6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265000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265000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1800</v>
      </c>
      <c r="L6" s="759"/>
      <c r="M6" s="94" t="s">
        <v>366</v>
      </c>
      <c r="N6" s="95">
        <f>تسجيل2!E7</f>
        <v>1800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324</v>
      </c>
      <c r="L7" s="732"/>
      <c r="M7" s="732"/>
      <c r="N7" s="98" t="s">
        <v>368</v>
      </c>
      <c r="O7" s="99" t="e">
        <f>AA41/K7</f>
        <v>#VALUE!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1799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1772</v>
      </c>
      <c r="O8" s="102" t="e">
        <f>O7*K7</f>
        <v>#VALUE!</v>
      </c>
      <c r="P8" s="103"/>
      <c r="Q8" s="103"/>
      <c r="R8" s="103"/>
      <c r="S8" s="103">
        <f>Sheet2!B16</f>
        <v>275</v>
      </c>
      <c r="T8" s="137">
        <f>((K8*N8)/10000)*1.2</f>
        <v>382.53936</v>
      </c>
      <c r="U8" s="138">
        <f>T8*S8</f>
        <v>105198.324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6</v>
      </c>
      <c r="H11" s="743"/>
      <c r="I11" s="744">
        <f>'Format διαστασης οδηγου (2)'!F8</f>
        <v>1765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6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13.2375</v>
      </c>
      <c r="U11" s="103">
        <f>CEILING(T11,0.5)</f>
        <v>13.5</v>
      </c>
      <c r="V11" s="103">
        <f>U11*S11</f>
        <v>108</v>
      </c>
      <c r="W11" s="140">
        <v>4.45627705627706</v>
      </c>
      <c r="X11" s="141">
        <f>($W$1/1000)*W11*V11</f>
        <v>127538.64935064946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359.7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3.597</v>
      </c>
      <c r="U12" s="103">
        <f ref="U12:U21" t="shared" si="0">CEILING(T12,0.25)</f>
        <v>3.75</v>
      </c>
      <c r="V12" s="103">
        <f ref="V12:V20" t="shared" si="1">G12*S12</f>
        <v>16</v>
      </c>
      <c r="W12" s="140">
        <v>1.86378737541528</v>
      </c>
      <c r="X12" s="141">
        <f>($W$1/1000)*W12*V12</f>
        <v>7902.4584717607877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6</v>
      </c>
      <c r="H13" s="718"/>
      <c r="I13" s="719">
        <f>IF(G13="-------","-------",L17-5)</f>
        <v>353.2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5.2979999999999992</v>
      </c>
      <c r="U13" s="103">
        <f t="shared" si="0"/>
        <v>5.5</v>
      </c>
      <c r="V13" s="103">
        <f t="shared" si="1"/>
        <v>24</v>
      </c>
      <c r="W13" s="140">
        <v>1.86378737541528</v>
      </c>
      <c r="X13" s="141">
        <f ref="X13:X20" t="shared" si="7">($W$1/1000)*W13*V13</f>
        <v>11853.687707641182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 t="e">
        <f>IF(L11&gt;2,2*L14,IF(L11=2,L14))</f>
        <v>#VALUE!</v>
      </c>
      <c r="H14" s="718"/>
      <c r="I14" s="719">
        <f>I12</f>
        <v>359.7</v>
      </c>
      <c r="J14" s="719"/>
      <c r="K14" s="106"/>
      <c r="L14" s="109" t="e">
        <f>تسجيل2!H28</f>
        <v>#VALUE!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e">
        <f>IF(L11&lt;=3,"0",(L11-3)*L14)</f>
        <v>#VALUE!</v>
      </c>
      <c r="H15" s="718"/>
      <c r="I15" s="719" t="e">
        <f>IF(G15="-------","---------",I13)</f>
        <v>#VALUE!</v>
      </c>
      <c r="J15" s="719"/>
      <c r="K15" s="106"/>
      <c r="L15" s="106"/>
      <c r="M15" s="106"/>
      <c r="N15" s="106"/>
      <c r="O15" s="106"/>
      <c r="P15" s="103" t="e">
        <f t="shared" si="2"/>
        <v>#VALUE!</v>
      </c>
      <c r="Q15" s="103" t="e">
        <f t="shared" si="3"/>
        <v>#VALUE!</v>
      </c>
      <c r="R15" s="103" t="e">
        <f t="shared" si="4"/>
        <v>#VALUE!</v>
      </c>
      <c r="S15" s="103" t="e">
        <f t="shared" si="5"/>
        <v>#VALUE!</v>
      </c>
      <c r="T15" s="139" t="e">
        <f t="shared" si="6"/>
        <v>#VALUE!</v>
      </c>
      <c r="U15" s="103" t="e">
        <f>CEILING(T15,0.5)</f>
        <v>#VALUE!</v>
      </c>
      <c r="V15" s="103" t="e">
        <f t="shared" si="1"/>
        <v>#VALUE!</v>
      </c>
      <c r="W15" s="140">
        <v>1.05172413793103</v>
      </c>
      <c r="X15" s="141" t="e">
        <f t="shared" si="7"/>
        <v>#VALUE!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361.7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0.90425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1478.564102564108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361.7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358.2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0.90425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1478.564102564108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3</v>
      </c>
      <c r="H18" s="718"/>
      <c r="I18" s="719">
        <f>IF(G18="-------","-------",L17)</f>
        <v>358.2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2.6864999999999997</v>
      </c>
      <c r="U18" s="103">
        <f t="shared" si="0"/>
        <v>2.75</v>
      </c>
      <c r="V18" s="103">
        <f t="shared" si="1"/>
        <v>12</v>
      </c>
      <c r="W18" s="140">
        <v>1.3948717948718</v>
      </c>
      <c r="X18" s="141">
        <f t="shared" si="7"/>
        <v>4435.692307692324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1797.5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5</v>
      </c>
      <c r="H20" s="724"/>
      <c r="I20" s="719">
        <f>L17-7</f>
        <v>351.2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4.39</v>
      </c>
      <c r="U20" s="103">
        <f t="shared" si="0"/>
        <v>4.5</v>
      </c>
      <c r="V20" s="103">
        <f t="shared" si="1"/>
        <v>20</v>
      </c>
      <c r="W20" s="103">
        <v>1.65</v>
      </c>
      <c r="X20" s="141">
        <f t="shared" si="7"/>
        <v>8745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6</v>
      </c>
      <c r="H21" s="710"/>
      <c r="I21" s="711">
        <f>(I11*2)+45</f>
        <v>3575</v>
      </c>
      <c r="J21" s="711"/>
      <c r="K21" s="106"/>
      <c r="L21" s="112">
        <f>IF(Format!E7=1,"-------",IF(Format!E7=5,"-------",تسجيل2!H30))</f>
        <v>6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214.5</v>
      </c>
      <c r="U21" s="142">
        <f t="shared" si="0"/>
        <v>214.5</v>
      </c>
      <c r="V21" s="142">
        <f>U21*S21</f>
        <v>214.5</v>
      </c>
      <c r="W21" s="142">
        <f>Sheet2!B17</f>
        <v>175</v>
      </c>
      <c r="X21" s="144">
        <f>W21*V21</f>
        <v>37537.5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6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780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6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132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12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636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 t="e">
        <f>L14</f>
        <v>#VALUE!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6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2640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12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6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24</v>
      </c>
      <c r="AB29" s="60">
        <f t="shared" si="10"/>
        <v>9000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 t="e">
        <f>L14*L11</f>
        <v>#VALUE!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6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 t="e">
        <f t="shared" si="11"/>
        <v>#VALUE!</v>
      </c>
      <c r="AB30" s="60">
        <f t="shared" si="10"/>
        <v>9000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 t="e">
        <f>(L14+N14)*2</f>
        <v>#VALUE!</v>
      </c>
      <c r="G31" s="71"/>
      <c r="H31" s="72">
        <v>23</v>
      </c>
      <c r="I31" s="702" t="s">
        <v>410</v>
      </c>
      <c r="J31" s="702"/>
      <c r="K31" s="702"/>
      <c r="L31" s="702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 t="e">
        <f>(L14+N14)*2</f>
        <v>#VALUE!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6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540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18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6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63</v>
      </c>
      <c r="AB33" s="60">
        <f t="shared" si="10"/>
        <v>990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18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63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8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360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e">
        <f>IF(L11&gt;2,(L11-2)*L14,"0")</f>
        <v>#VALUE!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5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500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6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270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70.6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247.09999999999997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 t="e">
        <f>SUM(AA24:AB38)</f>
        <v>#VALUE!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 t="e">
        <f>AA39+X22+U8</f>
        <v>#VALUE!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1799</v>
      </c>
      <c r="L97" s="177" t="str">
        <f>M8</f>
        <v>Χ</v>
      </c>
      <c r="M97" s="682">
        <f>N8</f>
        <v>1772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1800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1800</v>
      </c>
      <c r="C19" s="31">
        <f>IF(B18&gt;2400,8,IF(B18&gt;2000,7,IF(B18&gt;1600,6,IF(B18&gt;1200,5,IF(B18&gt;800,4,IF(B18&gt;400,3,2))))))</f>
        <v>6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1800</v>
      </c>
      <c r="D31" s="34" t="s">
        <v>347</v>
      </c>
      <c r="E31" s="36" t="str">
        <f>H34</f>
        <v>N/A</v>
      </c>
      <c r="F31" s="34"/>
      <c r="G31" s="34"/>
      <c r="H31" s="35"/>
      <c r="I31" s="764" t="s">
        <v>346</v>
      </c>
      <c r="J31" s="765"/>
      <c r="K31" s="36">
        <f>B19</f>
        <v>1800</v>
      </c>
      <c r="L31" s="34" t="s">
        <v>347</v>
      </c>
      <c r="M31" s="36" t="str">
        <f>P34</f>
        <v>N/A</v>
      </c>
      <c r="N31" s="15"/>
      <c r="O31" s="34"/>
      <c r="P31" s="35"/>
      <c r="Q31" s="766" t="s">
        <v>346</v>
      </c>
      <c r="R31" s="767"/>
      <c r="S31" s="57">
        <f>B19</f>
        <v>1800</v>
      </c>
      <c r="T31" s="47" t="s">
        <v>348</v>
      </c>
      <c r="U31" s="57">
        <f>INT((S31-4)/25)+1</f>
        <v>72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1800</v>
      </c>
      <c r="E2" s="1">
        <f>تسجيل2!E7</f>
        <v>1800</v>
      </c>
      <c r="F2" s="1">
        <f>تسجيل2!E7</f>
        <v>1800</v>
      </c>
      <c r="G2" s="1">
        <f>تسجيل2!E7</f>
        <v>1800</v>
      </c>
      <c r="H2" s="8">
        <f>تسجيل2!E7</f>
        <v>1800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1800</v>
      </c>
      <c r="E6" s="1">
        <f>IF(E3=0,E2,E2-E3-E4+10)</f>
        <v>1800</v>
      </c>
      <c r="F6" s="1">
        <f>IF(F3=0,F2,F2-F3-F4+10)</f>
        <v>1800</v>
      </c>
      <c r="G6" s="1">
        <f>IF(G3=0,G2,G2-G3-G4+10)</f>
        <v>1800</v>
      </c>
      <c r="H6" s="8">
        <f>IF(H3=0,H2,H2-H3-H4+10)</f>
        <v>1800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1800</v>
      </c>
      <c r="L6" s="10">
        <f>IF('Format (2)'!E8=1,تسجيل2!E7-30,IF('Format (2)'!E8=2,D7,IF('Format (2)'!E8=3,E7,IF('Format (2)'!E8=4,F7,IF('Format (2)'!E8=5,G7,IF('Format (2)'!E8=6,H7,"-----"))))))</f>
        <v>1770</v>
      </c>
    </row>
    <row r="7">
      <c r="A7" s="783"/>
      <c r="B7" s="784"/>
      <c r="C7" s="19" t="s">
        <v>278</v>
      </c>
      <c r="D7" s="6">
        <f>D6-30</f>
        <v>1770</v>
      </c>
      <c r="E7" s="6">
        <f>E6-17</f>
        <v>1783</v>
      </c>
      <c r="F7" s="6">
        <f>F6-30</f>
        <v>1770</v>
      </c>
      <c r="G7" s="6">
        <f>G6-17</f>
        <v>1783</v>
      </c>
      <c r="H7" s="9">
        <f>H6-30</f>
        <v>1770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1800</v>
      </c>
      <c r="E11" s="1">
        <f>تسجيل2!E7</f>
        <v>1800</v>
      </c>
      <c r="F11" s="1">
        <f>تسجيل2!E7</f>
        <v>1800</v>
      </c>
      <c r="G11" s="1">
        <f>تسجيل2!E7</f>
        <v>1800</v>
      </c>
      <c r="H11" s="8">
        <f>تسجيل2!E7</f>
        <v>1800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1800</v>
      </c>
      <c r="L14" s="10">
        <f>IF('Format (2)'!E8=1,تسجيل2!E7-30,IF('Format (2)'!E8=2,D16,IF('Format (2)'!E8=3,E16,IF('Format (2)'!E8=4,F16,IF('Format (2)'!E8=5,G16,IF('Format (2)'!E8=6,H16))))))</f>
        <v>1770</v>
      </c>
    </row>
    <row r="15">
      <c r="A15" s="787"/>
      <c r="B15" s="788"/>
      <c r="C15" s="10" t="s">
        <v>276</v>
      </c>
      <c r="D15" s="1">
        <f>IF(D12=0,D11,D11-D12-D13+11)</f>
        <v>1800</v>
      </c>
      <c r="E15" s="1">
        <f>IF(E12=0,E11,E11-E12-E13+11)</f>
        <v>1800</v>
      </c>
      <c r="F15" s="1">
        <f>IF(F12=0,F11,F11-F12-F13+11)</f>
        <v>1800</v>
      </c>
      <c r="G15" s="1">
        <f>IF(G12=0,G11,G11-G12-G13+11)</f>
        <v>1800</v>
      </c>
      <c r="H15" s="8">
        <f>IF(H12=0,H11,H11-H12-H13+11)</f>
        <v>1800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1770</v>
      </c>
      <c r="E16" s="6">
        <f>E15-17</f>
        <v>1783</v>
      </c>
      <c r="F16" s="6">
        <f>F15-30</f>
        <v>1770</v>
      </c>
      <c r="G16" s="6">
        <f>G15-17</f>
        <v>1783</v>
      </c>
      <c r="H16" s="9">
        <f>H15-30</f>
        <v>1770</v>
      </c>
      <c r="Q16" s="10">
        <f>IF('Format (2)'!A7=1,K6,IF('Format (2)'!A7=3,K6,IF('Format (2)'!A7=4,K23,IF('Format (2)'!A7=2,K23,IF('Format (2)'!A7=5,K14,"------")))))</f>
        <v>1800</v>
      </c>
      <c r="R16" s="10">
        <f>IF('Format (2)'!A7=1,L6,IF('Format (2)'!A7=3,L6,IF('Format (2)'!A7=4,L23,IF('Format (2)'!A7=2,L23+2,IF('Format (2)'!A7=5,L14,"------")))))</f>
        <v>1772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1800</v>
      </c>
      <c r="E20" s="1">
        <f>تسجيل2!E7</f>
        <v>1800</v>
      </c>
      <c r="F20" s="1">
        <f>تسجيل2!E7</f>
        <v>1800</v>
      </c>
      <c r="G20" s="1">
        <f>تسجيل2!E7</f>
        <v>1800</v>
      </c>
      <c r="H20" s="8">
        <f>تسجيل2!E7</f>
        <v>1800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1800</v>
      </c>
      <c r="L23" s="10">
        <f>IF('Format (2)'!E8=1,تسجيل2!E7-30,IF('Format (2)'!E8=2,D25,IF('Format (2)'!E8=3,E25,IF('Format (2)'!E8=4,F25,IF('Format (2)'!E8=5,G25,IF('Format (2)'!E8=6,H25))))))</f>
        <v>1770</v>
      </c>
    </row>
    <row r="24">
      <c r="A24" s="793"/>
      <c r="B24" s="794"/>
      <c r="C24" s="10" t="s">
        <v>276</v>
      </c>
      <c r="D24" s="1">
        <f>IF(D21=0,D20,D20-D21-D22+11)</f>
        <v>1800</v>
      </c>
      <c r="E24" s="1">
        <f>IF(E21=0,E20,E20-E21-E22+11)</f>
        <v>1800</v>
      </c>
      <c r="F24" s="1">
        <f>IF(F21=0,F20,F20-F21-F22+11)</f>
        <v>1800</v>
      </c>
      <c r="G24" s="1">
        <f>IF(G21=0,G20,G20-G21-G22+11)</f>
        <v>1800</v>
      </c>
      <c r="H24" s="8">
        <f>IF(H21=0,H20,H20-H21-H22+11)</f>
        <v>1800</v>
      </c>
    </row>
    <row r="25">
      <c r="A25" s="795"/>
      <c r="B25" s="796"/>
      <c r="C25" s="19" t="s">
        <v>278</v>
      </c>
      <c r="D25" s="6">
        <f>D24-30</f>
        <v>1770</v>
      </c>
      <c r="E25" s="6">
        <f>E24-13</f>
        <v>1787</v>
      </c>
      <c r="F25" s="6">
        <f>F24-30</f>
        <v>1770</v>
      </c>
      <c r="G25" s="6">
        <f>G24-13</f>
        <v>1787</v>
      </c>
      <c r="H25" s="9">
        <f>H24-30</f>
        <v>1770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1800</v>
      </c>
      <c r="J4" s="15">
        <v>4</v>
      </c>
      <c r="K4" s="15">
        <v>2</v>
      </c>
    </row>
    <row r="5">
      <c r="A5" s="1" t="s">
        <v>257</v>
      </c>
      <c r="B5" s="1">
        <f>تسجيل2!E7</f>
        <v>1800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283</v>
      </c>
      <c r="B6" s="1" t="e">
        <f>'Cutting Ro-2'!L14</f>
        <v>#VALUE!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288</v>
      </c>
      <c r="B9" s="1" t="e">
        <f>O8</f>
        <v>#VALUE!</v>
      </c>
      <c r="J9" s="15">
        <v>9</v>
      </c>
      <c r="K9" s="15">
        <v>4</v>
      </c>
    </row>
    <row r="10">
      <c r="A10" s="12" t="s">
        <v>289</v>
      </c>
      <c r="B10" s="13" t="e">
        <f>(((B4-(تسجيل2!C22*2))/200)+1)*B9</f>
        <v>#VALUE!</v>
      </c>
      <c r="C10" s="647" t="s">
        <v>290</v>
      </c>
      <c r="D10" s="647"/>
      <c r="E10" s="14" t="e">
        <f>ROUND(B10,0)</f>
        <v>#VALUE!</v>
      </c>
      <c r="J10" s="15">
        <v>10</v>
      </c>
      <c r="K10" s="15">
        <v>4</v>
      </c>
    </row>
    <row r="11">
      <c r="A11" s="12" t="s">
        <v>291</v>
      </c>
      <c r="B11" s="13" t="e">
        <f>E10/B9</f>
        <v>#VALUE!</v>
      </c>
      <c r="C11" s="647" t="s">
        <v>290</v>
      </c>
      <c r="D11" s="647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292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1768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1765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1768</v>
      </c>
      <c r="F8" s="1">
        <f>IF('Format (2)'!A7=1,C6,IF('Format (2)'!A7=2,C7,IF('Format (2)'!A7=3,C8,IF('Format (2)'!A7=4,C9,IF('Format (2)'!A7=5,C10)))))</f>
        <v>1765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1768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1800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1800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1800</v>
      </c>
      <c r="F16" s="1">
        <f>IF('Format (2)'!A7=1,C14,IF('Format (2)'!A7=2,C15,IF('Format (2)'!A7=3,C16,IF('Format (2)'!A7=4,C17,IF('Format (2)'!A7=5,C118)))))</f>
        <v>1800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1800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188482.52806797053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20788.75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84551.255921052638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101711.0630877193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8975.3584794271683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6764.1004736842115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2906.0303739348369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 t="e">
        <f>Royal2!G85</f>
        <v>#VALUE!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23292.75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325452.4</v>
      </c>
      <c r="AU22" s="472"/>
      <c r="BC22" s="406"/>
      <c r="BD22" s="464" t="s">
        <v>163</v>
      </c>
      <c r="BE22" s="465">
        <f>'بيرسا و لوفرز'!R140</f>
        <v>342358.9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 t="e">
        <f>T22/(AA33*X31)*10000</f>
        <v>#VALUE!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16272.62</v>
      </c>
      <c r="AU23" s="472"/>
      <c r="AV23" s="473"/>
      <c r="BC23" s="406"/>
      <c r="BD23" s="464" t="s">
        <v>127</v>
      </c>
      <c r="BE23" s="466">
        <f>BE22/(BE33*BE34/10000)</f>
        <v>17117.945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38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197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176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1800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191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1800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عرض البرجولة بشكل صحيح علما بان اقصي عرض هو 1200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217390.5</v>
      </c>
      <c r="AT37" s="621"/>
      <c r="BD37" s="620">
        <f>('بيرسا و لوفرز'!F97+'بيرسا و لوفرز'!V126+'بيرسا و لوفرز'!V134)*1.35</f>
        <v>217390.5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10869.525</v>
      </c>
      <c r="AT38" s="621"/>
      <c r="BD38" s="620">
        <f>BD37/(BE33*BE34/10000)</f>
        <v>10869.525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224516.045</v>
      </c>
      <c r="AU42" s="472"/>
      <c r="BD42" s="464" t="s">
        <v>163</v>
      </c>
      <c r="BE42" s="465">
        <f>'بيرسا و لوفرز'!BM139</f>
        <v>239784.545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81304.6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14032.2528125</v>
      </c>
      <c r="AU43" s="472"/>
      <c r="AV43" s="473"/>
      <c r="BD43" s="464" t="s">
        <v>127</v>
      </c>
      <c r="BE43" s="466">
        <f>BE42/(BE53*BE54/10000)</f>
        <v>14986.5340625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3252.184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116439.52500000001</v>
      </c>
      <c r="AT57" s="619"/>
      <c r="BD57" s="618">
        <f>('بيرسا و لوفرز'!BA85+'بيرسا و لوفرز'!BP133+'بيرسا و لوفرز'!BQ125)*1.35</f>
        <v>116439.52500000001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7277.4703125000005</v>
      </c>
      <c r="AT58" s="610"/>
      <c r="BD58" s="609">
        <f>BD57/(BE53*BE54/10000)</f>
        <v>7277.4703125000005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104194.35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4167.774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48278F08-02CD-4AA1-80D7-16B25776A1BC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42E18ABF-32FD-4081-BC6F-F38FD7C4766C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4ED38110-F411-4643-B2D3-2746AD8B9A8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751244C2-F557-4AD0-A09D-EC6E7D89A81B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C225F2B3-BC68-4C5B-95B1-360866FD812F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A2EB0A06-8B7C-48D5-B16F-8D875FFCAD2A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2FC87071-5805-448C-8D9E-3BBE1CAE63BE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B4032614-7B47-4E9F-9571-82D5B5A166DA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654D2DE6-1C88-4BCE-8007-6AF777CF2A99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556A15E9-CF5C-4365-B4EE-7A8FF7CF3A88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BC0604C0-3277-4535-B216-FA5788CCCD93}">
          <x14:formula1>
            <xm:f>wavy2!$A$19:$A$20</xm:f>
          </x14:formula1>
          <xm:sqref>BE9</xm:sqref>
        </x14:dataValidation>
        <x14:dataValidation type="list" allowBlank="1" showInputMessage="1" showErrorMessage="1" xr:uid="{46DA68BF-1D1F-4027-993B-FC82778CDADA}">
          <x14:formula1>
            <xm:f>wavy1!$A$19:$A$20</xm:f>
          </x14:formula1>
          <xm:sqref>AT9</xm:sqref>
        </x14:dataValidation>
        <x14:dataValidation type="list" allowBlank="1" showInputMessage="1" showErrorMessage="1" xr:uid="{4CFC39A5-DFC1-4203-8E9E-F2D68BBCE9C1}">
          <x14:formula1>
            <xm:f>Sheet2!$B$5:$B$7</xm:f>
          </x14:formula1>
          <xm:sqref>T25 T46 T64</xm:sqref>
        </x14:dataValidation>
        <x14:dataValidation type="list" allowBlank="1" showInputMessage="1" showErrorMessage="1" xr:uid="{367BA1E5-0ECF-4E7D-A43D-721077CA3C3C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9C2CA12-D2BC-48F2-9B56-0627905BE663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E1B7B2EB-8BAC-4C76-B594-3D183943F31C}">
          <x14:formula1>
            <xm:f>Sheet2!$C$5:$C$6</xm:f>
          </x14:formula1>
          <xm:sqref>T26</xm:sqref>
        </x14:dataValidation>
        <x14:dataValidation type="list" allowBlank="1" showInputMessage="1" showErrorMessage="1" xr:uid="{23E2AEE5-E070-4A91-9DEC-0C157D6A5BAD}">
          <x14:formula1>
            <xm:f>Sheet2!$A$5</xm:f>
          </x14:formula1>
          <xm:sqref>U31</xm:sqref>
        </x14:dataValidation>
        <x14:dataValidation type="list" allowBlank="1" showInputMessage="1" showErrorMessage="1" xr:uid="{A2ACFCBF-0D89-42AE-AEB4-E959B3186DE1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D09E253D-088B-4BAE-A0AE-E2338B735911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A8C037F0-CF0F-4877-86B1-02065EF39C86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2C9DCCA8-2205-458A-B469-C790969BFBC1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DF7F3345-D4EB-47EB-A85C-4238499091B0}">
          <x14:formula1>
            <xm:f>Sheet2!$D$5:$D$6</xm:f>
          </x14:formula1>
          <xm:sqref>T32 T53 T71</xm:sqref>
        </x14:dataValidation>
        <x14:dataValidation type="list" allowBlank="1" showInputMessage="1" showErrorMessage="1" xr:uid="{ACD6A0C8-BF3C-4F6D-8B4D-EB533A54D39F}">
          <x14:formula1>
            <xm:f>Sheet2!$A$6</xm:f>
          </x14:formula1>
          <xm:sqref>AC36</xm:sqref>
        </x14:dataValidation>
        <x14:dataValidation type="list" allowBlank="1" showInputMessage="1" showErrorMessage="1" xr:uid="{B2E8BD81-4EEE-4645-B298-B544E91FCEF9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45563.617649618056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0.013190877825574416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0.029019931216263714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0.017380921370168643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0.059591730412006771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0.0055177528159265528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0.0034485955099540955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0.0030347640487596041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0.00089663483258806489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0.0013794382039816382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0.00041383146119449148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0.020691573059724574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0.00020691573059724574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0.016553258447779658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0.0031037359589586862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0.055246500069464612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0.00051728932649311432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0.00051728932649311432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0.00086214887748852387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0.0051728932649311435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0.0013794382039816382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0.0015246422254533896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0.039727820274671179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0.032761657344563912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0.036210252854518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0.0055177528159265528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0.0055177528159265528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0.12970893733044711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225</v>
      </c>
      <c r="J53" s="403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0.00814730689226655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0.012070084284839334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2931.25</v>
      </c>
      <c r="L55" s="244">
        <f>Table1610[[#Totals],[اجمالي]]/$G$79</f>
        <v>0.020217391177105887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3014.2535679959346</v>
      </c>
      <c r="I58" s="247"/>
      <c r="J58" s="403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0.43658753545906348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0.043658753545906349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0.4802462890049698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0.006897191019908191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0.0051728932649311435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0.010345786529862287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0.0051728932649311435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0.045521460731394063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0.034141095548545546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0.030347640487596042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0.018208584292557624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0.024140168569678669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0.020691573059724574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0.042762584323430788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0.011587280913445762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0.2549891520060058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144986.56005228503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188482.52806797053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48755BC4-ECF9-4AD1-9F6F-97BC323E54C9}">
      <formula1>$N$2:$N$20</formula1>
    </dataValidation>
    <dataValidation type="list" allowBlank="1" showInputMessage="1" showErrorMessage="1" sqref="G63:G75" xr:uid="{2476530F-CA9C-4D24-8F7D-5ED14A558363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45563.617649618056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0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0</v>
      </c>
      <c r="G6" s="242" t="s">
        <v>43</v>
      </c>
      <c r="H6" s="211">
        <v>8.5</v>
      </c>
      <c r="I6" s="211">
        <f>Table118[[#This Row],[الوزن]]*Table118[[#This Row],[عدد]]</f>
        <v>0</v>
      </c>
      <c r="J6" s="243">
        <f>H6*$H$2/1000</f>
        <v>382.5</v>
      </c>
      <c r="K6" s="240">
        <f>B6*J6</f>
        <v>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5.5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0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0</v>
      </c>
      <c r="G7" s="242" t="s">
        <v>43</v>
      </c>
      <c r="H7" s="211">
        <v>46.75</v>
      </c>
      <c r="I7" s="211">
        <f>Table118[[#This Row],[الوزن]]*Table118[[#This Row],[عدد]]</f>
        <v>0</v>
      </c>
      <c r="J7" s="243">
        <f ref="J7:J9" t="shared" si="1">H7*$H$2/1000</f>
        <v>2103.75</v>
      </c>
      <c r="K7" s="240">
        <f ref="K7:K9" t="shared" si="2">B7*J7</f>
        <v>0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4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4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0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0</v>
      </c>
      <c r="G9" s="211" t="s">
        <v>43</v>
      </c>
      <c r="H9" s="211">
        <v>56</v>
      </c>
      <c r="I9" s="211">
        <f>Table118[[#This Row],[الوزن]]*Table118[[#This Row],[عدد]]</f>
        <v>0</v>
      </c>
      <c r="J9" s="243">
        <f t="shared" si="1"/>
        <v>2520</v>
      </c>
      <c r="K9" s="240">
        <f t="shared" si="2"/>
        <v>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0</v>
      </c>
      <c r="G10" s="211"/>
      <c r="H10" s="211">
        <f>H9*B9+B8*H8+H7*B7</f>
        <v>0</v>
      </c>
      <c r="I10" s="211">
        <f>SUBTOTAL(109,Table118[اجمالي الميزان])</f>
        <v>0</v>
      </c>
      <c r="J10" s="242"/>
      <c r="K10" s="240">
        <f>SUBTOTAL(109,Table118[اجمالي])</f>
        <v>0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68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6.7200000000000006</v>
      </c>
      <c r="G15" s="211"/>
      <c r="H15" s="211"/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0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0</v>
      </c>
      <c r="L18" s="241" t="e">
        <f ref="L18:L27" t="shared" si="6">(K18)/$G$84</f>
        <v>#VALUE!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0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0</v>
      </c>
      <c r="L19" s="241" t="e">
        <f t="shared" si="6"/>
        <v>#VALUE!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0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0</v>
      </c>
      <c r="L20" s="241" t="e">
        <f t="shared" si="6"/>
        <v>#VALUE!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0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0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1000</v>
      </c>
      <c r="K24" s="240">
        <f t="shared" si="5"/>
        <v>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0</v>
      </c>
      <c r="L27" s="241" t="e">
        <f t="shared" si="6"/>
        <v>#VALUE!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0</v>
      </c>
      <c r="L28" s="244" t="e">
        <f>Table1522[[#Totals],[اجمالي]]/$G$84</f>
        <v>#VALUE!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1.3333333333333333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533.33333333333326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2.75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288.75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6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1500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4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2040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62</v>
      </c>
      <c r="D46" s="214"/>
      <c r="E46" s="214"/>
      <c r="F46" s="214"/>
      <c r="G46" s="211" t="s">
        <v>115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475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70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525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78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80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5712.083333333333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225</v>
      </c>
      <c r="J54" s="403">
        <f>Table161027[[#This Row],[سعر الكيلو]]*Table161027[[#This Row],[الوزن]]</f>
        <v>393.75</v>
      </c>
      <c r="K54" s="240">
        <f ref="K54:K55" t="shared" si="13">B54*J54</f>
        <v>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0</v>
      </c>
      <c r="L55" s="241" t="e">
        <f>(Table161027[[#This Row],[اجمالي]])/$G$84</f>
        <v>#VALUE!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0</v>
      </c>
      <c r="L56" s="241" t="e">
        <f>Table161027[[#Totals],[اجمالي]]/$G$84</f>
        <v>#VALUE!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 t="e">
        <f>'Cutting Ro-2'!$O$7</f>
        <v>#VALUE!</v>
      </c>
      <c r="I59" s="247"/>
      <c r="J59" s="40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0" s="240">
        <f t="shared" si="14"/>
        <v>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0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1" s="240">
        <f t="shared" si="14"/>
        <v>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0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2" s="240">
        <f t="shared" si="14"/>
        <v>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0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3" s="240">
        <f t="shared" si="14"/>
        <v>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-2</v>
      </c>
      <c r="C77" s="220" t="s">
        <v>149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-500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-2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-240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4390</v>
      </c>
      <c r="I81" s="560"/>
      <c r="J81" s="564"/>
      <c r="K81" s="565">
        <f>SUBTOTAL(109,Table161229[اجمالي])</f>
        <v>9650</v>
      </c>
      <c r="L81" s="566" t="e">
        <f>Table161229[[#Totals],[اجمالي]]/$G$84</f>
        <v>#VALUE!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 t="e">
        <f>G84*(1+Table1832[[#This Row],[Column3]])</f>
        <v>#VALUE!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FB15369F-9CC7-4CC7-BC0E-0271A4DB8560}">
      <formula1>$U$4:$U$5</formula1>
    </dataValidation>
    <dataValidation type="list" allowBlank="1" showInputMessage="1" showErrorMessage="1" sqref="F72:F80" xr:uid="{B77D4E00-B34E-444C-88E2-1704EBFA68BE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45563.617649791668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84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0.01764314419401268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0.049297020542094255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0.066940164736106936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0.0061501156231852485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0.0033825635927518865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0.0019987875775352056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0.0030750578115926242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1926.7</v>
      </c>
      <c r="F15" s="387">
        <f>SUBTOTAL(109,Table8[اجمالي التكلفة])</f>
        <v>24083.75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0.036900693739111486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0.051507218344176452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0.00069188800760834038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0.00069188800760834038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0.00038438222644907803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0.0023062933586944678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0.0012300231246370496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0.0033987481075497426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0.03286468036139617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0.036516311512662408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0.040360133777153188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0.012300231246370497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0.012300231246370497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0.14304481097649976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0.37029461784971929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0.037029461784971927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0.40732407963469125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0.00768764452898156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0.00768764452898156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0.011531466793472341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0.011531466793472341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0.0645762140434451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0.048432160532583826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0.032288107021722551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0.040590763113022635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0.026906755851435461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0.070726329666630353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0.0092251734347778714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0.33118372630852561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65039.427631578947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84551.255921052638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94F0111F-BF5B-4EDF-9F75-302EBC1D8785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45563.617649791668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84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0.065568088637992239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0.065568088637992239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0.0051125215312274649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0.0028118868421751061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0.0016615694976489263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0.01022504306245493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1130</v>
      </c>
      <c r="F17" s="387">
        <f>SUBTOTAL(109,Table823[اجمالي التكلفة])</f>
        <v>39550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0.019811020933506427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0.016104442823366514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0.006901904067157078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0.023006346890523593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0.0038684746252954498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0.0005751586722630898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0.0005751586722630898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0.00095859778710514977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0.0057515867226308982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0.0015337564593682397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0.0028253408462046519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0.039366415790451484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0.06071119318332615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0.067101845097360488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0.0018568678201418157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0.0018568678201418157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14629.279298245616</v>
      </c>
      <c r="W45" s="516">
        <f>Table135926[[#Totals],[اجمالي]]/$R$71</f>
        <v>0.18698126349655234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0.50550056640011565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0.050550056640011561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0.5560506230401272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0.012781303828068663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0.012781303828068663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0.0063906519140343315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0.0095859778710514973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0.026840738038944191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0.020130553529208145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0.030675129187364793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0.029396998804557924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0.14858265700129822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78239.279298245616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101711.0630877193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E3AD4F52-6B02-46B3-A49E-8923E05A511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3375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225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225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23292.75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20788.75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16631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45</v>
      </c>
      <c r="E28" s="316">
        <f>Table12[[#This Row],[سعر]]*Table12[[#This Row],[ميزان]]*Table12[[#This Row],[عدد]]</f>
        <v>7200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45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45</v>
      </c>
      <c r="E30" s="316">
        <f>Table12[[#This Row],[سعر]]*Table12[[#This Row],[ميزان]]*Table12[[#This Row],[عدد]]</f>
        <v>2520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65</v>
      </c>
      <c r="E31" s="316">
        <f>Table12[[#This Row],[سعر]]*Table12[[#This Row],[ميزان]]*Table12[[#This Row],[عدد]]</f>
        <v>1950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65</v>
      </c>
      <c r="E32" s="316">
        <f>Table12[[#This Row],[سعر]]*Table12[[#This Row],[ميزان]]*Table12[[#This Row],[عدد]]</f>
        <v>5980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250</v>
      </c>
      <c r="E38" s="342">
        <f>Table12[[#This Row],[سعر]]*Table12[[#This Row],[ميزان]]*Table12[[#This Row],[عدد]]</f>
        <v>2800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250</v>
      </c>
      <c r="E39" s="342">
        <f>Table12[[#This Row],[سعر]]*Table12[[#This Row],[ميزان]]*Table12[[#This Row],[عدد]]</f>
        <v>1400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45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62542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45</v>
      </c>
      <c r="E50" s="342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82"/>
      <c r="N50" s="283">
        <f>N49+N48</f>
        <v>62542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81304.6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45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38572</v>
      </c>
      <c r="F54" s="345">
        <f>Table12[[#Totals],[Column5]]/(تسعير!T54*تسعير!T55/10000)</f>
        <v>1542.88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45</v>
      </c>
      <c r="E61" s="316">
        <f>Table1257[[#This Row],[سعر]]*Table1257[[#This Row],[ميزان]]*Table1257[[#This Row],[عدد]]</f>
        <v>7200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45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45</v>
      </c>
      <c r="E63" s="316">
        <f>Table1257[[#This Row],[سعر]]*Table1257[[#This Row],[ميزان]]*Table1257[[#This Row],[عدد]]</f>
        <v>2520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65</v>
      </c>
      <c r="E64" s="316">
        <f>Table1257[[#This Row],[سعر]]*Table1257[[#This Row],[ميزان]]*Table1257[[#This Row],[عدد]]</f>
        <v>5850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65</v>
      </c>
      <c r="E65" s="316">
        <f>Table1257[[#This Row],[سعر]]*Table1257[[#This Row],[ميزان]]*Table1257[[#This Row],[عدد]]</f>
        <v>5980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250</v>
      </c>
      <c r="E72" s="342">
        <f>Table1257[[#This Row],[سعر]]*Table1257[[#This Row],[ميزان]]*Table1257[[#This Row],[عدد]]</f>
        <v>440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105</v>
      </c>
      <c r="E73" s="342">
        <f>Table1257[[#This Row],[سعر]]*Table1257[[#This Row],[ميزان]]*Table1257[[#This Row],[عدد]]</f>
        <v>357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45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77181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77181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45</v>
      </c>
      <c r="E84" s="342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104194.35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45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41931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42940722-8C69-4B6B-8791-CA348525F469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81937.5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45563.617649791668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45563.617649791668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10830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10830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4845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0.010245737932797545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0.010245737932797545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4845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0.02660296866761468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0.02660296866761468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1852.5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0.031635962739866109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0.031635962739866109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0.068484669340278331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0.068484669340278331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0.0031955517919056674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0.0031955517919056674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0.00087877674277405846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0.00087877674277405846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0.00051927716618467091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0.00051927716618467091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0.0031955517919056674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0.0031955517919056674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0.007789157492770064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0.007789157492770064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0.0043139949190726511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0.0043139949190726511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0.002516497036125713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0.002516497036125713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8521.15</v>
      </c>
      <c r="C24" s="194"/>
      <c r="D24" s="194"/>
      <c r="E24" s="194"/>
      <c r="F24" s="194">
        <f>SUBTOTAL(109,Table80102114[price])</f>
        <v>154930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0.0010784987297681628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0.0010784987297681628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0.0079089906849665274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0.0079089906849665274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0.00029958298049115632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0.00021569974595363255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0.00029958298049115632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0.00021569974595363255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0.00015977758959528337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9.98609934970521E-05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0.00059916596098231263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0.00059916596098231263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0.00031955517919056675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0.00031955517919056675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0.0016776646907504754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0.0016776646907504754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0.0741767459696103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0.048053110070781474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0.0379471775288798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0.0379471775288798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0.041941617268761881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0.041941617268761881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0.0031955517919056674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0.0031955517919056674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0.0031955517919056674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0.0031955517919056674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0.163584290667391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0.13768833783373544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>
        <f>(BQ46)/$R$68</f>
        <v>0.32934754821288764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154930</v>
      </c>
      <c r="V47" s="252">
        <f>M47*Table16136877[[#This Row],[سعر الشبك ]]</f>
        <v>154930</v>
      </c>
      <c r="W47" s="241">
        <f>(V47)/$R$68</f>
        <v>0.6188585488999313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>
        <f>(BQ47)/$R$68</f>
        <v>0.032934754821288763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154930</v>
      </c>
      <c r="V48" s="240">
        <f>M48*Table16136877[[#This Row],[سعر الشبك ]]</f>
        <v>15493</v>
      </c>
      <c r="W48" s="241">
        <f>(V48)/$R$68</f>
        <v>0.061885854889993132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>
        <f>Table1613687787[[#Totals],[اجمالي]]/$R$68</f>
        <v>0.36228230303417641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170423</v>
      </c>
      <c r="W49" s="244">
        <f>Table16136877[[#Totals],[اجمالي]]/$R$68</f>
        <v>0.6807444037899244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0.0019972198699410421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0.0019972198699410421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0.0019972198699410421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0.0019972198699410421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0.0059916596098231259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0.0059916596098231259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0.010385543323693418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0.016776646907504755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0.007789157492770064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0.012582485180628565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0.010385543323693418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0.016776646907504755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0.010545320913288702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0.010545320913288702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0.0089874894147346888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0.0089874894147346888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0.018374422803457587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0.018374422803457587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0.0033553293815009508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0.0033553293815009508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0.079808906002844043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0.0973844408583252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172704.65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250348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224516.045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325452.4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45000</v>
      </c>
      <c r="T73" s="295">
        <f>Sheet2!B13</f>
        <v>45000</v>
      </c>
      <c r="U73" s="295">
        <f>Sheet2!B14</f>
        <v>225000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45563.617649791668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45563.617649791668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52440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81937.5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0.030197964433508556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10830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3780</v>
      </c>
      <c r="V77" s="240">
        <f>M77*U77</f>
        <v>7560</v>
      </c>
      <c r="W77" s="241">
        <f>(V77)/$R$68</f>
        <v>0.030197964433508556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0.02660296866761468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10830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0.02660296866761468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0.031635962739866109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4845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0.031635962739866109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4845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1852.5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0.088436895840989349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22140</v>
      </c>
      <c r="W82" s="244">
        <f>Table15880101[[#Totals],[اجمالي]]/$R$68</f>
        <v>0.088436895840989349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0.0047933276878585011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0.0031955517919056674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5668.5406250000005</v>
      </c>
      <c r="AX85" s="302"/>
      <c r="AY85" s="302"/>
      <c r="AZ85" s="302"/>
      <c r="BA85" s="302">
        <f>SUBTOTAL(109,Table80102113[price])</f>
        <v>82451.5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0.00087877674277405846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0.00087877674277405846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0.00051927716618467091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0.00051927716618467091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0.0019173310751434004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0.0031955517919056674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0.00810871267196063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0.007789157492770064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0.0086279898381453023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2160</v>
      </c>
      <c r="W93" s="249">
        <f>(V93)/$R$68</f>
        <v>0.0086279898381453023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0.0021569974595363256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540</v>
      </c>
      <c r="W95" s="251">
        <f>(V95)/$R$68</f>
        <v>0.0021569974595363256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0.010784987297681627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2700</v>
      </c>
      <c r="W96" s="244">
        <f>Table16627394[[#Totals],[اجمالي]]/$R$68</f>
        <v>0.010784987297681627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8521.15</v>
      </c>
      <c r="C97" s="194"/>
      <c r="D97" s="194"/>
      <c r="E97" s="194"/>
      <c r="F97" s="194">
        <f>SUBTOTAL(109,Table80102114115[price])</f>
        <v>154930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0.00021569974595363255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0.00029958298049115632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0.00021569974595363255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0.00029958298049115632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9.98609934970521E-05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0.00015977758959528337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0.00059916596098231263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0.00059916596098231263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0.00031955517919056675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0.00031955517919056675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0.0016776646907504754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0.0016776646907504754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0.060395928867017112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0.04743397191109975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0.060395928867017112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0.052427021585952353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0.04743397191109975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0.0031955517919056674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0.052427021585952353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0.0031955517919056674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0.0031955517919056674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42503</v>
      </c>
      <c r="BR113" s="566">
        <f>Table13597192103[[#Totals],[اجمالي]]/$R$68</f>
        <v>0.16977567226420823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41760</v>
      </c>
      <c r="W114" s="516">
        <f>Table13597192[[#Totals],[اجمالي]]/$R$68</f>
        <v>0.16680780353747585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82451.5</v>
      </c>
      <c r="BQ117" s="252">
        <f>BH117*Table1613687798109[[#This Row],[سعر الشبك ]]</f>
        <v>82451.5</v>
      </c>
      <c r="BR117" s="241">
        <f>(BQ117)/$R$68</f>
        <v>0.32934754821288764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154930</v>
      </c>
      <c r="V118" s="252">
        <f>M118*Table1613687798[[#This Row],[سعر الشبك ]]</f>
        <v>154930</v>
      </c>
      <c r="W118" s="241">
        <f>(V118)/$R$68</f>
        <v>0.6188585488999313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82451.5</v>
      </c>
      <c r="BQ118" s="240">
        <f>BH118*Table1613687798109[[#This Row],[سعر الشبك ]]</f>
        <v>8245.15</v>
      </c>
      <c r="BR118" s="241">
        <f>(BQ118)/$R$68</f>
        <v>0.032934754821288763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154930</v>
      </c>
      <c r="V119" s="240">
        <f>M119*Table1613687798[[#This Row],[سعر الشبك ]]</f>
        <v>15493</v>
      </c>
      <c r="W119" s="241">
        <f>(V119)/$R$68</f>
        <v>0.061885854889993132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90696.65</v>
      </c>
      <c r="BR119" s="244">
        <f>Table1613687798109[[#Totals],[اجمالي]]/$R$68</f>
        <v>0.36228230303417641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170423</v>
      </c>
      <c r="W120" s="244">
        <f>Table1613687798[[#Totals],[اجمالي]]/$R$68</f>
        <v>0.6807444037899244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0.0019972198699410421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0.0019972198699410421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0.0019972198699410421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0.0019972198699410421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0.0059916596098231259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0.0059916596098231259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0.016776646907504755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0.016776646907504755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0.012582485180628565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0.012582485180628565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0.016776646907504755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0.016776646907504755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0.010545320913288702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0.010545320913288702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0.0089874894147346888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0.0089874894147346888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0.018374422803457587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0.018374422803457587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0.0033553293815009508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0.0033553293815009508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0.0973844408583252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0.0973844408583252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184449.65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263353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239784.545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342358.9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EF0A6307-F24F-4032-90F3-62E901E81A33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