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<sst xmlns="http://schemas.openxmlformats.org/spreadsheetml/2006/main" count="595" uniqueCount="595">
  <si>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</si>
  <si>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</si>
  <si>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</si>
  <si>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</si>
  <si>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</si>
  <si>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</si>
  <si>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</si>
  <si>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</si>
  <si>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</si>
  <si>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</si>
  <si>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</si>
  <si>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</si>
  <si>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</si>
  <si>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</si>
  <si>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</si>
  <si>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</si>
  <si>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</si>
  <si>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</si>
  <si>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</si>
  <si>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</si>
  <si>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</si>
  <si>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</si>
  <si>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</si>
  <si>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</si>
  <si>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</si>
  <si>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</si>
  <si>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</si>
  <si>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</si>
  <si>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</si>
  <si>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</si>
  <si>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</si>
  <si>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</si>
  <si>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</si>
  <si>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</si>
  <si>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</si>
  <si>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</si>
  <si>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</si>
  <si>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</si>
  <si>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</si>
  <si>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</si>
  <si>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</si>
  <si>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</si>
  <si>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</si>
  <si>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</si>
  <si>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</si>
  <si>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</si>
  <si>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</si>
  <si>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</si>
  <si>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</si>
  <si>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</si>
  <si>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</si>
  <si>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</si>
  <si>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</si>
  <si>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</si>
  <si>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</si>
  <si>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</si>
  <si>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</si>
  <si>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</si>
  <si>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</si>
  <si>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</si>
  <si>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</si>
  <si>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</si>
  <si>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</si>
  <si>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</si>
  <si>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</si>
  <si>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</si>
  <si>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</si>
  <si>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</si>
  <si>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</si>
  <si>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</si>
  <si>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</si>
  <si>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</si>
  <si>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</si>
  <si>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</si>
  <si>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</si>
  <si>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</si>
  <si>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</si>
  <si>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</si>
  <si>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</si>
  <si>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</si>
  <si>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</si>
  <si>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</si>
  <si>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</si>
  <si>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</si>
  <si>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</si>
  <si>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</si>
  <si>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</si>
  <si>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</si>
  <si>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</si>
  <si>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</si>
  <si>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</si>
  <si>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</si>
  <si>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</si>
  <si>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</si>
  <si>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</si>
  <si>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</si>
  <si>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</si>
  <si>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</si>
  <si>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</si>
  <si>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</si>
  <si>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</si>
  <si>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</si>
  <si>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</si>
  <si>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</si>
  <si>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</si>
  <si>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</si>
  <si>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</si>
  <si>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</si>
  <si>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</si>
  <si>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</si>
  <si>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</si>
  <si>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</si>
  <si>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</si>
  <si>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</si>
  <si>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</si>
  <si>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</si>
  <si>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</si>
  <si>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</si>
  <si>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</si>
  <si>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</si>
  <si>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</si>
  <si>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</si>
  <si>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</si>
  <si>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</si>
  <si>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</si>
  <si>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</si>
  <si>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</si>
  <si>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</si>
  <si>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</si>
  <si>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</si>
  <si>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</si>
  <si>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</si>
  <si>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</si>
  <si>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</si>
  <si>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</si>
  <si>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</si>
  <si>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</si>
  <si>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</si>
  <si>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</si>
  <si>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</si>
  <si>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</si>
  <si>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</si>
  <si>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</si>
  <si>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</si>
  <si>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</si>
  <si>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</si>
  <si>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</si>
  <si>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</si>
  <si>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</si>
  <si>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</si>
  <si>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</si>
  <si>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</si>
  <si>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</si>
  <si>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</si>
  <si>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</si>
  <si>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</si>
  <si>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</si>
  <si>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</si>
  <si>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</si>
  <si>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</si>
  <si>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</si>
  <si>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</si>
  <si>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</si>
  <si>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</si>
  <si>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</si>
  <si>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</si>
  <si>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</si>
  <si>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</si>
  <si>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</si>
  <si>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</si>
  <si>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</si>
  <si>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</si>
  <si>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</si>
  <si>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</si>
  <si>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</si>
  <si>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</si>
  <si>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</si>
  <si>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</si>
  <si>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</si>
  <si>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</si>
  <si>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</si>
  <si>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اسباني</t>
  </si>
  <si>
    <t>single مطرز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</si>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</sst>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0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70" totalsRowDxfId="135"/>
    <tableColumn id="2" name="عدد" dataDxfId="69" totalsRowDxfId="1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BP28</calculatedColumnFormula>
    </tableColumn>
    <tableColumn id="8" name="اجمالي" totalsRowFunction="sum" dataDxfId="67" totalsRowDxfId="131">
      <calculatedColumnFormula>BH98*BP99</calculatedColumnFormula>
    </tableColumn>
    <tableColumn id="9" name="%" totalsRowFunction="custom" totalsRowDxfId="1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70" totalsRowDxfId="135"/>
    <tableColumn id="2" name="عدد" dataDxfId="69" totalsRowDxfId="135">
      <calculatedColumnFormula>IF((#REF!="بالتات"),0,4)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90" totalsRowDxfId="133">
      <calculatedColumnFormula>Sheet2!AW26</calculatedColumnFormula>
    </tableColumn>
    <tableColumn id="8" name="اجمالي" totalsRowFunction="sum" dataDxfId="67" totalsRowDxfId="131">
      <calculatedColumnFormula>BH84*BP84</calculatedColumnFormula>
    </tableColumn>
    <tableColumn id="9" name="%" totalsRowFunction="custom" totalsRowDxfId="130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70"/>
    <tableColumn id="2" name="عدد" totalsRowFunction="sum" dataDxfId="70">
      <calculatedColumnFormula>BH90*4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(Table16627394105[[#This Row],[Column1]]*Table16627394105[[#This Row],[Column2]])*Table16627394105[[#This Row],[عدد]]</calculatedColumnFormula>
    </tableColumn>
    <tableColumn id="4" name="الوحده" dataDxfId="70"/>
    <tableColumn id="5" name="الوزن" totalsRowFunction="custom">
      <totalsRowFormula>(BN93*BH93)+(BH94*BN94)</totalsRowFormula>
    </tableColumn>
    <tableColumn id="6" name="سعر الكيلو" dataDxfId="69"/>
    <tableColumn id="7" name="سعر الشبك " dataDxfId="121">
      <calculatedColumnFormula>BN92*$S$2/1000</calculatedColumnFormula>
    </tableColumn>
    <tableColumn id="8" name="اجمالي" totalsRowFunction="sum" dataDxfId="67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70"/>
    <tableColumn id="2" name="عدد" dataDxfId="77">
      <calculatedColumnFormula>IF((تسعير!$AU$14="بالتات"),0,BH119-2)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تسعير!$BE$44</calculatedColumnFormula>
    </tableColumn>
    <tableColumn id="10" name="شيفت العمل" dataDxfId="70"/>
    <tableColumn id="12" name="Column12" totalsRowFunction="sum" dataDxfId="71">
      <calculatedColumnFormula>SUMIF(Table17697899110[Column1],Table1612677697108[[#This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Table1612677697108[[#This Row],[Column12]]</calculatedColumnFormula>
    </tableColumn>
    <tableColumn id="8" name="اجمالي" totalsRowFunction="sum" dataDxfId="67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79"/>
    <tableColumn id="2" name="عدد" dataDxfId="77">
      <calculatedColumnFormula>IF((BL133="الاسكندرية"),0.25,0.1)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BQ116</calculatedColumnFormula>
    </tableColumn>
    <tableColumn id="8" name="اجمالي" totalsRowFunction="sum" dataDxfId="67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IF((BL133="المقطم"),0.3,IF((BL133="التجمع"),0.3,IF((BL133="الشيخ زايد"),0.3,IF((BL133="الاسكندرية"),0.5,0.35))))</calculatedColumnFormula>
    </tableColumn>
    <tableColumn id="2" name="Column2" dataDxfId="7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70"/>
    <tableColumn id="2" name="عدد" dataDxfId="70">
      <calculatedColumnFormula>IF(OR((BI69="B11"),(BI69="B12"),(BI69="B21"),(BI69="B22"),(BI69="B31"),(BI69="B32")),3,0)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(Table15880101112[[#This Row],[Column1]]+Table15880101112[[#This Row],[Column2]])*12*Table15880101112[[#This Row],[عدد]]</calculatedColumnFormula>
    </tableColumn>
    <tableColumn id="4" name="الوحده" dataDxfId="70"/>
    <tableColumn id="5" name="الوزن" totalsRowFunction="custom">
      <totalsRowFormula>(BN76*BH76)+(BN77*BH77)+(BN78*BH78)+(BN79*BH79)</totalsRowFormula>
    </tableColumn>
    <tableColumn id="6" name="اجمالي المسطح" totalsRowFunction="sum" dataDxfId="69">
      <calculatedColumnFormula>Table15880101112[[#This Row],[المسطح]]*Table15880101112[[#This Row],[عدد]]</calculatedColumnFormula>
    </tableColumn>
    <tableColumn id="7" name="سعر الشبك " dataDxfId="68">
      <calculatedColumnFormula>BN76*$S$2/1000</calculatedColumnFormula>
    </tableColumn>
    <tableColumn id="8" name="اجمالي" totalsRowFunction="sum" dataDxfId="67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70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62" totalsRowDxfId="5"/>
    <tableColumn id="2" name="عدد" totalsRowFunction="custom" totalsRowDxfId="4">
      <totalsRowFormula>(Table80102113[[#Totals],[price]]*1.1)/(BA72*AY72/10000)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44" totalsRowDxfId="5"/>
    <tableColumn id="2" name="عدد" totalsRowFunction="custom" dataDxfId="44" totalsRowDxfId="4">
      <totalsRowFormula>(Table80102114[[#Totals],[price]]*1.1)/(F1*D1/10000)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52" dataDxfId="44" totalsRowDxfId="50">
  <autoFilter ref="A75:F96"/>
  <tableColumns count="6">
    <tableColumn id="1" name="Column1" totalsRowLabel="Total" dataDxfId="44" totalsRowDxfId="5"/>
    <tableColumn id="2" name="عدد" totalsRowFunction="custom" dataDxfId="44" totalsRowDxfId="4">
      <totalsRowFormula>(Table80102114115[[#Totals],[price]]*1.1)/(F74*D74/10000)</totalsRowFormula>
    </tableColumn>
    <tableColumn id="3" name="طول" dataDxfId="44" totalsRowDxfId="0"/>
    <tableColumn id="4" name="Column2" dataDxfId="44" totalsRowDxfId="0"/>
    <tableColumn id="5" name="wt/m" dataDxfId="44" totalsRowDxfId="0"/>
    <tableColumn id="6" name="price" totalsRowFunction="sum" dataDxfId="44" totalsRowDxfId="0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70"/>
    <tableColumn id="2" name="عدد" dataDxfId="70">
      <calculatedColumnFormula>IF((F74="الاسكندرية"),0.25,0.1)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(K57)</calculatedColumnFormula>
    </tableColumn>
    <tableColumn id="8" name="اجمالي" totalsRowFunction="sum" dataDxfId="67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70" totalsRowDxfId="135"/>
    <tableColumn id="2" name="عدد" dataDxfId="77" totalsRowDxfId="135">
      <calculatedColumnFormula>B60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SUMIF(Table17[Column1],Table1612[[#This Row],[موقع العمل]],$T$2:$T$20)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Table1612[[#This Row],[Column12]]</calculatedColumnFormula>
    </tableColumn>
    <tableColumn id="8" name="اجمالي" totalsRowFunction="sum" dataDxfId="67" totalsRowDxfId="131">
      <calculatedColumnFormula>B63*J63</calculatedColumnFormula>
    </tableColumn>
    <tableColumn id="9" name="%" totalsRowFunction="custom" totalsRowDxfId="130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7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70"/>
    <tableColumn id="2" name="عدد" dataDxfId="7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(Table118[[#This Row],[Column1]]+Table118[[#This Row],[Column2]])*12*Table118[[#This Row],[عدد]]</calculatedColumnFormula>
    </tableColumn>
    <tableColumn id="4" name="الوحده" dataDxfId="70"/>
    <tableColumn id="5" name="الوزن" dataDxfId="70"/>
    <tableColumn id="6" name="اجمالي الميزان" totalsRowFunction="sum" dataDxfId="69">
      <calculatedColumnFormula>Table118[[#This Row],[الوزن]]*Table118[[#This Row],[عدد]]</calculatedColumnFormula>
    </tableColumn>
    <tableColumn id="7" name="سعر الشبك " dataDxfId="121">
      <calculatedColumnFormula>H6*$H$2/1000</calculatedColumnFormula>
    </tableColumn>
    <tableColumn id="8" name="اجمالي" totalsRowFunction="sum" dataDxfId="67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70"/>
    <tableColumn id="2" name="عدد" dataDxfId="6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0"/>
    <tableColumn id="4" name="الوحده" totalsRowLabel="total" dataDxfId="70"/>
    <tableColumn id="5" name="الوزن" dataDxfId="6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70">
      <calculatedColumnFormula>Sheet2!B7</calculatedColumnFormula>
    </tableColumn>
    <tableColumn id="7" name="سعر الشبك " dataDxfId="121"/>
    <tableColumn id="8" name="اجمالي" totalsRowFunction="sum" dataDxfId="67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70"/>
    <tableColumn id="2" name="عدد" dataDxfId="70">
      <calculatedColumnFormula>IF((تسعير!X30&lt;800),0,IF(AND((تسعير!X30&gt;800),(600&gt;=تسعير!AA32)),1,0))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(Table1421[[#This Row],[Column1]]+Table1421[[#This Row],[Column2]])*12*Table1421[[#This Row],[عدد]]</calculatedColumnFormula>
    </tableColumn>
    <tableColumn id="4" name="الوحده" dataDxfId="70"/>
    <tableColumn id="5" name="الوزن" dataDxfId="70"/>
    <tableColumn id="6" name="سعر الكيلو" totalsRowFunction="sum" dataDxfId="69">
      <calculatedColumnFormula>Table1421[[#This Row],[الوزن]]*Table1421[[#This Row],[عدد]]</calculatedColumnFormula>
    </tableColumn>
    <tableColumn id="7" name="سعر الشبك " dataDxfId="121">
      <calculatedColumnFormula>H13*$I$2/1000</calculatedColumnFormula>
    </tableColumn>
    <tableColumn id="8" name="اجمالي" totalsRowFunction="sum" dataDxfId="67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70"/>
    <tableColumn id="2" name="عدد" dataDxfId="69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Sheet2!B22</calculatedColumnFormula>
    </tableColumn>
    <tableColumn id="8" name="اجمالي" totalsRowFunction="sum" dataDxfId="67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70"/>
    <tableColumn id="2" name="عدد" totalsRowFunction="count" dataDxfId="69">
      <calculatedColumnFormula>B30*4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(Table1624[[#This Row],[Column1]]*Table1624[[#This Row],[Column2]])*Table1624[[#This Row],[عدد]]</calculatedColumnFormula>
    </tableColumn>
    <tableColumn id="4" name="الوحده" dataDxfId="70"/>
    <tableColumn id="5" name="الوزن" totalsRowFunction="custom">
      <totalsRowFormula>H31*B31+H32*B32</totalsRowFormula>
    </tableColumn>
    <tableColumn id="6" name="سعر الكيلو" dataDxfId="69">
      <calculatedColumnFormula>$H$2/1000</calculatedColumnFormula>
    </tableColumn>
    <tableColumn id="7" name="سعر الشبك " dataDxfId="121">
      <calculatedColumnFormula>H31*$H$2/1000</calculatedColumnFormula>
    </tableColumn>
    <tableColumn id="8" name="اجمالي" totalsRowFunction="sum" dataDxfId="67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70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79"/>
    <tableColumn id="11" name="Column2" dataDxfId="79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93"/>
    <tableColumn id="7" name="سعر الشبك " dataDxfId="90">
      <calculatedColumnFormula>Sheet2!B31</calculatedColumnFormula>
    </tableColumn>
    <tableColumn id="8" name="اجمالي" totalsRowFunction="sum" dataDxfId="67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70"/>
    <tableColumn id="2" name="عدد" dataDxfId="70">
      <calculatedColumnFormula>IF((F79="الاسكندرية"),0.25,0.1)</calculatedColumnFormula>
    </tableColumn>
    <tableColumn id="3" name="بيان برجولا رويال" totalsRowLabel="Total" dataDxfId="70"/>
    <tableColumn id="12" name="Column12" totalsRowFunction="sum" dataDxfId="71"/>
    <tableColumn id="5" name="Column1" dataDxfId="70"/>
    <tableColumn id="11" name="العرض" dataDxfId="79"/>
    <tableColumn id="10" name="الامتداد" dataDxfId="69"/>
    <tableColumn id="4" name="سعر المتر" dataDxfId="93"/>
    <tableColumn id="6" name="Column2" dataDxfId="106"/>
    <tableColumn id="7" name="سعر البرجولا كاملة" dataDxfId="121">
      <calculatedColumnFormula>K58</calculatedColumnFormula>
    </tableColumn>
    <tableColumn id="8" name="اجمالي" totalsRowFunction="sum" dataDxfId="67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70" totalsRowDxfId="135"/>
    <tableColumn id="2" name="عدد" dataDxfId="77" totalsRowDxfId="135">
      <calculatedColumnFormula>B65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SUMIF(Table1731[Column1],Table161229[[#This Row],[موقع العمل]],$T$2:$T$26)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Table161229[[#This Row],[Column12]]</calculatedColumnFormula>
    </tableColumn>
    <tableColumn id="8" name="اجمالي" totalsRowFunction="sum" dataDxfId="67" totalsRowDxfId="131">
      <calculatedColumnFormula>B68*J68</calculatedColumnFormula>
    </tableColumn>
    <tableColumn id="9" name="%" totalsRowFunction="custom" totalsRowDxfId="130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79" totalsRowDxfId="135"/>
    <tableColumn id="2" name="عدد" dataDxfId="77" totalsRowDxfId="135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/>
    <tableColumn id="8" name="اجمالي" totalsRowFunction="sum" dataDxfId="67" totalsRowDxfId="131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7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(Table1662[[#This Row],[Column1]]*Table1662[[#This Row],[Column2]])*Table1662[[#This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IF((تسعير!$AU$14="بالتات"),0,M52-2)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SUMIF(Table1769[Column1],Table161267[[#This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IF((N2="A1"),2,IF((N2="A2"),3,IF((N2="B1"),2.5,IF((N2="B2"),3,0))))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(Table158[[#This Row],[Column1]]+Table158[[#This Row],[Column2]])*12*Table158[[#This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totalsRowFunction="sum" dataDxfId="69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615" totalsRowDxfId="12"/>
    <tableColumn id="6" name="الطول بالمتر" dataDxfId="615" totalsRowDxfId="12"/>
    <tableColumn id="5" name="وزن المتر " dataDxfId="615" totalsRowDxfId="12"/>
    <tableColumn id="4" name="سعر الكيلو" dataDxfId="615" totalsRowDxfId="12"/>
    <tableColumn id="3" name="اجمالي عدد " totalsRowFunction="custom" totalsRowDxfId="12">
      <totalsRowFormula>Table823[[#Totals],[اجمالي التكلفة]]/B1</totalsRowFormula>
    </tableColumn>
    <tableColumn id="2" name="اجمالي التكلفة" totalsRowFunction="sum" dataDxfId="766" totalsRowDxfId="16"/>
    <tableColumn id="9" name="Column1" dataDxfId="615" totalsRowDxfId="12"/>
    <tableColumn id="10" name="Column2" dataDxfId="615" totalsRowDxfId="12"/>
    <tableColumn id="11" name="Column3" dataDxfId="615" totalsRowDxfId="12"/>
    <tableColumn id="12" name="Column4" dataDxfId="615" totalsRowDxfId="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</calculatedColumnFormula>
    </tableColumn>
    <tableColumn id="8" name="اجمالي" totalsRowFunction="sum" dataDxfId="67" totalsRowDxfId="131">
      <calculatedColumnFormula>M26*U26</calculatedColumnFormula>
    </tableColumn>
    <tableColumn id="9" name="%" totalsRowFunction="custom" totalsRowDxfId="1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Sheet2!B24</calculatedColumnFormula>
    </tableColumn>
    <tableColumn id="8" name="اجمالي" totalsRowFunction="sum" dataDxfId="67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(Table166241[[#This Row],[Column1]]*Table166241[[#This Row],[Column2]])*Table166241[[#This Row],[عدد]]</calculatedColumnFormula>
    </tableColumn>
    <tableColumn id="4" name="الوحده" dataDxfId="70"/>
    <tableColumn id="5" name="الوزن" totalsRowFunction="custom">
      <totalsRowFormula>(S21*M21)+(M22*S22)</totalsRowFormula>
    </tableColumn>
    <tableColumn id="6" name="سعر الكيلو" dataDxfId="69"/>
    <tableColumn id="7" name="سعر الشبك " dataDxfId="121">
      <calculatedColumnFormula>S21*$S$2/1000</calculatedColumnFormula>
    </tableColumn>
    <tableColumn id="8" name="اجمالي" totalsRowFunction="sum" dataDxfId="67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70" totalsRowDxfId="135"/>
    <tableColumn id="2" name="عدد" dataDxfId="77" totalsRowDxfId="135">
      <calculatedColumnFormula>IF((تسعير!$BF$14="بالتات"),0,M52-2)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تسعير!$BE$4</calculatedColumnFormula>
    </tableColumn>
    <tableColumn id="10" name="شيفت العمل" dataDxfId="70" totalsRowDxfId="135"/>
    <tableColumn id="12" name="Column12" totalsRowFunction="sum" dataDxfId="71" totalsRowDxfId="141"/>
    <tableColumn id="4" name="عدد الايام" dataDxfId="102" totalsRowDxfId="135"/>
    <tableColumn id="7" name="اجمالي التكلفة للعامل" dataDxfId="101" totalsRowDxfId="133">
      <calculatedColumnFormula>Table16126744[[#This Row],[Column12]]</calculatedColumnFormula>
    </tableColumn>
    <tableColumn id="8" name="اجمالي" totalsRowFunction="sum" dataDxfId="67" totalsRowDxfId="131">
      <calculatedColumnFormula>M55*U55</calculatedColumnFormula>
    </tableColumn>
    <tableColumn id="9" name="%" totalsRowFunction="custom" totalsRowDxfId="1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79"/>
    <tableColumn id="2" name="عدد" dataDxfId="77">
      <calculatedColumnFormula>IF((Q65="الاسكندرية"),0.25,0.1)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V48</calculatedColumnFormula>
    </tableColumn>
    <tableColumn id="8" name="اجمالي" totalsRowFunction="sum" dataDxfId="67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615"/>
    <tableColumn id="2" name="خارجي" dataDxfId="615"/>
    <tableColumn id="3" name="داخلي" dataDxfId="615"/>
    <tableColumn id="4" name="بدل الوجبة" dataDxfId="615"/>
    <tableColumn id="5" name="دبابة" dataDxfId="615"/>
    <tableColumn id="6" name="جامبو" dataDxfId="615"/>
    <tableColumn id="7" name="الاقامة" dataDxfId="615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IF((Q66="المقطم"),0.3,IF((Q66="التجمع"),0.3,IF((Q66="الشيخ زايد"),0.3,IF((Q66="الاسكندرية"),0.5,0.35))))</calculatedColumnFormula>
    </tableColumn>
    <tableColumn id="2" name="Column2" dataDxfId="7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70"/>
    <tableColumn id="2" name="عدد" dataDxfId="70">
      <calculatedColumnFormula>IF((N2="c1"),3,IF((N2="c2"),4,IF((N2="d1"),4,IF((N2="d2"),5,0))))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(Table15855[[#This Row],[Column1]]+Table15855[[#This Row],[Column2]])*12*Table15855[[#This Row],[عدد]]</calculatedColumnFormula>
    </tableColumn>
    <tableColumn id="4" name="الوحده" dataDxfId="70"/>
    <tableColumn id="5" name="الوزن" totalsRowFunction="custom">
      <totalsRowFormula>(S7*M7)</totalsRowFormula>
    </tableColumn>
    <tableColumn id="6" name="سعر الكيلو" dataDxfId="69"/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615"/>
    <tableColumn id="2" name="المقاس" dataDxfId="615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70" totalsRowDxfId="135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70" totalsRowDxfId="135"/>
    <tableColumn id="5" name="الوزن" totalsRowFunction="custom" totalsRowDxfId="135">
      <totalsRowFormula>(H6*B6)+(H8*B8)+(H7*B7)</totalsRowFormula>
    </tableColumn>
    <tableColumn id="6" name="مسطح" dataDxfId="69" totalsRowDxfId="135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615" totalsRowDxfId="650"/>
    <tableColumn id="2" name="عدد/الشمسية" dataDxfId="649" totalsRowDxfId="646"/>
    <tableColumn id="3" name="سعر الوحدة" dataDxfId="615" totalsRowDxfId="646"/>
    <tableColumn id="4" name="قيمة" totalsRowFunction="sum" dataDxfId="615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615"/>
    <tableColumn id="2" name="Column2" dataDxfId="615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6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631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630"/>
    <tableColumn id="2" name="Column2" dataDxfId="615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615" totalsRowDxfId="141"/>
    <tableColumn id="2" name="عدد/الشمسية" dataDxfId="626" totalsRowDxfId="141"/>
    <tableColumn id="3" name="سعر الوحدة" dataDxfId="615" totalsRowDxfId="141"/>
    <tableColumn id="4" name="قيمة" totalsRowFunction="sum" dataDxfId="615" totalsRowDxfId="141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615"/>
    <tableColumn id="2" name="امتار عادية" dataDxfId="615"/>
    <tableColumn id="4" name="امتار single" dataDxfId="615"/>
    <tableColumn id="6" name="امتار douple" dataDxfId="615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70" totalsRowDxfId="135"/>
    <tableColumn id="2" name="عدد" dataDxfId="69" totalsRowDxfId="1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Sheet2!B8</calculatedColumnFormula>
    </tableColumn>
    <tableColumn id="8" name="اجمالي" totalsRowFunction="sum" dataDxfId="67" totalsRowDxfId="131">
      <calculatedColumnFormula>B35*J35</calculatedColumnFormula>
    </tableColumn>
    <tableColumn id="9" name="%" totalsRowFunction="custom" totalsRowDxfId="130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615"/>
    <tableColumn id="2" name="Column2" dataDxfId="615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61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610"/>
    <tableColumn id="2" name="الناتج" dataDxfId="611"/>
    <tableColumn id="3" name="Column1" dataDxfId="61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77" totalsRowDxfId="135">
      <calculatedColumnFormula>I28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تسعير!$T$45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Table161243[[#This Row],[Column12]]</calculatedColumnFormula>
    </tableColumn>
    <tableColumn id="8" name="اجمالي" totalsRowFunction="sum" dataDxfId="67" totalsRowDxfId="131">
      <calculatedColumnFormula>I31*Q31</calculatedColumnFormula>
    </tableColumn>
    <tableColumn id="9" name="%" totalsRowFunction="custom" totalsRowDxfId="1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7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70" totalsRowDxfId="56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560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77" totalsRowDxfId="135">
      <calculatedColumnFormula>I61</calculatedColumnFormula>
    </tableColumn>
    <tableColumn id="3" name="بيان" totalsRowLabel="Total" dataDxfId="555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تسعير!$T$63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SUMIF(Table17[Column1],Table16124360[[#This Row],[موقع العمل]],Table17[الاقامة])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Table16124360[[#This Row],[Column12]]</calculatedColumnFormula>
    </tableColumn>
    <tableColumn id="8" name="اجمالي" totalsRowFunction="sum" dataDxfId="67" totalsRowDxfId="131">
      <calculatedColumnFormula>I64*Q64</calculatedColumnFormula>
    </tableColumn>
    <tableColumn id="9" name="%" totalsRowFunction="custom" totalsRowDxfId="1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7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M28*U28</calculatedColumnFormula>
    </tableColumn>
    <tableColumn id="9" name="%" totalsRowFunction="custom" totalsRowDxfId="1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70"/>
    <tableColumn id="2" name="عدد" dataDxfId="70">
      <calculatedColumnFormula>IF((تسعير!X7&lt;800),0,IF(AND((تسعير!X7&gt;800),(600&gt;=تسعير!AA9)),1,0))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69">
      <calculatedColumnFormula>(Table14[[#This Row],[Column1]]+Table14[[#This Row],[Column2]])*12*Table14[[#This Row],[عدد]]</calculatedColumnFormula>
    </tableColumn>
    <tableColumn id="4" name="الوحده" dataDxfId="70"/>
    <tableColumn id="5" name="الوزن" totalsRowFunction="custom">
      <totalsRowFormula>H12*B12+H13*B13</totalsRowFormula>
    </tableColumn>
    <tableColumn id="6" name="مسطح" dataDxfId="69">
      <calculatedColumnFormula>Table14[[#This Row],[Column12]]*Table14[[#This Row],[عدد]]</calculatedColumnFormula>
    </tableColumn>
    <tableColumn id="7" name="سعر الشبك " dataDxfId="121">
      <calculatedColumnFormula>H12*$I$2/1000</calculatedColumnFormula>
    </tableColumn>
    <tableColumn id="8" name="اجمالي" totalsRowFunction="sum" dataDxfId="6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70"/>
    <tableColumn id="2" name="عدد" dataDxfId="69"/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70"/>
    <tableColumn id="2" name="عدد" totalsRowFunction="count" dataDxfId="70">
      <calculatedColumnFormula>M20*4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(Table166273[[#This Row],[Column1]]*Table166273[[#This Row],[Column2]])*Table166273[[#This Row],[عدد]]</calculatedColumnFormula>
    </tableColumn>
    <tableColumn id="4" name="الوحده" dataDxfId="70"/>
    <tableColumn id="5" name="الوزن" totalsRowFunction="custom">
      <totalsRowFormula>(S23*M23)+(M24*S24)</totalsRowFormula>
    </tableColumn>
    <tableColumn id="6" name="سعر الكيلو" dataDxfId="69"/>
    <tableColumn id="7" name="سعر الشبك " dataDxfId="121">
      <calculatedColumnFormula>S22*$S$2/1000</calculatedColumnFormula>
    </tableColumn>
    <tableColumn id="8" name="اجمالي" totalsRowFunction="sum" dataDxfId="67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70" totalsRowDxfId="135"/>
    <tableColumn id="2" name="عدد" dataDxfId="77" totalsRowDxfId="135">
      <calculatedColumnFormula>IF((تسعير!$AU$14="بالتات"),0,M49-2)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تسعير!$AT$24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SUMIF(Table176978[Column1],Table16126776[[#This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Table16126776[[#This Row],[Column12]]</calculatedColumnFormula>
    </tableColumn>
    <tableColumn id="8" name="اجمالي" totalsRowFunction="sum" dataDxfId="67" totalsRowDxfId="131">
      <calculatedColumnFormula>M52*U52</calculatedColumnFormula>
    </tableColumn>
    <tableColumn id="9" name="%" totalsRowFunction="custom" totalsRowDxfId="1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79" totalsRowDxfId="135"/>
    <tableColumn id="2" name="عدد" dataDxfId="77" totalsRowDxfId="135">
      <calculatedColumnFormula>IF((Q63="الاسكندرية"),0.25,0.1)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Table80102114[[#Totals],[price]]</calculatedColumnFormula>
    </tableColumn>
    <tableColumn id="8" name="اجمالي" totalsRowFunction="sum" dataDxfId="67" totalsRowDxfId="131">
      <calculatedColumnFormula>M47*Table16136877[[#This Row],[سعر الشبك ]]</calculatedColumnFormula>
    </tableColumn>
    <tableColumn id="9" name="%" totalsRowFunction="custom" totalsRowDxfId="130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IF((Q63="المقطم"),0.3,IF((Q63="التجمع"),0.3,IF((Q63="الشيخ زايد"),0.3,IF((Q63="الاسكندرية"),0.5,0.35))))</calculatedColumnFormula>
    </tableColumn>
    <tableColumn id="2" name="Column2" dataDxfId="7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(Table15880[[#This Row],[Column1]]+Table15880[[#This Row],[Column2]])*12*Table15880[[#This Row],[عدد]]</calculatedColumnFormula>
    </tableColumn>
    <tableColumn id="4" name="الوحده" dataDxfId="70"/>
    <tableColumn id="5" name="الوزن" totalsRowFunction="custom">
      <totalsRowFormula>(S6*M6)+(S7*M7)+(M8*S8)+(S9*M9)</totalsRowFormula>
    </tableColumn>
    <tableColumn id="6" name="اجمالي المسطح" totalsRowFunction="sum" dataDxfId="69">
      <calculatedColumnFormula>Table15880[[#This Row],[المسطح]]*Table15880[[#This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67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70" totalsRowDxfId="135"/>
    <tableColumn id="2" name="عدد" dataDxfId="69" totalsRowDxfId="1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Sheet2!B6</calculatedColumnFormula>
    </tableColumn>
    <tableColumn id="8" name="اجمالي" totalsRowFunction="sum" dataDxfId="67" totalsRowDxfId="131">
      <calculatedColumnFormula>M99*U100</calculatedColumnFormula>
    </tableColumn>
    <tableColumn id="9" name="%" totalsRowFunction="custom" totalsRowDxfId="1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Sheet2!B22</calculatedColumnFormula>
    </tableColumn>
    <tableColumn id="8" name="اجمالي" totalsRowFunction="sum" dataDxfId="67" totalsRowDxfId="131">
      <calculatedColumnFormula>B17*J17</calculatedColumnFormula>
    </tableColumn>
    <tableColumn id="9" name="%" totalsRowFunction="custom" totalsRowDxfId="130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70"/>
    <tableColumn id="2" name="عدد" dataDxfId="69">
      <calculatedColumnFormula>IF((I70="بالتات"),0,4)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dataDxfId="71"/>
    <tableColumn id="4" name="الوحده" dataDxfId="70"/>
    <tableColumn id="5" name="الوزن" dataDxfId="70"/>
    <tableColumn id="6" name="سعر الكيلو" dataDxfId="70"/>
    <tableColumn id="7" name="سعر الشبك " dataDxfId="121">
      <calculatedColumnFormula>Sheet2!B26</calculatedColumnFormula>
    </tableColumn>
    <tableColumn id="8" name="اجمالي" totalsRowFunction="sum" dataDxfId="67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70"/>
    <tableColumn id="2" name="عدد" totalsRowFunction="sum" dataDxfId="70">
      <calculatedColumnFormula>M91*4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(Table16627394[[#This Row],[Column1]]*Table16627394[[#This Row],[Column2]])*Table16627394[[#This Row],[عدد]]</calculatedColumnFormula>
    </tableColumn>
    <tableColumn id="4" name="الوحده" dataDxfId="70"/>
    <tableColumn id="5" name="الوزن" totalsRowFunction="custom">
      <totalsRowFormula>(S94*M94)+(M95*S95)</totalsRowFormula>
    </tableColumn>
    <tableColumn id="6" name="سعر الكيلو" dataDxfId="69"/>
    <tableColumn id="7" name="سعر الشبك " dataDxfId="121">
      <calculatedColumnFormula>S93*$S$2/1000</calculatedColumnFormula>
    </tableColumn>
    <tableColumn id="8" name="اجمالي" totalsRowFunction="sum" dataDxfId="67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70" totalsRowDxfId="135"/>
    <tableColumn id="2" name="عدد" dataDxfId="77" totalsRowDxfId="135">
      <calculatedColumnFormula>IF((تسعير!$AU$14="بالتات"),0,M120-2)</calculatedColumnFormula>
    </tableColumn>
    <tableColumn id="3" name="بيان" totalsRowLabel="Total" dataDxfId="107" totalsRowDxfId="135"/>
    <tableColumn id="5" name="اليومية / الاجرة" dataDxfId="107" totalsRowDxfId="135"/>
    <tableColumn id="6" name="بدل الوجبة" dataDxfId="106" totalsRowDxfId="135"/>
    <tableColumn id="11" name="موقع العمل" dataDxfId="79" totalsRowDxfId="135">
      <calculatedColumnFormula>تسعير!$AT$44</calculatedColumnFormula>
    </tableColumn>
    <tableColumn id="10" name="شيفت العمل" dataDxfId="70" totalsRowDxfId="135"/>
    <tableColumn id="12" name="Column12" totalsRowFunction="sum" dataDxfId="71" totalsRowDxfId="141">
      <calculatedColumnFormula>SUMIF(Table17697899[Column1],Table1612677697[[#This Row],[موقع العمل]],$AE$2:$AE$8)</calculatedColumnFormula>
    </tableColumn>
    <tableColumn id="4" name="عدد الايام" dataDxfId="102" totalsRowDxfId="135"/>
    <tableColumn id="7" name="اجمالي التكلفة للعامل" dataDxfId="101" totalsRowDxfId="133">
      <calculatedColumnFormula>Table1612677697[[#This Row],[Column12]]</calculatedColumnFormula>
    </tableColumn>
    <tableColumn id="8" name="اجمالي" totalsRowFunction="sum" dataDxfId="67" totalsRowDxfId="131">
      <calculatedColumnFormula>M123*U123</calculatedColumnFormula>
    </tableColumn>
    <tableColumn id="9" name="%" totalsRowFunction="custom" totalsRowDxfId="1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79" totalsRowDxfId="135"/>
    <tableColumn id="2" name="عدد" dataDxfId="77" totalsRowDxfId="135">
      <calculatedColumnFormula>IF((Q134="الاسكندرية"),0.25,0.1)</calculatedColumnFormula>
    </tableColumn>
    <tableColumn id="3" name="بيان" totalsRowLabel="Total" dataDxfId="79" totalsRowDxfId="135"/>
    <tableColumn id="11" name="Column2" dataDxfId="79" totalsRowDxfId="135"/>
    <tableColumn id="10" name="Column1" dataDxfId="79" totalsRowDxfId="135"/>
    <tableColumn id="12" name="Column12" totalsRowFunction="sum" dataDxfId="94" totalsRowDxfId="141"/>
    <tableColumn id="4" name="الوحده" dataDxfId="93" totalsRowDxfId="135"/>
    <tableColumn id="5" name="الوزن" dataDxfId="79" totalsRowDxfId="135"/>
    <tableColumn id="6" name="سعر الكيلو" dataDxfId="79" totalsRowDxfId="135"/>
    <tableColumn id="7" name="سعر الشبك " dataDxfId="90" totalsRowDxfId="133">
      <calculatedColumnFormula>F96</calculatedColumnFormula>
    </tableColumn>
    <tableColumn id="8" name="اجمالي" totalsRowFunction="sum" dataDxfId="67" totalsRowDxfId="131">
      <calculatedColumnFormula>M118*Table1613687798[[#This Row],[سعر الشبك ]]</calculatedColumnFormula>
    </tableColumn>
    <tableColumn id="9" name="%" totalsRowFunction="custom" totalsRowDxfId="130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IF((Q134="المقطم"),0.3,IF((Q134="التجمع"),0.3,IF((Q134="الشيخ زايد"),0.3,IF((Q134="الاسكندرية"),0.5,0.35))))</calculatedColumnFormula>
    </tableColumn>
    <tableColumn id="2" name="Column2" dataDxfId="7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70"/>
    <tableColumn id="2" name="عدد" dataDxfId="70">
      <calculatedColumnFormula>IF(OR((N70="B11"),(N70="B12"),(N70="B21"),(N70="B22"),(N70="B31"),(N70="B32")),3,0)</calculatedColumnFormula>
    </tableColumn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(Table15880101[[#This Row],[Column1]]+Table15880101[[#This Row],[Column2]])*12*Table15880101[[#This Row],[عدد]]</calculatedColumnFormula>
    </tableColumn>
    <tableColumn id="4" name="الوحده" dataDxfId="70"/>
    <tableColumn id="5" name="الوزن" totalsRowFunction="custom">
      <totalsRowFormula>(S77*M77)+(S78*M78)+(M79*S79)+(S80*M80)</totalsRowFormula>
    </tableColumn>
    <tableColumn id="6" name="اجمالي المسطح" totalsRowFunction="sum" dataDxfId="69">
      <calculatedColumnFormula>Table15880101[[#This Row],[المسطح]]*Table15880101[[#This Row],[عدد]]</calculatedColumnFormula>
    </tableColumn>
    <tableColumn id="7" name="سعر الشبك " dataDxfId="68">
      <calculatedColumnFormula>S77*$S$2/1000</calculatedColumnFormula>
    </tableColumn>
    <tableColumn id="8" name="اجمالي" totalsRowFunction="sum" dataDxfId="67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0" totalsRowDxfId="135"/>
    <tableColumn id="4" name="الوحده" totalsRowLabel="total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Sheet2!AW6</calculatedColumnFormula>
    </tableColumn>
    <tableColumn id="8" name="اجمالي" totalsRowFunction="sum" dataDxfId="67" totalsRowDxfId="131">
      <calculatedColumnFormula>BH28*BP28</calculatedColumnFormula>
    </tableColumn>
    <tableColumn id="9" name="%" totalsRowFunction="custom" totalsRowDxfId="1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70" totalsRowDxfId="135"/>
    <tableColumn id="2" name="عدد" totalsRowFunction="count" dataDxfId="70" totalsRowDxfId="135">
      <calculatedColumnFormula>B29*4</calculatedColumnFormula>
    </tableColumn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totalsRowFunction="sum" dataDxfId="71" totalsRowDxfId="141">
      <calculatedColumnFormula>(Table16[[#This Row],[Column1]]*Table16[[#This Row],[Column2]])*Table16[[#This Row],[عدد]]</calculatedColumnFormula>
    </tableColumn>
    <tableColumn id="4" name="الوحده" dataDxfId="70" totalsRowDxfId="135"/>
    <tableColumn id="5" name="الوزن" totalsRowFunction="custom" totalsRowDxfId="135">
      <totalsRowFormula>H30*B30+H31*B31</totalsRowFormula>
    </tableColumn>
    <tableColumn id="6" name="Column3" dataDxfId="69" totalsRowDxfId="135"/>
    <tableColumn id="7" name="سعر الشبك " dataDxfId="121" totalsRowDxfId="133">
      <calculatedColumnFormula>H30*$H$2/1000</calculatedColumnFormula>
    </tableColumn>
    <tableColumn id="8" name="اجمالي" totalsRowFunction="sum" dataDxfId="67" totalsRowDxfId="131">
      <calculatedColumnFormula>B30*J30</calculatedColumnFormula>
    </tableColumn>
    <tableColumn id="9" name="%" totalsRowFunction="custom" totalsRowDxfId="130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70" totalsRowDxfId="135"/>
    <tableColumn id="2" name="عدد" dataDxfId="69" totalsRowDxfId="135"/>
    <tableColumn id="3" name="بيان" totalsRowLabel="Total" dataDxfId="70" totalsRowDxfId="135"/>
    <tableColumn id="11" name="Column2" dataDxfId="70" totalsRowDxfId="135"/>
    <tableColumn id="10" name="Column1" dataDxfId="70" totalsRowDxfId="135"/>
    <tableColumn id="12" name="Column12" dataDxfId="71" totalsRowDxfId="141"/>
    <tableColumn id="4" name="الوحده" dataDxfId="70" totalsRowDxfId="135"/>
    <tableColumn id="5" name="الوزن" dataDxfId="70" totalsRowDxfId="135"/>
    <tableColumn id="6" name="سعر الكيلو" dataDxfId="70" totalsRowDxfId="135"/>
    <tableColumn id="7" name="سعر الشبك " dataDxfId="121" totalsRowDxfId="133">
      <calculatedColumnFormula>Sheet2!AW26</calculatedColumnFormula>
    </tableColumn>
    <tableColumn id="8" name="اجمالي" totalsRowFunction="sum" dataDxfId="67" totalsRowDxfId="131">
      <calculatedColumnFormula>BH14*BP14</calculatedColumnFormula>
    </tableColumn>
    <tableColumn id="9" name="%" totalsRowFunction="custom" totalsRowDxfId="130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70"/>
    <tableColumn id="2" name="عدد" totalsRowFunction="count" dataDxfId="70">
      <calculatedColumnFormula>BH20*4</calculatedColumnFormula>
    </tableColumn>
    <tableColumn id="3" name="بيان" totalsRowLabel="Total" dataDxfId="70"/>
    <tableColumn id="11" name="Column2" dataDxfId="70"/>
    <tableColumn id="10" name="Column1" dataDxfId="70"/>
    <tableColumn id="12" name="Column12" totalsRowFunction="sum" dataDxfId="71">
      <calculatedColumnFormula>(Table16627383[[#This Row],[Column1]]*Table16627383[[#This Row],[Column2]])*Table16627383[[#This Row],[عدد]]</calculatedColumnFormula>
    </tableColumn>
    <tableColumn id="4" name="الوحده" dataDxfId="70"/>
    <tableColumn id="5" name="الوزن" totalsRowFunction="custom">
      <totalsRowFormula>(BN23*BH23)+(BH24*BN24)</totalsRowFormula>
    </tableColumn>
    <tableColumn id="6" name="سعر الكيلو" dataDxfId="69"/>
    <tableColumn id="7" name="سعر الشبك " dataDxfId="121">
      <calculatedColumnFormula>BN22*$S$2/1000</calculatedColumnFormula>
    </tableColumn>
    <tableColumn id="8" name="اجمالي" totalsRowFunction="sum" dataDxfId="67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82"/>
    <tableColumn id="2" name="المعدل" dataDxfId="82"/>
    <tableColumn id="3" name="الوحدة" dataDxfId="82"/>
    <tableColumn id="4" name="Column4" dataDxfId="114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82"/>
    <tableColumn id="2" name="Column2" dataDxfId="114"/>
    <tableColumn id="3" name="Column3" dataDxfId="82"/>
    <tableColumn id="4" name="Column4" dataDxfId="82"/>
    <tableColumn id="5" name="Column5" dataDxfId="8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70"/>
    <tableColumn id="2" name="عدد" dataDxfId="77">
      <calculatedColumnFormula>IF((تسعير!$AU$14="بالتات"),0,BH48-2)</calculatedColumnFormula>
    </tableColumn>
    <tableColumn id="3" name="بيان" totalsRowLabel="Total" dataDxfId="107"/>
    <tableColumn id="5" name="اليومية / الاجرة" dataDxfId="107"/>
    <tableColumn id="6" name="بدل الوجبة" dataDxfId="106"/>
    <tableColumn id="11" name="موقع العمل" dataDxfId="79">
      <calculatedColumnFormula>تسعير!$AT$44</calculatedColumnFormula>
    </tableColumn>
    <tableColumn id="10" name="شيفت العمل" dataDxfId="70"/>
    <tableColumn id="12" name="Column12" totalsRowFunction="sum" dataDxfId="71">
      <calculatedColumnFormula>SUMIF(Table17697888[Column1],Table1612677686[[#This Row],[موقع العمل]],$AE$2:$AE$8)</calculatedColumnFormula>
    </tableColumn>
    <tableColumn id="4" name="عدد الايام" dataDxfId="102"/>
    <tableColumn id="7" name="اجمالي التكلفة للعامل" dataDxfId="101">
      <calculatedColumnFormula>Table1612677686[[#This Row],[Column12]]</calculatedColumnFormula>
    </tableColumn>
    <tableColumn id="8" name="اجمالي" totalsRowFunction="sum" dataDxfId="67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79"/>
    <tableColumn id="2" name="عدد" dataDxfId="77">
      <calculatedColumnFormula>IF((BL62="الاسكندرية"),0.25,0.1)</calculatedColumnFormula>
    </tableColumn>
    <tableColumn id="3" name="بيان" totalsRowLabel="Total" dataDxfId="79"/>
    <tableColumn id="11" name="Column2" dataDxfId="79"/>
    <tableColumn id="10" name="Column1" dataDxfId="79"/>
    <tableColumn id="12" name="Column12" totalsRowFunction="sum" dataDxfId="94"/>
    <tableColumn id="4" name="الوحده" dataDxfId="93"/>
    <tableColumn id="5" name="الوزن" dataDxfId="79"/>
    <tableColumn id="6" name="سعر الكيلو" dataDxfId="79"/>
    <tableColumn id="7" name="سعر الشبك " dataDxfId="90">
      <calculatedColumnFormula>BQ45</calculatedColumnFormula>
    </tableColumn>
    <tableColumn id="8" name="اجمالي" totalsRowFunction="sum" dataDxfId="67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82"/>
    <tableColumn id="2" name="خارجي" dataDxfId="82"/>
    <tableColumn id="3" name="داخلي" dataDxfId="82"/>
    <tableColumn id="4" name="بدل الوجبة" dataDxfId="82"/>
    <tableColumn id="5" name="دبابة" dataDxfId="82"/>
    <tableColumn id="6" name="جامبو" dataDxfId="82"/>
    <tableColumn id="7" name="الاقامة" dataDxfId="8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79"/>
    <tableColumn id="4" name="Column22" dataDxfId="79"/>
    <tableColumn id="5" name="Column23" dataDxfId="79"/>
    <tableColumn id="3" name="Column3" dataDxfId="78">
      <calculatedColumnFormula>IF((BL62="المقطم"),0.3,IF((BL62="التجمع"),0.3,IF((BL62="الشيخ زايد"),0.3,IF((BL62="الاسكندرية"),0.5,0.35))))</calculatedColumnFormula>
    </tableColumn>
    <tableColumn id="2" name="Column2" dataDxfId="7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70"/>
    <tableColumn id="2" name="عدد" dataDxfId="70"/>
    <tableColumn id="3" name="بيان" totalsRowLabel="Total" dataDxfId="70"/>
    <tableColumn id="11" name="Column2" dataDxfId="70"/>
    <tableColumn id="10" name="Column1" dataDxfId="70"/>
    <tableColumn id="12" name="المسطح" totalsRowFunction="sum" dataDxfId="71">
      <calculatedColumnFormula>(Table1588090[[#This Row],[Column1]]+Table1588090[[#This Row],[Column2]])*12*Table1588090[[#This Row],[عدد]]</calculatedColumnFormula>
    </tableColumn>
    <tableColumn id="4" name="الوحده" dataDxfId="70"/>
    <tableColumn id="5" name="الوزن" totalsRowFunction="custom">
      <totalsRowFormula>(BN6*BH6)+(BN7*BG7)+(BN8*BG8)+(BN9*BG9)</totalsRowFormula>
    </tableColumn>
    <tableColumn id="6" name="اجمالي المسطح" totalsRowFunction="sum" dataDxfId="69">
      <calculatedColumnFormula>Table1588090[[#This Row],[المسطح]]*Table1588090[[#This Row],[عدد]]</calculatedColumnFormula>
    </tableColumn>
    <tableColumn id="7" name="سعر الشبك " dataDxfId="68">
      <calculatedColumnFormula>BN6*$S$2/1000</calculatedColumnFormula>
    </tableColumn>
    <tableColumn id="8" name="اجمالي" totalsRowFunction="sum" dataDxfId="67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62" totalsRowDxfId="0"/>
    <tableColumn id="4" name="Column2" dataDxfId="62" totalsRowDxfId="0"/>
    <tableColumn id="5" name="wt/m" dataDxfId="62" totalsRowDxfId="0"/>
    <tableColumn id="6" name="price" totalsRowFunction="sum" dataDxfId="62" totalsRowDxfId="0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37315.625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129872.5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270633.10219646036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77673.605921052629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100555.6230877193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6765.8275549115087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6213.88847368421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2873.017802506266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177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498981.78031602845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345557.25</v>
      </c>
      <c r="AU22" s="480"/>
      <c r="BC22" s="414"/>
      <c r="BD22" s="472" t="s">
        <v>163</v>
      </c>
      <c r="BE22" s="473">
        <f>'بيرسا و لوفرز'!R140</f>
        <v>263488.59333333338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5197.7268782919627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17277.8625</v>
      </c>
      <c r="AU23" s="480"/>
      <c r="AV23" s="481"/>
      <c r="BC23" s="414"/>
      <c r="BD23" s="472" t="s">
        <v>127</v>
      </c>
      <c r="BE23" s="474">
        <f>BE22/(BE33*BE34/10000)</f>
        <v>19672.136279926337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193624.145</v>
      </c>
      <c r="AU42" s="480"/>
      <c r="BD42" s="472" t="s">
        <v>163</v>
      </c>
      <c r="BE42" s="473">
        <f>'بيرسا و لوفرز'!BM139</f>
        <v>203596.01166666666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75813.400000000009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9681.20725</v>
      </c>
      <c r="AU43" s="480"/>
      <c r="AV43" s="481"/>
      <c r="BD43" s="472" t="s">
        <v>127</v>
      </c>
      <c r="BE43" s="474">
        <f>BE42/(BE53*BE54/10000)</f>
        <v>10179.800583333334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3032.5360000000005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130533.52500000001</v>
      </c>
      <c r="AT57" s="608"/>
      <c r="BD57" s="607">
        <f>('بيرسا و لوفرز'!BA85+'بيرسا و لوفرز'!BP133+'بيرسا و لوفرز'!BQ125)*1.35</f>
        <v>130533.52500000001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6526.67625</v>
      </c>
      <c r="AT58" s="599"/>
      <c r="BD58" s="598">
        <f>BD57/(BE53*BE54/10000)</f>
        <v>6526.67625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95212.8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3808.512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41DCF5AB-2F6E-4A46-B51A-F274FF99D451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DDE5024E-BEC9-4C57-B1F8-93E82C10D01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FEAD033C-0D1D-4A9D-AB3D-1385DF927DB9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7B0FB85B-685C-4D0E-9165-62FF9740EB24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48BF12D9-51CC-4219-A067-14FC375C3C82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9ECE6502-7091-4359-88A1-2E7D5616D16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EA85115-7B5F-443A-B08E-AD947A662AE3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F980A8F-3E8C-4C96-8BCB-135D8631654C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F16060B-3AF6-46A0-9E38-DCC8603AAE0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8357519D-69D1-47FD-B07C-D0E4B092B9B7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11AAED41-CED7-4DCD-BA94-E66EB872BECA}">
          <x14:formula1>
            <xm:f>wavy2!$A$19:$A$20</xm:f>
          </x14:formula1>
          <xm:sqref>BE9</xm:sqref>
        </x14:dataValidation>
        <x14:dataValidation type="list" allowBlank="1" showInputMessage="1" showErrorMessage="1" xr:uid="{0F3E24A7-D690-4818-A5F3-F390D1F133DB}">
          <x14:formula1>
            <xm:f>wavy1!$A$19:$A$20</xm:f>
          </x14:formula1>
          <xm:sqref>AT9</xm:sqref>
        </x14:dataValidation>
        <x14:dataValidation type="list" allowBlank="1" showInputMessage="1" showErrorMessage="1" xr:uid="{37B4F190-C427-43C5-BFA3-F8DCF09342F6}">
          <x14:formula1>
            <xm:f>Sheet2!$B$5:$B$7</xm:f>
          </x14:formula1>
          <xm:sqref>T25 T46 T64</xm:sqref>
        </x14:dataValidation>
        <x14:dataValidation type="list" allowBlank="1" showInputMessage="1" showErrorMessage="1" xr:uid="{2436A23B-95BF-4027-A6B0-FB2CCA02030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839C9B65-5BC5-486E-B856-B6B4743EEF8D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EA10164C-AAC9-444D-924A-2EA2042A03CE}">
          <x14:formula1>
            <xm:f>Sheet2!$C$5:$C$6</xm:f>
          </x14:formula1>
          <xm:sqref>T26</xm:sqref>
        </x14:dataValidation>
        <x14:dataValidation type="list" allowBlank="1" showInputMessage="1" showErrorMessage="1" xr:uid="{489DCB54-62AE-41C2-9FBA-E023AADBC1A2}">
          <x14:formula1>
            <xm:f>Sheet2!$A$5</xm:f>
          </x14:formula1>
          <xm:sqref>U31</xm:sqref>
        </x14:dataValidation>
        <x14:dataValidation type="list" allowBlank="1" showInputMessage="1" showErrorMessage="1" xr:uid="{B7BC0B2E-5487-4B48-B51F-6D85254A440F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49A34CF-AE72-42C8-A2BB-95BDE4B0307E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DA09B48-380F-47B8-91AE-7DF1A0488F55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CA431B37-849D-4FAC-869A-F7B033242731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3BF606E-EA17-44A5-9547-44B2A223429A}">
          <x14:formula1>
            <xm:f>Sheet2!$D$5:$D$6</xm:f>
          </x14:formula1>
          <xm:sqref>T32 T53 T71</xm:sqref>
        </x14:dataValidation>
        <x14:dataValidation type="list" allowBlank="1" showInputMessage="1" showErrorMessage="1" xr:uid="{595F30B3-AEA0-4706-92A6-FB51F7BD71B9}">
          <x14:formula1>
            <xm:f>Sheet2!$A$6</xm:f>
          </x14:formula1>
          <xm:sqref>AC36</xm:sqref>
        </x14:dataValidation>
        <x14:dataValidation type="list" allowBlank="1" showInputMessage="1" showErrorMessage="1" xr:uid="{B9C42A96-AF03-4FF6-BE8C-13733FFF655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45381.775151273148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0.021231696911299541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0.051088770692814527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0.026227390302193551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0.098547857906307615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0.0038428410699184691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0.0036026635030485649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0.0016332074547153494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0.0003602663503048565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0.001441065401219426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0.00043231962036582779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0.024017756686990431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0.00019214205349592345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0.017292784814633113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0.0038428410699184691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0.056657888024610428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0.0003602663503048565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0.0003602663503048565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0.00060044391717476082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0.0036026635030485649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0.00096071026747961727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0.0060076415393058736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0.0019511267077036703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0.016091896980283592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0.032827469839778529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0.06276248545538432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0.00722934476278412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0.016812429680893304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0.024041774443677423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0.55639462434834486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0.055639462434834489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0.61203408678317939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0.0038428410699184691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0.002882130802438852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0.005764261604877704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0.0043231962036582782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0.018733850215852537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0.014050387661889404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0.018733850215852537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0.012681375530730949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0.019214205349592346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0.01441065401219426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0.022096336152031198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0.0092228185678043268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0.14595590738684086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208179.30938189256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270633.10219646036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1DA3B84B-193A-4831-A146-0961461DE2A5}">
      <formula1>$N$2:$N$20</formula1>
    </dataValidation>
    <dataValidation type="list" allowBlank="1" showInputMessage="1" showErrorMessage="1" sqref="G63:G75" xr:uid="{A07821CB-D17D-4EF4-A916-098EE4A7660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215000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45381.775151273148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0.0071971565729824728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0.06333497784224576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0.014351976930829754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0.018966624380565573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0.10385073572662355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0.0031263666561371826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0.0026053055467809855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0.0011072548573819189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0.0005861937480257217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0.002501093324909746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0.00031263666561371826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0.031263666561371826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0.00010421222187123942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0.0031263666561371826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0.044733096238229519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0.018966624380565573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0.0081285533059566751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0.02709517768652225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0.0062527333122743651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0.000547114164824007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0.00019539791600857391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0.00019539791600857391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0.00065132638669524638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0.0019539791600857392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0.00052106110935619713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0.023447749921028868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0.028658361014590839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0.0020842444374247885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0.0020842444374247885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0.066591609775722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0.0049012310598817287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0.091185694137334489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0.096086925197216219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0.52783404806436163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0.052783404806436167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0.5806174528707978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0.0031263666561371826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0.0015631833280685913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0.0046895499842057736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0.0031263666561371826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0.010160691632445843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0.010160691632445843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0.010160691632445843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0.0068780066435018021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0.011723874960514434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0.0078159166403429566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0.0059922027575962664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0.005627459981046929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0.081025002504888644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383832.13870463724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498981.78031602845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4FA241FC-9364-437E-BA62-1AE8798E13D6}">
      <formula1>$U$4:$U$5</formula1>
    </dataValidation>
    <dataValidation type="list" allowBlank="1" showInputMessage="1" showErrorMessage="1" sqref="F72:F80" xr:uid="{FF693C87-35FB-4DF0-84B8-F59D72A01F1F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45381.775151273148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0.027741083659616441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0.077511851401869475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0.10525293506148591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0.00669468082283353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0.00284523934970425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0.001255252654281287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0.0020084042468500591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0.040168084937001185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0.052971662010670308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0.00075315159256877213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0.00075315159256877213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0.00041841755142709564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0.002510505308562574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0.0013389361645667062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0.0036996920336711614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0.03765757962843861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0.046025930656980518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0.01338936164566706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0.01338936164566706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0.11993608782011833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0.3908647556656214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0.03908647556656214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0.42995123123218354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0.00669468082283353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0.00669468082283353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0.010042021234250296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0.010042021234250296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0.043515425348417951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0.032636569011313461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0.021757712674208975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0.0441848934307013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0.029289228599896695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0.0769888294625856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0.010042021234250296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0.29188808387554194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59748.927631578947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77673.605921052629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C6363A7-65DD-49A2-AE07-A7E1D140C67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45381.775151273148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0.095797725718398577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0.095797725718398577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0.0051712672452576824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0.002197788579234515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0.00096961260848581546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0.0062055206943092195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0.014544189127287232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0.023529265965922457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0.01008397112825248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0.033613237094174936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0.0039129255489116473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0.0005817675650914893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0.0005817675650914893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0.00096961260848581546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0.0058176756509148927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0.0015513801735773049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0.0028578055829055616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0.039818757788484156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0.058176756509148927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0.071104924622293134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0.0018782042634775907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0.0018782042634775907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0.18912978214185963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0.49375259657720355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0.049375259657720355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0.54312785623492388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0.010342534490515365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0.010342534490515365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0.0051712672452576824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0.0077569008678865237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0.016806618547087468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0.012604963910315601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0.031027603471546095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0.029734786660231674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0.12378720968335578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77350.479298245613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100555.6230877193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7C264848-7D5A-4F6D-A8A9-22C4DB652B4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482</v>
      </c>
      <c r="I3" s="366">
        <v>2</v>
      </c>
      <c r="J3" s="367">
        <v>75</v>
      </c>
      <c r="K3" s="368">
        <f ref="K3:K10" t="shared" si="0">I3*J3</f>
        <v>150</v>
      </c>
      <c r="M3" s="369" t="s">
        <v>483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484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483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485</v>
      </c>
      <c r="F4" s="331">
        <f>Sheet2!B43</f>
        <v>160</v>
      </c>
      <c r="H4" s="565" t="s">
        <v>486</v>
      </c>
      <c r="I4" s="366">
        <v>2</v>
      </c>
      <c r="J4" s="367"/>
      <c r="K4" s="368">
        <f t="shared" si="0"/>
        <v>0</v>
      </c>
      <c r="M4" s="369" t="s">
        <v>487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485</v>
      </c>
      <c r="W4" s="331">
        <f>Sheet2!B43</f>
        <v>160</v>
      </c>
      <c r="X4" s="323"/>
      <c r="Y4" s="339" t="s">
        <v>486</v>
      </c>
      <c r="Z4" s="375">
        <v>2</v>
      </c>
      <c r="AA4" s="331">
        <v>15</v>
      </c>
      <c r="AB4" s="331">
        <f t="shared" si="1"/>
        <v>30</v>
      </c>
      <c r="AD4" s="388" t="s">
        <v>487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488</v>
      </c>
      <c r="I5" s="366">
        <v>16</v>
      </c>
      <c r="J5" s="367">
        <v>10</v>
      </c>
      <c r="K5" s="368">
        <f t="shared" si="0"/>
        <v>160</v>
      </c>
      <c r="M5" s="369" t="s">
        <v>489</v>
      </c>
      <c r="N5" s="369">
        <f>IF((تسعير!AL8="خشبي"),'شماسي و كانتليفر'!F8,IF((تسعير!AL8="سادة"),'شماسي و كانتليفر'!F9,0))</f>
        <v>50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490</v>
      </c>
      <c r="Z5" s="375">
        <v>1</v>
      </c>
      <c r="AA5" s="331">
        <v>150</v>
      </c>
      <c r="AB5" s="331">
        <f t="shared" si="1"/>
        <v>150</v>
      </c>
      <c r="AD5" s="388" t="s">
        <v>489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491</v>
      </c>
      <c r="F6" s="331">
        <v>250</v>
      </c>
      <c r="H6" s="565" t="s">
        <v>492</v>
      </c>
      <c r="I6" s="366">
        <v>16</v>
      </c>
      <c r="J6" s="367">
        <v>1</v>
      </c>
      <c r="K6" s="368">
        <f t="shared" si="0"/>
        <v>16</v>
      </c>
      <c r="M6" s="369" t="s">
        <v>493</v>
      </c>
      <c r="N6" s="369">
        <f>(N5+'شماسي و كانتليفر'!F10)*(N4)</f>
        <v>3113.75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494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493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50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1200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5"/>
      <c r="R18" s="340"/>
      <c r="V18" s="331" t="s">
        <v>179</v>
      </c>
      <c r="W18" s="339" t="s">
        <v>524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5"/>
      <c r="R19" s="340"/>
      <c r="V19" s="331" t="s">
        <v>527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182</v>
      </c>
      <c r="H20" s="331" t="s">
        <v>531</v>
      </c>
      <c r="I20" s="331">
        <v>7.5</v>
      </c>
      <c r="J20" s="331" t="s">
        <v>526</v>
      </c>
      <c r="K20" s="331" t="s">
        <v>526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65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58318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65</v>
      </c>
      <c r="E50" s="350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58318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75813.400000000009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65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39473</v>
      </c>
      <c r="F54" s="353">
        <f>Table12[[#Totals],[Column5]]/(تسعير!T54*تسعير!T55/10000)</f>
        <v>1578.92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65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70528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70528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65</v>
      </c>
      <c r="E84" s="350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95212.8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65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44878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437873C-A3DC-4DDF-B092-EA4F1C8D223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215000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45381.775151458336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60950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45381.775151458336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4505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4505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3705</v>
      </c>
      <c r="V6" s="240">
        <f>M6*U6</f>
        <v>3705</v>
      </c>
      <c r="W6" s="241">
        <f>(V6)/$R$68</f>
        <v>0.016082718565447549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>
        <f>(BQ6)/$R$68</f>
        <v>0.016082718565447549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2405</v>
      </c>
      <c r="V7" s="240">
        <f>M7*U7</f>
        <v>9620</v>
      </c>
      <c r="W7" s="241">
        <f>(V7)/$R$68</f>
        <v>0.041758637678705919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>
        <f>(BQ7)/$R$68</f>
        <v>0.041758637678705919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325</v>
      </c>
      <c r="V8" s="240">
        <f>M8*U8</f>
        <v>1300</v>
      </c>
      <c r="W8" s="241">
        <f>(V8)/$R$68</f>
        <v>0.0056430591457710694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>
        <f>(BQ8)/$R$68</f>
        <v>0.0056430591457710694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14625</v>
      </c>
      <c r="W11" s="244">
        <f>Table15880[[#Totals],[اجمالي]]/$R$68</f>
        <v>0.063484415389924539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>
        <f>Table1588090[[#Totals],[اجمالي]]/$R$68</f>
        <v>0.063484415389924539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0.0034726517820129659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5130.4825</v>
      </c>
      <c r="AX14" s="194"/>
      <c r="AY14" s="194"/>
      <c r="AZ14" s="194"/>
      <c r="BA14" s="194">
        <f>SUBTOTAL(109,Table8091[price])</f>
        <v>93281.5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0.0034726517820129659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0.00073793850367775526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0.00073793850367775526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0.00032556110456371558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0.00032556110456371558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0.00208359106920778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0.00208359106920778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0.0066197424594622162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0.0066197424594622162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>
        <f>(V22)/$R$68</f>
        <v>0.0067716709749252833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>
        <f>(BQ22)/$R$68</f>
        <v>0.0067716709749252833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>
        <f>(V23)/$R$68</f>
        <v>0.0039501414020397486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>
        <f>(BQ23)/$R$68</f>
        <v>0.0039501414020397486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>
        <f>(V24)/$R$68</f>
        <v>0.0016929177437313208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>
        <f>(BQ24)/$R$68</f>
        <v>0.0016929177437313208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>
        <f>Table166273[[#Totals],[اجمالي]]/$R$68</f>
        <v>0.012414730120696353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>
        <f>Table16627383[[#Totals],[اجمالي]]/$R$68</f>
        <v>0.012414730120696353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0.0039240965136746525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0.0039240965136746525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0.00026044888365097247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0.0002344039952858752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0.00026044888365097247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0.0002344039952858752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0.00017363258910064829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0.00010852036818790518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0.00065112220912743116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0.00065112220912743116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0.00034726517820129658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0.00034726517820129658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0.01193724050066957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0.01193724050066957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0.0031904988247244124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0.0031904988247244124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0.01549670857723286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0.01549670857723286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0.021269992164829415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0.036124260162389878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0.057511454324862231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93281.5</v>
      </c>
      <c r="BQ46" s="252">
        <f>BH46*Table1613687787[[#This Row],[سعر الشبك ]]</f>
        <v>93281.5</v>
      </c>
      <c r="BR46" s="241">
        <f>(BQ46)/$R$68</f>
        <v>0.40491770900480312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0.65880545119513478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93281.5</v>
      </c>
      <c r="BQ47" s="240">
        <f>BH47*Table1613687787[[#This Row],[سعر الشبك ]]</f>
        <v>9328.15</v>
      </c>
      <c r="BR47" s="241">
        <f>(BQ47)/$R$68</f>
        <v>0.040491770900480312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0.1647013627987837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102609.65</v>
      </c>
      <c r="BR48" s="244">
        <f>Table1613687787[[#Totals],[اجمالي]]/$R$68</f>
        <v>0.4454094799052834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0.82350681399391856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0.0016061014491809968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0.0017363258910064829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0.0016061014491809968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0.0017363258910064829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0.0048183043475429907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0.0052089776730194493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0.010765220524240195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0.0069453035640259318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0.0080739153931801456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0.0052089776730194493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0.010765220524240195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0.0069453035640259318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0.011459750880642787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0.0097668331369114673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0.019967747746574553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0.0086816294550324143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0.0036462843711136143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0.082475479822807937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0.036462843711136145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148941.65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230371.5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193624.145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345557.25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215000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45381.775151643516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45381.775151643516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60950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4505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4505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>
        <f>(BQ76)/$R$68</f>
        <v>0.047401696824476987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>
        <f>(V77)/$R$68</f>
        <v>0.094803393648953974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>
        <f>(BQ77)/$R$68</f>
        <v>0.041758637678705919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2405</v>
      </c>
      <c r="V78" s="240">
        <f>M78*U78</f>
        <v>9620</v>
      </c>
      <c r="W78" s="241">
        <f>(V78)/$R$68</f>
        <v>0.041758637678705919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>
        <f>(BQ78)/$R$68</f>
        <v>0.0056430591457710694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325</v>
      </c>
      <c r="V79" s="240">
        <f>M79*U79</f>
        <v>1300</v>
      </c>
      <c r="W79" s="241">
        <f>(V79)/$R$68</f>
        <v>0.0056430591457710694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>
        <f>Table15880101112[[#Totals],[اجمالي]]/$R$68</f>
        <v>0.094803393648953974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32760</v>
      </c>
      <c r="W82" s="244">
        <f>Table15880101[[#Totals],[اجمالي]]/$R$68</f>
        <v>0.14220509047343097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0.0052089776730194493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0.0034726517820129659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5130.4825</v>
      </c>
      <c r="AX85" s="310"/>
      <c r="AY85" s="310"/>
      <c r="AZ85" s="310"/>
      <c r="BA85" s="310">
        <f>SUBTOTAL(109,Table80102113[price])</f>
        <v>93281.5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0.00073793850367775526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0.00073793850367775526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0.00032556110456371558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0.00032556110456371558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0.00208359106920778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0.020835910692077797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0.0083560683504686987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0.025372062082332232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>
        <f>(BQ92)/$R$68</f>
        <v>0.013543341949850567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>
        <f>(BQ94)/$R$68</f>
        <v>0.0033858354874626417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>
        <f>Table16627394105[[#Totals],[اجمالي]]/$R$68</f>
        <v>0.01692917743731321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0.0044044800101864451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0.0057356631932914152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0.0002344039952858752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0.00026044888365097247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0.0002344039952858752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0.00026044888365097247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0.00010852036818790518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0.00017363258910064829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0.00065112220912743116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0.00065112220912743116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0.00034726517820129658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0.00034726517820129658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0.0054260184093952593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0.0054260184093952593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0.0027347132783352109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0.0027347132783352109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0.017710524088266125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0.022138155110332659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0.031851451532271424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0.037727467735085861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93281.5</v>
      </c>
      <c r="BQ117" s="252">
        <f>BH117*Table1613687798109[[#This Row],[سعر الشبك ]]</f>
        <v>93281.5</v>
      </c>
      <c r="BR117" s="241">
        <f>(BQ117)/$R$68</f>
        <v>0.40491770900480312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0.53631634121408245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93281.5</v>
      </c>
      <c r="BQ118" s="240">
        <f>BH118*Table1613687798109[[#This Row],[سعر الشبك ]]</f>
        <v>9328.15</v>
      </c>
      <c r="BR118" s="241">
        <f>(BQ118)/$R$68</f>
        <v>0.040491770900480312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0.053631634121408249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102609.65</v>
      </c>
      <c r="BR119" s="244">
        <f>Table1613687798109[[#Totals],[اجمالي]]/$R$68</f>
        <v>0.4454094799052834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0.58994797533549082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0.0016061014491809968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0.0017363258910064829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0.0016061014491809968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0.0017363258910064829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0.0048183043475429907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0.0052089776730194493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0.010765220524240195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0.011286118291542139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0.0080739153931801456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0.008464588718656605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0.010765220524240195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0.011286118291542139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0.011459750880642787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0.011459750880642787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0.0097668331369114673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0.0097668331369114673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0.019967747746574553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0.019967747746574553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0.0036462843711136143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0.0036462843711136143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0.082475479822807937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0.084559070892015725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156612.31666666665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202683.53333333336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203596.01166666666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263488.59333333338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51F7B2CA-E5F6-491E-8BC0-A60512D803F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