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<sst xmlns="http://schemas.openxmlformats.org/spreadsheetml/2006/main" count="597" uniqueCount="597">
  <si>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</si>
  <si>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</si>
  <si>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</si>
  <si>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</si>
  <si>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</si>
  <si>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</si>
  <si>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</si>
  <si>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</si>
  <si>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</si>
  <si>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</si>
  <si>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</si>
  <si>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</si>
  <si>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</si>
  <si>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</si>
  <si>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</si>
  <si>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</si>
  <si>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</si>
  <si>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</si>
  <si>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</si>
  <si>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</si>
  <si>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</si>
  <si>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</si>
  <si>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</si>
  <si>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</si>
  <si>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</si>
  <si>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</si>
  <si>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</si>
  <si>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</si>
  <si>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</si>
  <si>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</si>
  <si>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</si>
  <si>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</si>
  <si>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</si>
  <si>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</si>
  <si>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</si>
  <si>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</si>
  <si>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</si>
  <si>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</si>
  <si>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</si>
  <si>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</si>
  <si>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</si>
  <si>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</si>
  <si>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</si>
  <si>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</si>
  <si>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</si>
  <si>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</si>
  <si>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</si>
  <si>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</si>
  <si>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</si>
  <si>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</si>
  <si>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</si>
  <si>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</si>
  <si>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</si>
  <si>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</si>
  <si>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</si>
  <si>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</si>
  <si>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</si>
  <si>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</si>
  <si>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</si>
  <si>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</si>
  <si>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</si>
  <si>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</si>
  <si>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</si>
  <si>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</si>
  <si>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</si>
  <si>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</si>
  <si>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</si>
  <si>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</si>
  <si>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</si>
  <si>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</si>
  <si>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</si>
  <si>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</si>
  <si>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</si>
  <si>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</si>
  <si>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</si>
  <si>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</si>
  <si>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</si>
  <si>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</si>
  <si>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</si>
  <si>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</si>
  <si>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</si>
  <si>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</si>
  <si>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</si>
  <si>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</si>
  <si>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</si>
  <si>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</si>
  <si>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</si>
  <si>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</si>
  <si>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</si>
  <si>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</si>
  <si>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</si>
  <si>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</si>
  <si>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</si>
  <si>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</si>
  <si>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</si>
  <si>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</si>
  <si>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</si>
  <si>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</si>
  <si>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</si>
  <si>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</si>
  <si>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</si>
  <si>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</si>
  <si>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</si>
  <si>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</si>
  <si>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</si>
  <si>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</si>
  <si>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</si>
  <si>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</si>
  <si>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</si>
  <si>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</si>
  <si>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</si>
  <si>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</si>
  <si>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</si>
  <si>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</si>
  <si>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</si>
  <si>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</si>
  <si>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</si>
  <si>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</si>
  <si>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</si>
  <si>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</si>
  <si>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</si>
  <si>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</si>
  <si>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</si>
  <si>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</si>
  <si>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</si>
  <si>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</si>
  <si>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</si>
  <si>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</si>
  <si>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</si>
  <si>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</si>
  <si>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</si>
  <si>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</si>
  <si>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</si>
  <si>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</si>
  <si>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</si>
  <si>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</si>
  <si>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</si>
  <si>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</si>
  <si>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</si>
  <si>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</si>
  <si>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</si>
  <si>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</si>
  <si>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</si>
  <si>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</si>
  <si>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</si>
  <si>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</si>
  <si>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</si>
  <si>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</si>
  <si>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</si>
  <si>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</si>
  <si>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</si>
  <si>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</si>
  <si>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</si>
  <si>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</si>
  <si>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</si>
  <si>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</si>
  <si>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</si>
  <si>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</si>
  <si>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</si>
  <si>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</si>
  <si>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</si>
  <si>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</si>
  <si>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</si>
  <si>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</si>
  <si>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</si>
  <si>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</si>
  <si>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C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</si>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</sst>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9" t="s">
        <v>219</v>
      </c>
      <c r="H1" s="569"/>
      <c r="I1" s="569"/>
      <c r="J1" s="514"/>
    </row>
    <row r="2" ht="21">
      <c r="A2" s="502" t="s">
        <v>186</v>
      </c>
      <c r="B2" s="559" t="s">
        <v>198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D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D1</v>
      </c>
      <c r="I3" s="233">
        <f>Table1[[#Totals],[اجمالي]]+Table14[[#Totals],[اجمالي]]+Table15[[#Totals],[اجمالي]]+Table16[[#Totals],[اجمالي]]+Table1610[[#Totals],[اجمالي]]</f>
        <v>28543.75</v>
      </c>
      <c r="J3" s="515"/>
    </row>
    <row r="4" ht="21">
      <c r="A4" s="509"/>
      <c r="B4" s="510"/>
      <c r="C4" s="510"/>
      <c r="D4" s="511"/>
      <c r="E4" s="500"/>
      <c r="F4" s="505"/>
      <c r="G4" s="570" t="s">
        <v>220</v>
      </c>
      <c r="H4" s="570"/>
      <c r="I4" s="570"/>
      <c r="J4" s="515"/>
    </row>
    <row r="5" ht="21">
      <c r="A5" s="502" t="s">
        <v>186</v>
      </c>
      <c r="B5" s="559" t="s">
        <v>198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221</v>
      </c>
      <c r="B10" s="571"/>
    </row>
    <row r="11">
      <c r="A11" s="233" t="s">
        <v>222</v>
      </c>
      <c r="B11" s="233" t="s">
        <v>223</v>
      </c>
    </row>
    <row r="12">
      <c r="A12" s="233" t="s">
        <v>224</v>
      </c>
      <c r="B12" s="568">
        <v>45000</v>
      </c>
    </row>
    <row r="13">
      <c r="A13" s="233" t="s">
        <v>225</v>
      </c>
      <c r="B13" s="568">
        <v>45000</v>
      </c>
    </row>
    <row r="14">
      <c r="A14" s="558" t="s">
        <v>226</v>
      </c>
      <c r="B14" s="568">
        <v>225000</v>
      </c>
    </row>
    <row r="15">
      <c r="A15" s="233" t="s">
        <v>227</v>
      </c>
      <c r="B15" s="568">
        <v>60000</v>
      </c>
    </row>
    <row r="16">
      <c r="A16" s="233" t="s">
        <v>228</v>
      </c>
      <c r="B16" s="568">
        <v>275</v>
      </c>
    </row>
    <row r="17">
      <c r="A17" s="233" t="s">
        <v>229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230</v>
      </c>
      <c r="B33" s="568">
        <v>11000</v>
      </c>
    </row>
    <row r="34">
      <c r="A34" s="233" t="s">
        <v>231</v>
      </c>
      <c r="B34" s="568">
        <v>2000</v>
      </c>
    </row>
    <row r="35">
      <c r="A35" s="233" t="s">
        <v>232</v>
      </c>
      <c r="B35" s="568">
        <v>1500</v>
      </c>
    </row>
    <row r="36">
      <c r="A36" s="233" t="s">
        <v>233</v>
      </c>
      <c r="B36" s="568">
        <v>1500</v>
      </c>
    </row>
    <row r="37">
      <c r="A37" s="233" t="s">
        <v>234</v>
      </c>
      <c r="B37" s="568">
        <v>5000</v>
      </c>
    </row>
    <row r="38">
      <c r="A38" s="233" t="s">
        <v>235</v>
      </c>
      <c r="B38" s="568">
        <v>800</v>
      </c>
    </row>
    <row r="39">
      <c r="A39" s="233" t="s">
        <v>236</v>
      </c>
      <c r="B39" s="568">
        <v>130</v>
      </c>
    </row>
    <row r="40">
      <c r="A40" s="233" t="s">
        <v>237</v>
      </c>
      <c r="B40" s="568">
        <v>90</v>
      </c>
    </row>
    <row r="41">
      <c r="A41" s="233" t="s">
        <v>238</v>
      </c>
      <c r="B41" s="568">
        <v>25</v>
      </c>
    </row>
    <row r="42" ht="18.75">
      <c r="A42" s="331" t="s">
        <v>239</v>
      </c>
      <c r="B42" s="568">
        <v>450</v>
      </c>
    </row>
    <row r="43" ht="18.75">
      <c r="A43" s="331" t="s">
        <v>240</v>
      </c>
      <c r="B43" s="568">
        <v>130</v>
      </c>
    </row>
    <row r="44" ht="18.75">
      <c r="A44" s="331" t="s">
        <v>241</v>
      </c>
      <c r="B44" s="568">
        <v>175</v>
      </c>
    </row>
    <row r="45">
      <c r="A45" s="558" t="s">
        <v>242</v>
      </c>
      <c r="B45" s="568">
        <v>4000</v>
      </c>
    </row>
    <row r="46">
      <c r="A46" s="558" t="s">
        <v>243</v>
      </c>
      <c r="B46" s="568">
        <v>3000</v>
      </c>
    </row>
    <row r="47">
      <c r="A47" s="233" t="s">
        <v>244</v>
      </c>
      <c r="B47" s="568">
        <v>130</v>
      </c>
    </row>
    <row r="48">
      <c r="A48" s="233" t="s">
        <v>245</v>
      </c>
      <c r="B48" s="568">
        <v>25</v>
      </c>
    </row>
    <row r="49">
      <c r="A49" s="233" t="s">
        <v>246</v>
      </c>
      <c r="B49" s="568">
        <v>1200</v>
      </c>
    </row>
    <row r="50">
      <c r="A50" s="233" t="s">
        <v>247</v>
      </c>
      <c r="B50" s="568">
        <v>150</v>
      </c>
    </row>
    <row r="51">
      <c r="A51" s="233" t="s">
        <v>248</v>
      </c>
      <c r="B51" s="568">
        <v>150</v>
      </c>
    </row>
    <row r="52">
      <c r="A52" s="233" t="s">
        <v>249</v>
      </c>
      <c r="B52" s="568">
        <v>250</v>
      </c>
    </row>
    <row r="53">
      <c r="A53" s="233" t="s">
        <v>250</v>
      </c>
      <c r="B53" s="568">
        <v>80</v>
      </c>
    </row>
    <row r="54">
      <c r="A54" s="558" t="s">
        <v>251</v>
      </c>
      <c r="B54" s="568">
        <v>1200</v>
      </c>
    </row>
    <row r="55">
      <c r="A55" s="537" t="s">
        <v>252</v>
      </c>
      <c r="B55" s="568">
        <v>23000</v>
      </c>
    </row>
    <row r="56">
      <c r="A56" s="537" t="s">
        <v>253</v>
      </c>
      <c r="B56" s="568">
        <v>5000</v>
      </c>
    </row>
    <row r="57">
      <c r="A57" s="567" t="s">
        <v>254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596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360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361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359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362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255</v>
      </c>
      <c r="B6" s="686"/>
      <c r="C6" s="687"/>
      <c r="D6" s="679" t="s">
        <v>363</v>
      </c>
      <c r="E6" s="748" t="s">
        <v>364</v>
      </c>
      <c r="F6" s="749"/>
      <c r="G6" s="722"/>
      <c r="H6" s="722"/>
      <c r="I6" s="749"/>
      <c r="J6" s="750"/>
      <c r="K6" s="751">
        <f>تسجيل1!C7</f>
        <v>270</v>
      </c>
      <c r="L6" s="751"/>
      <c r="M6" s="94" t="s">
        <v>365</v>
      </c>
      <c r="N6" s="186">
        <f>تسجيل1!E7</f>
        <v>1200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366</v>
      </c>
      <c r="F7" s="722"/>
      <c r="G7" s="722"/>
      <c r="H7" s="722"/>
      <c r="I7" s="722"/>
      <c r="J7" s="723"/>
      <c r="K7" s="724">
        <f>K6*N6/10000</f>
        <v>32.4</v>
      </c>
      <c r="L7" s="724"/>
      <c r="M7" s="724"/>
      <c r="N7" s="98" t="s">
        <v>367</v>
      </c>
      <c r="O7" s="99">
        <f>AA41/K7</f>
        <v>2784.0296804576506</v>
      </c>
      <c r="S7" s="60" t="s">
        <v>127</v>
      </c>
      <c r="T7" s="61" t="s">
        <v>368</v>
      </c>
      <c r="Z7" s="151"/>
      <c r="AA7" s="60"/>
      <c r="AB7" s="60"/>
    </row>
    <row r="8">
      <c r="A8" s="688"/>
      <c r="B8" s="689"/>
      <c r="C8" s="690"/>
      <c r="D8" s="680"/>
      <c r="E8" s="725" t="s">
        <v>369</v>
      </c>
      <c r="F8" s="726"/>
      <c r="G8" s="726"/>
      <c r="H8" s="726"/>
      <c r="I8" s="726"/>
      <c r="J8" s="727"/>
      <c r="K8" s="728">
        <f>K6-1</f>
        <v>269</v>
      </c>
      <c r="L8" s="728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1172</v>
      </c>
      <c r="O8" s="102">
        <f>O7*K7</f>
        <v>90202.561646827875</v>
      </c>
      <c r="P8" s="103"/>
      <c r="Q8" s="103"/>
      <c r="R8" s="103"/>
      <c r="S8" s="103">
        <f>Sheet2!B16</f>
        <v>275</v>
      </c>
      <c r="T8" s="137">
        <f>((K8*N8)/10000)*1.2</f>
        <v>37.83216</v>
      </c>
      <c r="U8" s="138">
        <f>T8*S8</f>
        <v>10403.844000000001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371</v>
      </c>
      <c r="B10" s="729"/>
      <c r="C10" s="729"/>
      <c r="D10" s="729"/>
      <c r="E10" s="729"/>
      <c r="F10" s="729"/>
      <c r="G10" s="730" t="s">
        <v>372</v>
      </c>
      <c r="H10" s="730"/>
      <c r="I10" s="730" t="s">
        <v>373</v>
      </c>
      <c r="J10" s="730"/>
      <c r="K10" s="104"/>
      <c r="L10" s="731" t="s">
        <v>308</v>
      </c>
      <c r="M10" s="731"/>
      <c r="N10" s="731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732" t="s">
        <v>379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1165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2.9125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26202.909090909117</v>
      </c>
      <c r="Z11" s="151"/>
      <c r="AA11" s="60"/>
      <c r="AB11" s="60"/>
    </row>
    <row r="12" ht="20.1" customHeight="1">
      <c r="A12" s="709" t="s">
        <v>380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269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1.7933333333333335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381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256</v>
      </c>
      <c r="J13" s="711"/>
      <c r="K13" s="106"/>
      <c r="L13" s="720" t="s">
        <v>282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382</v>
      </c>
      <c r="B14" s="709"/>
      <c r="C14" s="709"/>
      <c r="D14" s="709"/>
      <c r="E14" s="709"/>
      <c r="F14" s="709"/>
      <c r="G14" s="710">
        <f>IF(L11&gt;2,2*L14,IF(L11=2,L14))</f>
        <v>18</v>
      </c>
      <c r="H14" s="710"/>
      <c r="I14" s="711">
        <f>I12</f>
        <v>269</v>
      </c>
      <c r="J14" s="711"/>
      <c r="K14" s="106"/>
      <c r="L14" s="109">
        <f>تسجيل1!H28</f>
        <v>18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16.14</v>
      </c>
      <c r="U14" s="103">
        <f>CEILING(T14,0.5)</f>
        <v>16.5</v>
      </c>
      <c r="V14" s="103">
        <f t="shared" si="1"/>
        <v>54</v>
      </c>
      <c r="W14" s="140">
        <v>1.05172413793103</v>
      </c>
      <c r="X14" s="141">
        <f t="shared" si="7"/>
        <v>13914.310344827527</v>
      </c>
      <c r="Z14" s="151"/>
      <c r="AA14" s="60"/>
      <c r="AB14" s="60"/>
    </row>
    <row r="15" ht="20.1" customHeight="1">
      <c r="A15" s="709" t="s">
        <v>383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256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267.5</v>
      </c>
      <c r="J16" s="711"/>
      <c r="K16" s="106"/>
      <c r="L16" s="704" t="s">
        <v>385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0.89166666666666672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264.5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261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261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267.5</v>
      </c>
      <c r="J19" s="711"/>
      <c r="K19" s="106"/>
      <c r="L19" s="712" t="s">
        <v>311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388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254</v>
      </c>
      <c r="J20" s="711"/>
      <c r="K20" s="106"/>
      <c r="L20" s="114" t="s">
        <v>372</v>
      </c>
      <c r="M20" s="718" t="s">
        <v>389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0.84666666666666668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390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2375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47.5</v>
      </c>
      <c r="U21" s="142">
        <f t="shared" si="0"/>
        <v>47.5</v>
      </c>
      <c r="V21" s="142">
        <f>U21*S21</f>
        <v>47.5</v>
      </c>
      <c r="W21" s="142">
        <f>Sheet2!B17</f>
        <v>175</v>
      </c>
      <c r="X21" s="144">
        <f>W21*V21</f>
        <v>8312.5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52194.717646827878</v>
      </c>
      <c r="Z22" s="151"/>
      <c r="AA22" s="60"/>
      <c r="AB22" s="60"/>
    </row>
    <row r="23" ht="20.1" customHeight="1">
      <c r="A23" s="705" t="s">
        <v>391</v>
      </c>
      <c r="B23" s="706"/>
      <c r="C23" s="706"/>
      <c r="D23" s="706"/>
      <c r="E23" s="707"/>
      <c r="F23" s="67" t="s">
        <v>392</v>
      </c>
      <c r="G23" s="68"/>
      <c r="H23" s="705" t="s">
        <v>393</v>
      </c>
      <c r="I23" s="706"/>
      <c r="J23" s="706"/>
      <c r="K23" s="706"/>
      <c r="L23" s="707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398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299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399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231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400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401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402</v>
      </c>
      <c r="C27" s="692"/>
      <c r="D27" s="692"/>
      <c r="E27" s="693"/>
      <c r="F27" s="73">
        <v>4</v>
      </c>
      <c r="G27" s="71"/>
      <c r="H27" s="72">
        <v>19</v>
      </c>
      <c r="I27" s="694" t="s">
        <v>403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404</v>
      </c>
      <c r="C28" s="692"/>
      <c r="D28" s="692"/>
      <c r="E28" s="693"/>
      <c r="F28" s="73">
        <f>L14</f>
        <v>18</v>
      </c>
      <c r="G28" s="71"/>
      <c r="H28" s="72">
        <v>20</v>
      </c>
      <c r="I28" s="694" t="s">
        <v>405</v>
      </c>
      <c r="J28" s="694"/>
      <c r="K28" s="694"/>
      <c r="L28" s="694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54</v>
      </c>
      <c r="AB28" s="60">
        <f t="shared" si="11"/>
        <v>880</v>
      </c>
    </row>
    <row r="29" ht="20.1" customHeight="1">
      <c r="A29" s="72">
        <v>6</v>
      </c>
      <c r="B29" s="691" t="s">
        <v>406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232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407</v>
      </c>
      <c r="C30" s="692"/>
      <c r="D30" s="692"/>
      <c r="E30" s="693"/>
      <c r="F30" s="73">
        <f>L14*L11</f>
        <v>36</v>
      </c>
      <c r="G30" s="71"/>
      <c r="H30" s="72">
        <v>22</v>
      </c>
      <c r="I30" s="694" t="s">
        <v>233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3000</v>
      </c>
    </row>
    <row r="31" ht="20.1" customHeight="1">
      <c r="A31" s="72">
        <v>8</v>
      </c>
      <c r="B31" s="691" t="s">
        <v>408</v>
      </c>
      <c r="C31" s="692"/>
      <c r="D31" s="692"/>
      <c r="E31" s="693"/>
      <c r="F31" s="73">
        <f>(L14+N14)*2</f>
        <v>40</v>
      </c>
      <c r="G31" s="71"/>
      <c r="H31" s="72">
        <v>23</v>
      </c>
      <c r="I31" s="694" t="s">
        <v>409</v>
      </c>
      <c r="J31" s="694"/>
      <c r="K31" s="694"/>
      <c r="L31" s="69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80</v>
      </c>
      <c r="AB31" s="60">
        <f t="shared" si="11"/>
        <v>2880</v>
      </c>
    </row>
    <row r="32" ht="20.1" customHeight="1">
      <c r="A32" s="72">
        <v>9</v>
      </c>
      <c r="B32" s="691" t="s">
        <v>410</v>
      </c>
      <c r="C32" s="692"/>
      <c r="D32" s="692"/>
      <c r="E32" s="693"/>
      <c r="F32" s="73">
        <f>(L14+N14)*2</f>
        <v>40</v>
      </c>
      <c r="G32" s="71"/>
      <c r="H32" s="72">
        <v>24</v>
      </c>
      <c r="I32" s="694" t="s">
        <v>411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200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412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413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414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234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415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235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416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417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418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419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236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420</v>
      </c>
      <c r="J38" s="694"/>
      <c r="K38" s="694"/>
      <c r="L38" s="694"/>
      <c r="M38" s="73">
        <f>(I11*4)/100</f>
        <v>46.6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466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27604</v>
      </c>
      <c r="AB39" s="681"/>
    </row>
    <row r="40" ht="20.45" customHeight="1" s="58" customFormat="1">
      <c r="A40" s="695" t="s">
        <v>421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292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90202.561646827875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293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269</v>
      </c>
      <c r="L97" s="177" t="str">
        <f>M8</f>
        <v>Χ</v>
      </c>
      <c r="M97" s="674">
        <f>N8</f>
        <v>1172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422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360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423</v>
      </c>
      <c r="F3" s="651" t="s">
        <v>424</v>
      </c>
      <c r="G3" s="651"/>
    </row>
    <row r="4" ht="18" customHeight="1">
      <c r="A4" s="11" t="s">
        <v>292</v>
      </c>
      <c r="F4" s="655" t="s">
        <v>425</v>
      </c>
      <c r="G4" s="656"/>
      <c r="H4" s="656"/>
      <c r="I4" s="657"/>
      <c r="J4" s="10"/>
    </row>
    <row r="5" ht="18" customHeight="1">
      <c r="A5" s="11" t="s">
        <v>293</v>
      </c>
      <c r="F5" s="658" t="s">
        <v>426</v>
      </c>
      <c r="G5" s="649"/>
      <c r="H5" s="649"/>
      <c r="I5" s="650"/>
      <c r="J5" s="10"/>
    </row>
    <row r="6" ht="18" customHeight="1">
      <c r="A6" s="11" t="s">
        <v>364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38" t="s">
        <v>428</v>
      </c>
      <c r="C11" s="639"/>
      <c r="D11" s="649" t="s">
        <v>429</v>
      </c>
      <c r="E11" s="650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3"/>
      <c r="R15" s="643"/>
      <c r="S15" s="643"/>
    </row>
    <row r="16" ht="18" customHeight="1">
      <c r="C16" s="651" t="s">
        <v>431</v>
      </c>
      <c r="D16" s="651"/>
      <c r="E16" s="651"/>
      <c r="F16" s="1" t="s">
        <v>432</v>
      </c>
    </row>
    <row r="17" ht="18" customHeight="1">
      <c r="A17" s="651" t="s">
        <v>297</v>
      </c>
      <c r="B17" s="651"/>
      <c r="C17" s="651"/>
    </row>
    <row r="18" ht="18" customHeight="1">
      <c r="A18" s="640" t="s">
        <v>433</v>
      </c>
      <c r="B18" s="641"/>
      <c r="C18" s="14">
        <f>'Format Φωτισμου (2)'!B9</f>
        <v>5</v>
      </c>
    </row>
    <row r="19" ht="18" customHeight="1">
      <c r="A19" s="640" t="s">
        <v>434</v>
      </c>
      <c r="B19" s="641"/>
      <c r="C19" s="14">
        <f>'Format Φωτισμου (2)'!B12</f>
        <v>35</v>
      </c>
    </row>
    <row r="20" ht="18" customHeight="1">
      <c r="A20" s="640" t="s">
        <v>435</v>
      </c>
      <c r="B20" s="641"/>
      <c r="C20" s="14">
        <f>C19/C18</f>
        <v>7</v>
      </c>
    </row>
    <row r="21" ht="18" customHeight="1">
      <c r="A21" s="645" t="s">
        <v>436</v>
      </c>
      <c r="B21" s="646"/>
      <c r="C21" s="647">
        <v>20</v>
      </c>
      <c r="D21" s="648"/>
      <c r="E21" s="638" t="s">
        <v>437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438</v>
      </c>
      <c r="B22" s="641"/>
      <c r="C22" s="179">
        <v>50</v>
      </c>
      <c r="D22" s="184" t="s">
        <v>439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440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357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360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361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359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362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255</v>
      </c>
      <c r="B6" s="686"/>
      <c r="C6" s="687"/>
      <c r="D6" s="679" t="s">
        <v>363</v>
      </c>
      <c r="E6" s="748" t="s">
        <v>364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366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367</v>
      </c>
      <c r="O7" s="99">
        <f>AA41/K7</f>
        <v>2133.1235057477479</v>
      </c>
      <c r="S7" s="60" t="s">
        <v>127</v>
      </c>
      <c r="T7" s="61" t="s">
        <v>368</v>
      </c>
      <c r="Z7" s="151"/>
      <c r="AA7" s="60"/>
      <c r="AB7" s="60"/>
    </row>
    <row r="8">
      <c r="A8" s="688"/>
      <c r="B8" s="689"/>
      <c r="C8" s="690"/>
      <c r="D8" s="680"/>
      <c r="E8" s="725" t="s">
        <v>369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371</v>
      </c>
      <c r="B10" s="729"/>
      <c r="C10" s="729"/>
      <c r="D10" s="729"/>
      <c r="E10" s="729"/>
      <c r="F10" s="729"/>
      <c r="G10" s="730" t="s">
        <v>372</v>
      </c>
      <c r="H10" s="730"/>
      <c r="I10" s="730" t="s">
        <v>373</v>
      </c>
      <c r="J10" s="730"/>
      <c r="K10" s="104"/>
      <c r="L10" s="731" t="s">
        <v>308</v>
      </c>
      <c r="M10" s="731"/>
      <c r="N10" s="731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732" t="s">
        <v>379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380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381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282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382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385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311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388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372</v>
      </c>
      <c r="M20" s="718" t="s">
        <v>389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390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391</v>
      </c>
      <c r="B23" s="706"/>
      <c r="C23" s="706"/>
      <c r="D23" s="706"/>
      <c r="E23" s="707"/>
      <c r="F23" s="67" t="s">
        <v>392</v>
      </c>
      <c r="G23" s="68"/>
      <c r="H23" s="705" t="s">
        <v>393</v>
      </c>
      <c r="I23" s="706"/>
      <c r="J23" s="706"/>
      <c r="K23" s="706"/>
      <c r="L23" s="707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398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299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399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231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400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401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402</v>
      </c>
      <c r="C27" s="692"/>
      <c r="D27" s="692"/>
      <c r="E27" s="693"/>
      <c r="F27" s="73">
        <v>4</v>
      </c>
      <c r="G27" s="71"/>
      <c r="H27" s="72">
        <v>19</v>
      </c>
      <c r="I27" s="694" t="s">
        <v>403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404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405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406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232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407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233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408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409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410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411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412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413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414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234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415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235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416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417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418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419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236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420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421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292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293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62" t="s">
        <v>300</v>
      </c>
      <c r="K1" s="763"/>
      <c r="L1" s="763"/>
      <c r="M1" s="764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339</v>
      </c>
      <c r="D17" s="766"/>
      <c r="E17" s="766"/>
      <c r="F17" s="767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342</v>
      </c>
      <c r="B29" s="769"/>
      <c r="C29" s="769"/>
      <c r="D29" s="769"/>
      <c r="E29" s="769"/>
      <c r="F29" s="769"/>
      <c r="G29" s="769"/>
      <c r="H29" s="770"/>
      <c r="I29" s="768" t="s">
        <v>343</v>
      </c>
      <c r="J29" s="769"/>
      <c r="K29" s="769"/>
      <c r="L29" s="769"/>
      <c r="M29" s="769"/>
      <c r="N29" s="769"/>
      <c r="O29" s="769"/>
      <c r="P29" s="770"/>
      <c r="Q29" s="768" t="s">
        <v>344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345</v>
      </c>
      <c r="B31" s="757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56" t="s">
        <v>345</v>
      </c>
      <c r="J31" s="757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58" t="s">
        <v>345</v>
      </c>
      <c r="R31" s="759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0" t="s">
        <v>346</v>
      </c>
      <c r="B32" s="761"/>
      <c r="C32" s="761"/>
      <c r="D32" s="34"/>
      <c r="E32" s="34"/>
      <c r="F32" s="38"/>
      <c r="G32" s="34"/>
      <c r="H32" s="35"/>
      <c r="I32" s="760" t="s">
        <v>348</v>
      </c>
      <c r="J32" s="761"/>
      <c r="K32" s="761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39" t="s">
        <v>289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39" t="s">
        <v>289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62" t="s">
        <v>300</v>
      </c>
      <c r="K1" s="763"/>
      <c r="L1" s="763"/>
      <c r="M1" s="764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339</v>
      </c>
      <c r="D17" s="766"/>
      <c r="E17" s="766"/>
      <c r="F17" s="767"/>
      <c r="G17" s="1"/>
      <c r="H17" s="1"/>
      <c r="I17" s="1"/>
    </row>
    <row r="18">
      <c r="A18" s="26" t="s">
        <v>340</v>
      </c>
      <c r="B18" s="27">
        <f>تسجيل1!C7</f>
        <v>270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1200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342</v>
      </c>
      <c r="B29" s="769"/>
      <c r="C29" s="769"/>
      <c r="D29" s="769"/>
      <c r="E29" s="769"/>
      <c r="F29" s="769"/>
      <c r="G29" s="769"/>
      <c r="H29" s="770"/>
      <c r="I29" s="768" t="s">
        <v>343</v>
      </c>
      <c r="J29" s="769"/>
      <c r="K29" s="769"/>
      <c r="L29" s="769"/>
      <c r="M29" s="769"/>
      <c r="N29" s="769"/>
      <c r="O29" s="769"/>
      <c r="P29" s="770"/>
      <c r="Q29" s="768" t="s">
        <v>344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345</v>
      </c>
      <c r="B31" s="757"/>
      <c r="C31" s="36">
        <f>B19</f>
        <v>1200</v>
      </c>
      <c r="D31" s="34" t="s">
        <v>346</v>
      </c>
      <c r="E31" s="36">
        <f>H34</f>
        <v>18</v>
      </c>
      <c r="F31" s="34"/>
      <c r="G31" s="34"/>
      <c r="H31" s="35"/>
      <c r="I31" s="756" t="s">
        <v>345</v>
      </c>
      <c r="J31" s="757"/>
      <c r="K31" s="36">
        <f>B19</f>
        <v>1200</v>
      </c>
      <c r="L31" s="34" t="s">
        <v>346</v>
      </c>
      <c r="M31" s="36">
        <f>P34</f>
        <v>16</v>
      </c>
      <c r="N31" s="15"/>
      <c r="O31" s="34"/>
      <c r="P31" s="35"/>
      <c r="Q31" s="758" t="s">
        <v>345</v>
      </c>
      <c r="R31" s="759"/>
      <c r="S31" s="57">
        <f>B19</f>
        <v>1200</v>
      </c>
      <c r="T31" s="47" t="s">
        <v>347</v>
      </c>
      <c r="U31" s="57">
        <f>INT((S31-4)/25)+1</f>
        <v>48</v>
      </c>
      <c r="V31" s="47"/>
      <c r="W31" s="47"/>
      <c r="X31" s="48"/>
    </row>
    <row r="32">
      <c r="A32" s="760" t="s">
        <v>346</v>
      </c>
      <c r="B32" s="761"/>
      <c r="C32" s="761"/>
      <c r="D32" s="34"/>
      <c r="E32" s="34"/>
      <c r="F32" s="38"/>
      <c r="G32" s="34"/>
      <c r="H32" s="35"/>
      <c r="I32" s="760" t="s">
        <v>348</v>
      </c>
      <c r="J32" s="761"/>
      <c r="K32" s="761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18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16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18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18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16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18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16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تسجيل1!E7</f>
        <v>1200</v>
      </c>
      <c r="E2" s="1">
        <f>تسجيل1!E7</f>
        <v>1200</v>
      </c>
      <c r="F2" s="1">
        <f>تسجيل1!E7</f>
        <v>1200</v>
      </c>
      <c r="G2" s="1">
        <f>تسجيل1!E7</f>
        <v>1200</v>
      </c>
      <c r="H2" s="8">
        <f>تسجيل1!E7</f>
        <v>1200</v>
      </c>
    </row>
    <row r="3">
      <c r="A3" s="773"/>
      <c r="B3" s="774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1200</v>
      </c>
      <c r="E6" s="1">
        <f>IF(E3=0,E2,E2-E3-E4+10)</f>
        <v>1200</v>
      </c>
      <c r="F6" s="1">
        <f>IF(F3=0,F2,F2-F3-F4+10)</f>
        <v>1200</v>
      </c>
      <c r="G6" s="1">
        <f>IF(G3=0,G2,G2-G3-G4+10)</f>
        <v>1200</v>
      </c>
      <c r="H6" s="8">
        <f>IF(H3=0,H2,H2-H3-H4+10)</f>
        <v>1200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1200</v>
      </c>
      <c r="L6" s="10">
        <f>IF(Format!E8=1,تسجيل1!E7-30,IF(Format!E8=2,D7,IF(Format!E8=3,E7,IF(Format!E8=4,F7,IF(Format!E8=5,G7,IF(Format!E8=6,H7,"-----"))))))</f>
        <v>1170</v>
      </c>
    </row>
    <row r="7">
      <c r="A7" s="775"/>
      <c r="B7" s="776"/>
      <c r="C7" s="19" t="s">
        <v>277</v>
      </c>
      <c r="D7" s="6">
        <f>D6-30</f>
        <v>1170</v>
      </c>
      <c r="E7" s="6">
        <f>E6-17</f>
        <v>1183</v>
      </c>
      <c r="F7" s="6">
        <f>F6-30</f>
        <v>1170</v>
      </c>
      <c r="G7" s="6">
        <f>G6-17</f>
        <v>1183</v>
      </c>
      <c r="H7" s="9">
        <f>H6-30</f>
        <v>1170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تسجيل1!E7</f>
        <v>1200</v>
      </c>
      <c r="E11" s="1">
        <f>تسجيل1!E7</f>
        <v>1200</v>
      </c>
      <c r="F11" s="1">
        <f>تسجيل1!E7</f>
        <v>1200</v>
      </c>
      <c r="G11" s="1">
        <f>تسجيل1!E7</f>
        <v>1200</v>
      </c>
      <c r="H11" s="8">
        <f>تسجيل1!E7</f>
        <v>1200</v>
      </c>
    </row>
    <row r="12">
      <c r="A12" s="779"/>
      <c r="B12" s="780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1200</v>
      </c>
      <c r="L14" s="10">
        <f>IF(Format!E8=1,تسجيل1!E7-30,IF(Format!E8=2,D16,IF(Format!E8=3,E16,IF(Format!E8=4,F16,IF(Format!E8=5,G16,IF(Format!E8=6,H16))))))</f>
        <v>1170</v>
      </c>
    </row>
    <row r="15">
      <c r="A15" s="779"/>
      <c r="B15" s="780"/>
      <c r="C15" s="10" t="s">
        <v>275</v>
      </c>
      <c r="D15" s="1">
        <f>IF(D12=0,D11,D11-D12-D13+11)</f>
        <v>1200</v>
      </c>
      <c r="E15" s="1">
        <f>IF(E12=0,E11,E11-E12-E13+11)</f>
        <v>1200</v>
      </c>
      <c r="F15" s="1">
        <f>IF(F12=0,F11,F11-F12-F13+11)</f>
        <v>1200</v>
      </c>
      <c r="G15" s="1">
        <f>IF(G12=0,G11,G11-G12-G13+11)</f>
        <v>1200</v>
      </c>
      <c r="H15" s="8">
        <f>IF(H12=0,H11,H11-H12-H13+11)</f>
        <v>1200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1170</v>
      </c>
      <c r="E16" s="6">
        <f>E15-17</f>
        <v>1183</v>
      </c>
      <c r="F16" s="6">
        <f>F15-30</f>
        <v>1170</v>
      </c>
      <c r="G16" s="6">
        <f>G15-17</f>
        <v>1183</v>
      </c>
      <c r="H16" s="9">
        <f>H15-30</f>
        <v>1170</v>
      </c>
      <c r="Q16" s="10">
        <f>IF(Format!A7=1,K6,IF(Format!A7=3,K6,IF(Format!A7=4,K23,IF(Format!A7=2,K23,IF(Format!A7=5,K14,"------")))))</f>
        <v>1200</v>
      </c>
      <c r="R16" s="10">
        <f>IF(Format!A7=1,L6,IF(Format!A7=3,L6,IF(Format!A7=4,L23,IF(Format!A7=2,L23+2,IF(Format!A7=5,L14,"------")))))</f>
        <v>1172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تسجيل1!E7</f>
        <v>1200</v>
      </c>
      <c r="E20" s="1">
        <f>تسجيل1!E7</f>
        <v>1200</v>
      </c>
      <c r="F20" s="1">
        <f>تسجيل1!E7</f>
        <v>1200</v>
      </c>
      <c r="G20" s="1">
        <f>تسجيل1!E7</f>
        <v>1200</v>
      </c>
      <c r="H20" s="8">
        <f>تسجيل1!E7</f>
        <v>1200</v>
      </c>
    </row>
    <row r="21">
      <c r="A21" s="785"/>
      <c r="B21" s="786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1200</v>
      </c>
      <c r="L23" s="10">
        <f>IF(Format!E8=1,تسجيل1!E7-30,IF(Format!E8=2,D25,IF(Format!E8=3,E25,IF(Format!E8=4,F25,IF(Format!E8=5,G25,IF(Format!E8=6,H25))))))</f>
        <v>1170</v>
      </c>
    </row>
    <row r="24">
      <c r="A24" s="785"/>
      <c r="B24" s="786"/>
      <c r="C24" s="10" t="s">
        <v>275</v>
      </c>
      <c r="D24" s="1">
        <f>IF(D21=0,D20,D20-D21-D22+11)</f>
        <v>1200</v>
      </c>
      <c r="E24" s="1">
        <f>IF(E21=0,E20,E20-E21-E22+11)</f>
        <v>1200</v>
      </c>
      <c r="F24" s="1">
        <f>IF(F21=0,F20,F20-F21-F22+11)</f>
        <v>1200</v>
      </c>
      <c r="G24" s="1">
        <f>IF(G21=0,G20,G20-G21-G22+11)</f>
        <v>1200</v>
      </c>
      <c r="H24" s="8">
        <f>IF(H21=0,H20,H20-H21-H22+11)</f>
        <v>1200</v>
      </c>
    </row>
    <row r="25">
      <c r="A25" s="787"/>
      <c r="B25" s="788"/>
      <c r="C25" s="19" t="s">
        <v>277</v>
      </c>
      <c r="D25" s="6">
        <f>D24-30</f>
        <v>1170</v>
      </c>
      <c r="E25" s="6">
        <f>E24-13</f>
        <v>1187</v>
      </c>
      <c r="F25" s="6">
        <f>F24-30</f>
        <v>1170</v>
      </c>
      <c r="G25" s="6">
        <f>G24-13</f>
        <v>1187</v>
      </c>
      <c r="H25" s="9">
        <f>H24-30</f>
        <v>1170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270</v>
      </c>
      <c r="J4" s="15">
        <v>4</v>
      </c>
      <c r="K4" s="15">
        <v>2</v>
      </c>
    </row>
    <row r="5">
      <c r="A5" s="1" t="s">
        <v>256</v>
      </c>
      <c r="B5" s="1">
        <f>تسجيل1!E7</f>
        <v>1200</v>
      </c>
      <c r="J5" s="15">
        <v>5</v>
      </c>
      <c r="K5" s="15">
        <v>3</v>
      </c>
      <c r="L5" s="1">
        <f>IF(B6&lt;3,2,IF(B6&lt;4,2,IF(B6&lt;5,2,IF(B6&lt;6,3,IF(B6&lt;7,3,IF(B6&lt;8,3,IF(B6&lt;8,4,L11)))))))</f>
        <v>6</v>
      </c>
    </row>
    <row r="6">
      <c r="A6" s="1" t="s">
        <v>282</v>
      </c>
      <c r="B6" s="1">
        <f>'Cutting Ro-1'!L14</f>
        <v>18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6</v>
      </c>
    </row>
    <row r="9">
      <c r="A9" s="1" t="s">
        <v>287</v>
      </c>
      <c r="B9" s="1">
        <f>O8</f>
        <v>6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11.100000000000001</v>
      </c>
      <c r="C10" s="639" t="s">
        <v>289</v>
      </c>
      <c r="D10" s="639"/>
      <c r="E10" s="14">
        <f>ROUND(B10,0)</f>
        <v>11</v>
      </c>
      <c r="J10" s="15">
        <v>10</v>
      </c>
      <c r="K10" s="15">
        <v>4</v>
      </c>
    </row>
    <row r="11">
      <c r="A11" s="12" t="s">
        <v>290</v>
      </c>
      <c r="B11" s="13">
        <f>E10/B9</f>
        <v>1.8333333333333333</v>
      </c>
      <c r="C11" s="639" t="s">
        <v>289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6</v>
      </c>
    </row>
    <row r="12">
      <c r="A12" s="12" t="s">
        <v>291</v>
      </c>
      <c r="B12" s="14">
        <f>E11*B9</f>
        <v>12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6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 t="str">
        <f>IF((V14="ok"),Royal!G80,"R")</f>
        <v>R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 t="e">
        <f>T2/(AA10*X8)*10000</f>
        <v>#VALUE!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9" t="s">
        <v>176</v>
      </c>
      <c r="AP6" s="620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178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1200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270</v>
      </c>
      <c r="AB10" s="413"/>
      <c r="AC10" s="415"/>
      <c r="AD10" s="414"/>
      <c r="AE10" s="575" t="s">
        <v>187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188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189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191</v>
      </c>
      <c r="T14" s="534"/>
      <c r="U14" s="497" t="s">
        <v>192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191</v>
      </c>
      <c r="AT14" s="438"/>
      <c r="AU14" s="434" t="s">
        <v>192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191</v>
      </c>
      <c r="BE14" s="492"/>
      <c r="BF14" s="497" t="s">
        <v>193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194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195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198</v>
      </c>
      <c r="AW25" s="493">
        <f>AT34</f>
        <v>500</v>
      </c>
      <c r="BD25" s="426" t="s">
        <v>165</v>
      </c>
      <c r="BE25" s="427" t="s">
        <v>167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170</v>
      </c>
      <c r="AH26" s="605" t="s">
        <v>199</v>
      </c>
      <c r="AI26" s="584" t="s">
        <v>173</v>
      </c>
      <c r="AJ26" s="584" t="s">
        <v>174</v>
      </c>
      <c r="AK26" s="584" t="s">
        <v>175</v>
      </c>
      <c r="AL26" s="595" t="s">
        <v>176</v>
      </c>
      <c r="AM26" s="595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169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200</v>
      </c>
      <c r="AH28" s="582" t="s">
        <v>201</v>
      </c>
      <c r="AI28" s="582" t="s">
        <v>169</v>
      </c>
      <c r="AJ28" s="582" t="s">
        <v>202</v>
      </c>
      <c r="AK28" s="582" t="s">
        <v>182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205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189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320</v>
      </c>
      <c r="BL33" s="0" t="s">
        <v>190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191</v>
      </c>
      <c r="AT34" s="438">
        <v>500</v>
      </c>
      <c r="AU34" s="486"/>
      <c r="AZ34" s="607"/>
      <c r="BA34" s="607"/>
      <c r="BB34" s="607"/>
      <c r="BD34" s="438" t="s">
        <v>191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207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208</v>
      </c>
      <c r="AT41" s="614"/>
      <c r="AU41" s="614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210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211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167</v>
      </c>
      <c r="AZ45" s="493">
        <f>AT53</f>
        <v>500</v>
      </c>
      <c r="BD45" s="426" t="s">
        <v>165</v>
      </c>
      <c r="BE45" s="427" t="s">
        <v>167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198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191</v>
      </c>
      <c r="AT54" s="438">
        <v>400</v>
      </c>
      <c r="AU54" s="486"/>
      <c r="AZ54" s="607"/>
      <c r="BA54" s="607"/>
      <c r="BB54" s="607"/>
      <c r="BD54" s="438" t="s">
        <v>191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216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210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198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217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218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1200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1168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1165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IF(Format!N8=1,'Format διαστασης οδηγου'!B2-32,"-------")</f>
        <v>1168</v>
      </c>
      <c r="F8" s="1">
        <f>IF(Format!A7=1,C6,IF(Format!A7=2,C7,IF(Format!A7=3,C8,IF(Format!A7=4,C9,IF(Format!A7=5,C10)))))</f>
        <v>1165</v>
      </c>
      <c r="H8" s="789"/>
      <c r="I8" s="789"/>
      <c r="J8" s="789"/>
      <c r="K8" s="790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1168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1200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1200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IF(Format!N8=1,'Format διαστασης οδηγου'!B2,"-------")</f>
        <v>1200</v>
      </c>
      <c r="F16" s="1">
        <f>IF(Format!A7=1,C14,IF(Format!A7=2,C15,IF(Format!A7=3,C16,IF(Format!A7=4,C17,IF(Format!A7=5,C118)))))</f>
        <v>1200</v>
      </c>
      <c r="H16" s="789"/>
      <c r="I16" s="789"/>
      <c r="J16" s="789"/>
      <c r="K16" s="790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1200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45524.377312766206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0.012115347961231237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4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9.6000000000000014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8415</v>
      </c>
      <c r="L7" s="241">
        <f>(K7)/$G$79</f>
        <v>0.053307531029417439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0.015963752607739981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15.600000000000001</v>
      </c>
      <c r="G9" s="211"/>
      <c r="H9" s="211">
        <f>(H6*B6)+(H8*B8)+(H7*B7)</f>
        <v>285.5</v>
      </c>
      <c r="I9" s="211"/>
      <c r="J9" s="242"/>
      <c r="K9" s="240">
        <f>SUBTOTAL(109,Table1[اجمالي])</f>
        <v>12847.5</v>
      </c>
      <c r="L9" s="244">
        <f>Table1[[#Totals],[اجمالي]]/$G$79</f>
        <v>0.081386631598388659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1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3.3600000000000003</v>
      </c>
      <c r="G13" s="211" t="s">
        <v>43</v>
      </c>
      <c r="H13" s="211">
        <v>101</v>
      </c>
      <c r="I13" s="211">
        <f>Table14[[#This Row],[Column12]]*Table14[[#This Row],[عدد]]</f>
        <v>3.3600000000000003</v>
      </c>
      <c r="J13" s="243">
        <f t="shared" si="0"/>
        <v>4545</v>
      </c>
      <c r="K13" s="240">
        <f t="shared" si="1"/>
        <v>4545</v>
      </c>
      <c r="L13" s="241">
        <f>(K13)/$G$79</f>
        <v>0.028791768096102469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3.3600000000000003</v>
      </c>
      <c r="G14" s="211"/>
      <c r="H14" s="211">
        <f>H12*B12+H13*B13</f>
        <v>101</v>
      </c>
      <c r="I14" s="211"/>
      <c r="J14" s="239"/>
      <c r="K14" s="240">
        <f>SUBTOTAL(109,Table14[اجمالي])</f>
        <v>4545</v>
      </c>
      <c r="L14" s="244">
        <f>Table14[[#Totals],[اجمالي]]/$G$79</f>
        <v>0.028791768096102469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3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1200</v>
      </c>
      <c r="L17" s="241">
        <f ref="L17:L26" t="shared" si="3">(K17)/$G$79</f>
        <v>0.0076017869560666583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0.0031674112316944407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5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550</v>
      </c>
      <c r="L19" s="241">
        <f t="shared" si="3"/>
        <v>0.0034841523548638851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0.00082352692024055465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0.0012669644926777764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0.00038008934780333291</v>
      </c>
    </row>
    <row r="23" ht="21" customHeight="1" s="216" customFormat="1">
      <c r="A23" s="211">
        <v>7</v>
      </c>
      <c r="B23" s="212">
        <f>IF((Sheet2!H3="no"),0,(تسعير!AA10/100))</f>
        <v>2.7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2700</v>
      </c>
      <c r="L23" s="241">
        <f t="shared" si="3"/>
        <v>0.017104020651149982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0.00019004467390166646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0.015203573912133317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0.0028506701085249967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8220</v>
      </c>
      <c r="L27" s="244">
        <f>Table15[[#Totals],[اجمالي]]/$G$79</f>
        <v>0.052072240649056606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0.00047511168475416614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0.00047511168475416614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0.00079185280792361018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0.0047511168475416615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0.0012669644926777764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0.0014003291761175423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1446.0526315789473</v>
      </c>
      <c r="L49" s="244">
        <f>Table13[[#Totals],[اجمالي]]/$G$79</f>
        <v>0.0091604866937689215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0.0074830090348781166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0.011085939310930543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0.018568948345808661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2784.0296804576506</v>
      </c>
      <c r="I58" s="247"/>
      <c r="J58" s="411">
        <f>IF((Table1611[[#This Row],[عدد]]&gt;0),'Cutting Ro-1'!O8,0)</f>
        <v>90202.561646827875</v>
      </c>
      <c r="K58" s="240">
        <f>B58*Table1611[[#This Row],[سعر البرجولا كاملة]]</f>
        <v>90202.561646827875</v>
      </c>
      <c r="L58" s="241">
        <f>(K58)/$G$79</f>
        <v>0.57141721377554566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90202.561646827875</v>
      </c>
      <c r="K59" s="240">
        <f>B59*Table1611[[#This Row],[سعر البرجولا كاملة]]</f>
        <v>9020.2561646827871</v>
      </c>
      <c r="L59" s="241">
        <f>(K59)/$G$79</f>
        <v>0.057141721377554563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99222.817811510657</v>
      </c>
      <c r="L60" s="244">
        <f>Table1611[[#Totals],[اجمالي]]/$G$79</f>
        <v>0.62855893515310013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0.0050678579707111055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0.0038008934780333291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3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5" s="240">
        <f t="shared" si="9"/>
        <v>1800</v>
      </c>
      <c r="L65" s="241">
        <f t="shared" si="10"/>
        <v>0.011402680434099987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0.0038008934780333291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0.024705807607216638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0.018529355705412479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0.016470538404811094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0.016723931303346647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0.022171878621861086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0.019004467390166646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0.029140183331588857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0.010642501738493321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28645</v>
      </c>
      <c r="L76" s="525">
        <f>Table1612[[#Totals],[اجمالي]]/$G$79</f>
        <v>0.18146098946377451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157857.6204430896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205214.90657601648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45524.377312766206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45524.377312766206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45524.377312766206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199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199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484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484</v>
      </c>
      <c r="B4" s="331">
        <v>2.7</v>
      </c>
      <c r="C4" s="331">
        <v>13.5</v>
      </c>
      <c r="E4" s="331" t="s">
        <v>488</v>
      </c>
      <c r="F4" s="331">
        <f>Sheet2!B43</f>
        <v>130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201</v>
      </c>
      <c r="T4" s="331">
        <v>18.75</v>
      </c>
      <c r="U4" s="323"/>
      <c r="V4" s="331" t="s">
        <v>488</v>
      </c>
      <c r="W4" s="331">
        <f>Sheet2!B43</f>
        <v>130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484</v>
      </c>
      <c r="B5" s="331">
        <v>3</v>
      </c>
      <c r="C5" s="331">
        <v>13.5</v>
      </c>
      <c r="E5" s="331" t="s">
        <v>202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202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484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3375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497</v>
      </c>
      <c r="W6" s="331">
        <v>250</v>
      </c>
      <c r="X6" s="323"/>
      <c r="Y6" s="339" t="s">
        <v>498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225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225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>
        <f>IF(تسعير!AI8="نصف جملة",((N6+N9+N10+N11+تسعير!AO8)*1.275),IF(تسعير!AI8="جملة",(((N6+N9+N10+N11+تسعير!AO8)*1.25)),((N6+N9+N10+N11+تسعير!AO8)*1.3)))</f>
        <v>20788.75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199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16631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200</v>
      </c>
      <c r="F17" s="323" t="s">
        <v>526</v>
      </c>
      <c r="H17" s="331" t="s">
        <v>527</v>
      </c>
      <c r="I17" s="331">
        <v>5.65</v>
      </c>
      <c r="J17" s="331" t="s">
        <v>528</v>
      </c>
      <c r="K17" s="331" t="s">
        <v>528</v>
      </c>
      <c r="P17" s="365"/>
      <c r="R17" s="340"/>
      <c r="V17" s="324" t="s">
        <v>9</v>
      </c>
      <c r="W17" s="323" t="s">
        <v>30</v>
      </c>
      <c r="X17" s="323"/>
      <c r="Y17" s="324" t="s">
        <v>199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179</v>
      </c>
      <c r="F18" s="323" t="s">
        <v>215</v>
      </c>
      <c r="H18" s="331" t="s">
        <v>529</v>
      </c>
      <c r="I18" s="331">
        <v>6.1</v>
      </c>
      <c r="J18" s="331" t="s">
        <v>528</v>
      </c>
      <c r="K18" s="331" t="s">
        <v>528</v>
      </c>
      <c r="P18" s="365"/>
      <c r="R18" s="340"/>
      <c r="V18" s="331" t="s">
        <v>200</v>
      </c>
      <c r="W18" s="339" t="s">
        <v>526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182</v>
      </c>
      <c r="H19" s="331" t="s">
        <v>531</v>
      </c>
      <c r="I19" s="331">
        <v>6.5</v>
      </c>
      <c r="J19" s="331" t="s">
        <v>528</v>
      </c>
      <c r="K19" s="331" t="s">
        <v>528</v>
      </c>
      <c r="P19" s="365"/>
      <c r="R19" s="340"/>
      <c r="V19" s="331" t="s">
        <v>179</v>
      </c>
      <c r="W19" s="339" t="s">
        <v>215</v>
      </c>
      <c r="X19" s="323"/>
      <c r="Y19" s="331" t="s">
        <v>201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532</v>
      </c>
      <c r="H20" s="331" t="s">
        <v>533</v>
      </c>
      <c r="I20" s="331">
        <v>7.5</v>
      </c>
      <c r="J20" s="331" t="s">
        <v>528</v>
      </c>
      <c r="K20" s="331" t="s">
        <v>528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534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535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536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537</v>
      </c>
      <c r="E27" s="346" t="s">
        <v>450</v>
      </c>
      <c r="F27" s="345" t="s">
        <v>538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539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540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541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542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543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544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545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546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547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548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549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550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551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552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553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554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555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537</v>
      </c>
      <c r="E60" s="346" t="s">
        <v>450</v>
      </c>
      <c r="F60" s="345" t="s">
        <v>538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539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540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541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543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556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545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546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547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548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550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549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552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551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553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554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555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557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558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559</v>
      </c>
      <c r="D2" s="550" t="s">
        <v>30</v>
      </c>
      <c r="E2" s="550" t="s">
        <v>560</v>
      </c>
      <c r="F2" s="550" t="s">
        <v>561</v>
      </c>
      <c r="G2" s="540"/>
      <c r="H2" s="551" t="s">
        <v>562</v>
      </c>
      <c r="I2" s="551"/>
      <c r="J2" s="551" t="s">
        <v>563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559</v>
      </c>
      <c r="AY2" s="194" t="s">
        <v>30</v>
      </c>
      <c r="AZ2" s="194" t="s">
        <v>560</v>
      </c>
      <c r="BA2" s="194" t="s">
        <v>561</v>
      </c>
      <c r="BC2" s="195" t="s">
        <v>562</v>
      </c>
      <c r="BD2" s="195"/>
      <c r="BE2" s="195" t="s">
        <v>563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564</v>
      </c>
      <c r="B3" s="552">
        <f>ROUNDUP((12+((ROUNDUP((D1-210),15))/15)),0)</f>
        <v>32</v>
      </c>
      <c r="C3" s="553">
        <f>F1-16.5</f>
        <v>383.5</v>
      </c>
      <c r="D3" s="550" t="s">
        <v>565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45524.377312939818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564</v>
      </c>
      <c r="AW3" s="196">
        <f>ROUNDUP((12+((ROUNDUP((AY1-210),18))/18)),0)</f>
        <v>23</v>
      </c>
      <c r="AX3" s="197">
        <f>BA1-16.5</f>
        <v>483.5</v>
      </c>
      <c r="AY3" s="194" t="s">
        <v>565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45524.377312939818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566</v>
      </c>
      <c r="B4" s="550">
        <v>2</v>
      </c>
      <c r="C4" s="552">
        <f>F1</f>
        <v>400</v>
      </c>
      <c r="D4" s="550" t="s">
        <v>565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567</v>
      </c>
      <c r="AW4" s="194">
        <v>2</v>
      </c>
      <c r="AX4" s="196">
        <f>BA1</f>
        <v>500</v>
      </c>
      <c r="AY4" s="194" t="s">
        <v>565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568</v>
      </c>
      <c r="B5" s="550">
        <v>2</v>
      </c>
      <c r="C5" s="552">
        <f>D1</f>
        <v>500</v>
      </c>
      <c r="D5" s="550" t="s">
        <v>565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568</v>
      </c>
      <c r="AW5" s="194">
        <v>2</v>
      </c>
      <c r="AX5" s="196">
        <f>AY1</f>
        <v>400</v>
      </c>
      <c r="AY5" s="194" t="s">
        <v>565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570</v>
      </c>
      <c r="B6" s="550">
        <v>2</v>
      </c>
      <c r="C6" s="552">
        <f>F1</f>
        <v>400</v>
      </c>
      <c r="D6" s="550" t="s">
        <v>565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572</v>
      </c>
      <c r="AW6" s="194">
        <v>1</v>
      </c>
      <c r="AX6" s="194">
        <f>(15.6*(AW3-1)+4)</f>
        <v>347.2</v>
      </c>
      <c r="AY6" s="194" t="s">
        <v>565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574</v>
      </c>
      <c r="B7" s="550">
        <v>2</v>
      </c>
      <c r="C7" s="552">
        <f>D1</f>
        <v>500</v>
      </c>
      <c r="D7" s="550" t="s">
        <v>565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577</v>
      </c>
      <c r="B8" s="550">
        <v>2</v>
      </c>
      <c r="C8" s="550">
        <f>C3</f>
        <v>383.5</v>
      </c>
      <c r="D8" s="550" t="s">
        <v>565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578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578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572</v>
      </c>
      <c r="B9" s="550">
        <v>2</v>
      </c>
      <c r="C9" s="550">
        <f>(15.6*(B3-1)+4)</f>
        <v>487.59999999999997</v>
      </c>
      <c r="D9" s="550" t="s">
        <v>565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580</v>
      </c>
      <c r="AW9" s="194">
        <v>1</v>
      </c>
      <c r="AX9" s="196">
        <v>100</v>
      </c>
      <c r="AY9" s="194" t="s">
        <v>565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576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579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580</v>
      </c>
      <c r="B12" s="550">
        <v>1</v>
      </c>
      <c r="C12" s="552">
        <v>100</v>
      </c>
      <c r="D12" s="550" t="s">
        <v>565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585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586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583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584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587</v>
      </c>
      <c r="B17" s="550">
        <v>2</v>
      </c>
      <c r="C17" s="550"/>
      <c r="D17" s="550" t="s">
        <v>565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588</v>
      </c>
      <c r="B18" s="550"/>
      <c r="C18" s="550">
        <f>ROUNDUP(((C3*B3)/100),0)</f>
        <v>123</v>
      </c>
      <c r="D18" s="550" t="s">
        <v>565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589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593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594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557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557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595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559</v>
      </c>
      <c r="AY73" s="194" t="s">
        <v>30</v>
      </c>
      <c r="AZ73" s="194" t="s">
        <v>560</v>
      </c>
      <c r="BA73" s="194" t="s">
        <v>561</v>
      </c>
      <c r="BB73" s="167"/>
      <c r="BC73" s="198" t="s">
        <v>562</v>
      </c>
      <c r="BD73" s="198"/>
      <c r="BE73" s="198" t="s">
        <v>563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45524.377312939818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557</v>
      </c>
      <c r="B74" s="545">
        <f>(F74*D74)/10000</f>
        <v>8.64</v>
      </c>
      <c r="C74" s="546" t="s">
        <v>427</v>
      </c>
      <c r="D74" s="547">
        <v>270</v>
      </c>
      <c r="E74" s="546" t="s">
        <v>125</v>
      </c>
      <c r="F74" s="547">
        <v>320</v>
      </c>
      <c r="G74" s="546" t="s">
        <v>173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45524.377312939818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564</v>
      </c>
      <c r="AW74" s="196">
        <f>ROUNDUP((12+((ROUNDUP((AY72-210),18))/18)),0)</f>
        <v>23</v>
      </c>
      <c r="AX74" s="197">
        <f>BA72-16.5</f>
        <v>483.5</v>
      </c>
      <c r="AY74" s="194" t="s">
        <v>565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559</v>
      </c>
      <c r="D75" s="550" t="s">
        <v>30</v>
      </c>
      <c r="E75" s="550" t="s">
        <v>560</v>
      </c>
      <c r="F75" s="550" t="s">
        <v>561</v>
      </c>
      <c r="G75" s="540"/>
      <c r="H75" s="551" t="s">
        <v>562</v>
      </c>
      <c r="I75" s="551"/>
      <c r="J75" s="551" t="s">
        <v>563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566</v>
      </c>
      <c r="AW75" s="194">
        <v>2</v>
      </c>
      <c r="AX75" s="196">
        <f>BA72</f>
        <v>500</v>
      </c>
      <c r="AY75" s="194" t="s">
        <v>565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564</v>
      </c>
      <c r="B76" s="552">
        <f>ROUNDUP((12+((ROUNDUP((D74-210),15))/15)),0)</f>
        <v>16</v>
      </c>
      <c r="C76" s="553">
        <f>F74-16.5</f>
        <v>303.5</v>
      </c>
      <c r="D76" s="550" t="s">
        <v>565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568</v>
      </c>
      <c r="AW76" s="194">
        <v>2</v>
      </c>
      <c r="AX76" s="196">
        <f>AY72</f>
        <v>400</v>
      </c>
      <c r="AY76" s="194" t="s">
        <v>565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566</v>
      </c>
      <c r="B77" s="550">
        <v>2</v>
      </c>
      <c r="C77" s="552">
        <f>F74</f>
        <v>320</v>
      </c>
      <c r="D77" s="550" t="s">
        <v>565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572</v>
      </c>
      <c r="AW77" s="194">
        <v>1</v>
      </c>
      <c r="AX77" s="194">
        <f>(15.6*(AW74-1)+4)</f>
        <v>347.2</v>
      </c>
      <c r="AY77" s="194" t="s">
        <v>565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568</v>
      </c>
      <c r="B78" s="550">
        <v>2</v>
      </c>
      <c r="C78" s="552">
        <f>D74</f>
        <v>270</v>
      </c>
      <c r="D78" s="550" t="s">
        <v>565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578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570</v>
      </c>
      <c r="B79" s="550">
        <v>2</v>
      </c>
      <c r="C79" s="552">
        <f>F74</f>
        <v>320</v>
      </c>
      <c r="D79" s="550" t="s">
        <v>565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578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574</v>
      </c>
      <c r="B80" s="550">
        <v>2</v>
      </c>
      <c r="C80" s="552">
        <f>D74</f>
        <v>270</v>
      </c>
      <c r="D80" s="550" t="s">
        <v>565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580</v>
      </c>
      <c r="AW80" s="194">
        <v>1</v>
      </c>
      <c r="AX80" s="196">
        <v>100</v>
      </c>
      <c r="AY80" s="194" t="s">
        <v>565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577</v>
      </c>
      <c r="B81" s="550">
        <v>2</v>
      </c>
      <c r="C81" s="550">
        <f>C76</f>
        <v>303.5</v>
      </c>
      <c r="D81" s="550" t="s">
        <v>565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585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572</v>
      </c>
      <c r="B82" s="550">
        <v>2</v>
      </c>
      <c r="C82" s="550">
        <f>(15.6*(B76-1)+4)</f>
        <v>238</v>
      </c>
      <c r="D82" s="550" t="s">
        <v>565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576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579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580</v>
      </c>
      <c r="B85" s="550">
        <v>1</v>
      </c>
      <c r="C85" s="552">
        <v>100</v>
      </c>
      <c r="D85" s="550" t="s">
        <v>565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585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586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583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584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587</v>
      </c>
      <c r="B90" s="550">
        <v>2</v>
      </c>
      <c r="C90" s="550"/>
      <c r="D90" s="550" t="s">
        <v>565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588</v>
      </c>
      <c r="B91" s="550"/>
      <c r="C91" s="550">
        <f>ROUNDUP(((C76*B76)/100),0)</f>
        <v>49</v>
      </c>
      <c r="D91" s="550" t="s">
        <v>565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589</v>
      </c>
      <c r="B92" s="566"/>
      <c r="C92" s="566">
        <f>C91</f>
        <v>49</v>
      </c>
      <c r="D92" s="550" t="s">
        <v>565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593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594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557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557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422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360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423</v>
      </c>
      <c r="F3" s="651" t="s">
        <v>424</v>
      </c>
      <c r="G3" s="651"/>
    </row>
    <row r="4" ht="18" customHeight="1">
      <c r="A4" s="11" t="s">
        <v>292</v>
      </c>
      <c r="F4" s="655" t="s">
        <v>425</v>
      </c>
      <c r="G4" s="656"/>
      <c r="H4" s="656"/>
      <c r="I4" s="657"/>
      <c r="J4" s="10"/>
    </row>
    <row r="5" ht="18" customHeight="1">
      <c r="A5" s="11" t="s">
        <v>293</v>
      </c>
      <c r="F5" s="658" t="s">
        <v>426</v>
      </c>
      <c r="G5" s="649"/>
      <c r="H5" s="649"/>
      <c r="I5" s="650"/>
      <c r="J5" s="10"/>
    </row>
    <row r="6" ht="18" customHeight="1">
      <c r="A6" s="11" t="s">
        <v>364</v>
      </c>
      <c r="Q6" s="643"/>
      <c r="R6" s="643"/>
      <c r="S6" s="643"/>
    </row>
    <row r="7" ht="18" customHeight="1">
      <c r="B7" s="180" t="s">
        <v>125</v>
      </c>
      <c r="C7" s="181">
        <f>تسعير!AA10</f>
        <v>270</v>
      </c>
      <c r="D7" s="182" t="s">
        <v>427</v>
      </c>
      <c r="E7" s="183">
        <f>تسعير!X8</f>
        <v>1200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38" t="s">
        <v>428</v>
      </c>
      <c r="C11" s="639"/>
      <c r="D11" s="649" t="s">
        <v>429</v>
      </c>
      <c r="E11" s="650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3"/>
      <c r="R15" s="643"/>
      <c r="S15" s="643"/>
    </row>
    <row r="16" ht="18" customHeight="1">
      <c r="C16" s="651" t="s">
        <v>431</v>
      </c>
      <c r="D16" s="651"/>
      <c r="E16" s="651"/>
      <c r="F16" s="1" t="s">
        <v>432</v>
      </c>
    </row>
    <row r="17" ht="18" customHeight="1">
      <c r="A17" s="651" t="s">
        <v>297</v>
      </c>
      <c r="B17" s="651"/>
      <c r="C17" s="651"/>
    </row>
    <row r="18" ht="18" customHeight="1">
      <c r="A18" s="640" t="s">
        <v>433</v>
      </c>
      <c r="B18" s="641"/>
      <c r="C18" s="14">
        <f>'Format Φωτισμου'!B9</f>
        <v>6</v>
      </c>
    </row>
    <row r="19" ht="18" customHeight="1">
      <c r="A19" s="640" t="s">
        <v>434</v>
      </c>
      <c r="B19" s="641"/>
      <c r="C19" s="14">
        <f>'Format Φωτισμου'!B12</f>
        <v>12</v>
      </c>
    </row>
    <row r="20" ht="18" customHeight="1">
      <c r="A20" s="640" t="s">
        <v>435</v>
      </c>
      <c r="B20" s="641"/>
      <c r="C20" s="14">
        <f>C19/C18</f>
        <v>2</v>
      </c>
    </row>
    <row r="21" ht="18" customHeight="1">
      <c r="A21" s="645" t="s">
        <v>436</v>
      </c>
      <c r="B21" s="646"/>
      <c r="C21" s="647">
        <v>20</v>
      </c>
      <c r="D21" s="648"/>
      <c r="E21" s="638" t="s">
        <v>437</v>
      </c>
      <c r="F21" s="639"/>
      <c r="G21" s="639"/>
      <c r="H21" s="14">
        <f>C21/C18</f>
        <v>3.3333333333333335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438</v>
      </c>
      <c r="B22" s="641"/>
      <c r="C22" s="179">
        <v>50</v>
      </c>
      <c r="D22" s="184" t="s">
        <v>439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440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18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18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311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