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<sst xmlns="http://schemas.openxmlformats.org/spreadsheetml/2006/main" count="598" uniqueCount="598">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</sst>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106946.25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 (2)'!B9</f>
        <v>5</v>
      </c>
    </row>
    <row r="19" ht="18" customHeight="1">
      <c r="A19" s="666" t="s">
        <v>355</v>
      </c>
      <c r="B19" s="667"/>
      <c r="C19" s="14">
        <f>'Format Φωτισμου (2)'!B12</f>
        <v>35</v>
      </c>
    </row>
    <row r="20" ht="18" customHeight="1">
      <c r="A20" s="666" t="s">
        <v>356</v>
      </c>
      <c r="B20" s="667"/>
      <c r="C20" s="14">
        <f>C19/C18</f>
        <v>7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4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345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1200</v>
      </c>
      <c r="L6" s="689"/>
      <c r="M6" s="94" t="s">
        <v>373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96</v>
      </c>
      <c r="L7" s="696"/>
      <c r="M7" s="696"/>
      <c r="N7" s="98" t="s">
        <v>375</v>
      </c>
      <c r="O7" s="99">
        <f>AA41/K7</f>
        <v>1902.3329484230565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1199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182623.96304861343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4</v>
      </c>
      <c r="H11" s="707"/>
      <c r="I11" s="708">
        <f>'Format διαστασης οδηγου (2)'!F8</f>
        <v>765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4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397</v>
      </c>
      <c r="M17" s="714"/>
      <c r="N17" s="714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3</v>
      </c>
      <c r="H20" s="719"/>
      <c r="I20" s="711">
        <f>L17-7</f>
        <v>390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4</v>
      </c>
      <c r="H21" s="723"/>
      <c r="I21" s="724">
        <f>(I11*2)+45</f>
        <v>1575</v>
      </c>
      <c r="J21" s="724"/>
      <c r="K21" s="106"/>
      <c r="L21" s="112">
        <f>IF(Format!E7=1,"-------",IF(Format!E7=5,"-------",تسجيل2!H30))</f>
        <v>4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4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4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12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8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48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28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28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12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12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4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>
        <f>IF(L11&gt;2,(L11-2)*L14,"0")</f>
        <v>24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56507.1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182623.96304861343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7">
        <f>N8</f>
        <v>772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1200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800</v>
      </c>
      <c r="D31" s="34" t="s">
        <v>484</v>
      </c>
      <c r="E31" s="36">
        <f>H34</f>
        <v>12</v>
      </c>
      <c r="F31" s="34"/>
      <c r="G31" s="34"/>
      <c r="H31" s="35"/>
      <c r="I31" s="779" t="s">
        <v>483</v>
      </c>
      <c r="J31" s="780"/>
      <c r="K31" s="36">
        <f>B19</f>
        <v>800</v>
      </c>
      <c r="L31" s="34" t="s">
        <v>484</v>
      </c>
      <c r="M31" s="36">
        <f>P34</f>
        <v>10</v>
      </c>
      <c r="N31" s="15"/>
      <c r="O31" s="34"/>
      <c r="P31" s="35"/>
      <c r="Q31" s="781" t="s">
        <v>483</v>
      </c>
      <c r="R31" s="782"/>
      <c r="S31" s="57">
        <f>B19</f>
        <v>800</v>
      </c>
      <c r="T31" s="47" t="s">
        <v>485</v>
      </c>
      <c r="U31" s="57">
        <f>INT((S31-4)/25)+1</f>
        <v>32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9"/>
      <c r="B7" s="790"/>
      <c r="C7" s="19" t="s">
        <v>508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3"/>
      <c r="B15" s="794"/>
      <c r="C15" s="10" t="s">
        <v>506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9"/>
      <c r="B24" s="800"/>
      <c r="C24" s="10" t="s">
        <v>506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1"/>
      <c r="B25" s="802"/>
      <c r="C25" s="19" t="s">
        <v>508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1200</v>
      </c>
      <c r="J4" s="15">
        <v>4</v>
      </c>
      <c r="K4" s="15">
        <v>2</v>
      </c>
    </row>
    <row r="5">
      <c r="A5" s="1" t="s">
        <v>504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390</v>
      </c>
      <c r="B6" s="1">
        <f>'Cutting Ro-2'!L14</f>
        <v>12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515</v>
      </c>
      <c r="B9" s="1">
        <f>O8</f>
        <v>5</v>
      </c>
      <c r="J9" s="15">
        <v>9</v>
      </c>
      <c r="K9" s="15">
        <v>4</v>
      </c>
    </row>
    <row r="10">
      <c r="A10" s="12" t="s">
        <v>516</v>
      </c>
      <c r="B10" s="13">
        <f>(((B4-(تسجيل2!C22*2))/200)+1)*B9</f>
        <v>32.5</v>
      </c>
      <c r="C10" s="665" t="s">
        <v>517</v>
      </c>
      <c r="D10" s="665"/>
      <c r="E10" s="14">
        <f>ROUND(B10,0)</f>
        <v>33</v>
      </c>
      <c r="J10" s="15">
        <v>10</v>
      </c>
      <c r="K10" s="15">
        <v>4</v>
      </c>
    </row>
    <row r="11">
      <c r="A11" s="12" t="s">
        <v>518</v>
      </c>
      <c r="B11" s="13">
        <f>E10/B9</f>
        <v>6.6</v>
      </c>
      <c r="C11" s="665" t="s">
        <v>517</v>
      </c>
      <c r="D11" s="665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>
        <f>Royal2!G85</f>
        <v>440612.39215951727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 t="e">
        <f>'شماسي و كانتليفر'!AE12</f>
        <v>#VALUE!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>
        <f>T22/(AA33*X31)*10000</f>
        <v>4589.7124183283049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352</v>
      </c>
      <c r="AI28" s="609" t="s">
        <v>231</v>
      </c>
      <c r="AJ28" s="609" t="s">
        <v>206</v>
      </c>
      <c r="AK28" s="609" t="s">
        <v>262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534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1200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45740.519340393519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45740.519340393519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0.0050157463551317952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0.0441385679251598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0.010001988319939287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0.013217966865288497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0.072374269465519378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0.0035405268389165617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0.002950439032430468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0.0016227414678367574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0.0011506712226478826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0.0028324214711332495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0.00035405268389165619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0.02478368787241593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0.00011801756129721873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0.0039830926937811321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0.041335650844350855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0.013217966865288497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0.005664842942266499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0.018882809807554995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0.0070810536778331233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0.0014715314674246958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0.016876511265502277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0.030094478130790775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0.0002212829274322851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0.0002212829274322851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0.000737609758107617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0.0022128292743228508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0.00059008780648609361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0.059506667235332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0.0054214317220909851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0.11801756129721872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41837.5</v>
      </c>
      <c r="L56" s="241">
        <f>Table161027[[#Totals],[اجمالي]]/$G$84</f>
        <v>0.1234389930193097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1902.3329484230565</v>
      </c>
      <c r="I59" s="247"/>
      <c r="J59" s="413">
        <f>IF((Table161128[[#This Row],[عدد]]&gt;0),'Cutting Ro-2'!O8,0)</f>
        <v>182623.96304861343</v>
      </c>
      <c r="K59" s="240">
        <f>Table161128[[#This Row],[عدد]]*Table161128[[#This Row],[سعر البرجولا كاملة]]</f>
        <v>182623.96304861343</v>
      </c>
      <c r="L59" s="241">
        <f>(K59)/$G$84</f>
        <v>0.53882086883576852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182623.96304861343</v>
      </c>
      <c r="K60" s="240">
        <f>Table161128[[#This Row],[عدد]]*Table161128[[#This Row],[سعر البرجولا كاملة]]</f>
        <v>18262.396304861344</v>
      </c>
      <c r="L60" s="241">
        <f>(K60)/$G$84</f>
        <v>0.05388208688357686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200886.35935347478</v>
      </c>
      <c r="L61" s="244">
        <f>Table161128[[#Totals],[اجمالي]]/$G$84</f>
        <v>0.59270295571934539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0.0035405268389165617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0.0017702634194582808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0.0053107902583748425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0.0035405268389165617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0.011506712226478826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0.011506712226478826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0.011506712226478826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0.0077891590456164355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0.013276975645937106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0.0088513170972914033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0.0067860097745900761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0.0063729483100498112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0.091758653908587562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338932.60935347481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440612.39215951727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45740.519340486113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45740.519340486113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0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0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 t="str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error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 t="e">
        <f>AE8*AE7</f>
        <v>#VALUE!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45740.51934053241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45740.51934053241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45740.519340752318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45740.519340752318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