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<sst xmlns="http://schemas.openxmlformats.org/spreadsheetml/2006/main" count="596" uniqueCount="596">
  <si>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</si>
  <si>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</si>
  <si>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</si>
  <si>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</si>
  <si>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</si>
  <si>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</si>
  <si>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</si>
  <si>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</si>
  <si>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</si>
  <si>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</si>
  <si>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</si>
  <si>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</si>
  <si>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</si>
  <si>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</si>
  <si>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</si>
  <si>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</si>
  <si>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</si>
  <si>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</si>
  <si>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</si>
  <si>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</si>
  <si>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</si>
  <si>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</si>
  <si>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</si>
  <si>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</si>
  <si>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</si>
  <si>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</si>
  <si>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</si>
  <si>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</si>
  <si>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</si>
  <si>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</si>
  <si>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</si>
  <si>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</si>
  <si>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</si>
  <si>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</si>
  <si>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</si>
  <si>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</si>
  <si>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</si>
  <si>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</si>
  <si>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</si>
  <si>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</si>
  <si>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</si>
  <si>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</si>
  <si>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</si>
  <si>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</si>
  <si>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</si>
  <si>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</si>
  <si>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</si>
  <si>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</si>
  <si>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</si>
  <si>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</si>
  <si>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</si>
  <si>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</si>
  <si>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</si>
  <si>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</si>
  <si>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</si>
  <si>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</si>
  <si>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</si>
  <si>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</si>
  <si>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</si>
  <si>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</si>
  <si>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</si>
  <si>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</si>
  <si>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</si>
  <si>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</si>
  <si>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</si>
  <si>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</si>
  <si>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</si>
  <si>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</si>
  <si>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</si>
  <si>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</si>
  <si>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</si>
  <si>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</si>
  <si>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</si>
  <si>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</si>
  <si>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</si>
  <si>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</si>
  <si>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</si>
  <si>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</si>
  <si>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</si>
  <si>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</si>
  <si>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</si>
  <si>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</si>
  <si>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</si>
  <si>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</si>
  <si>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</si>
  <si>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</si>
  <si>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</si>
  <si>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</si>
  <si>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</si>
  <si>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</si>
  <si>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</si>
  <si>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</si>
  <si>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</si>
  <si>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</si>
  <si>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</si>
  <si>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</si>
  <si>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</si>
  <si>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</si>
  <si>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</si>
  <si>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</si>
  <si>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</si>
  <si>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</si>
  <si>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</si>
  <si>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</si>
  <si>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</si>
  <si>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</si>
  <si>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</si>
  <si>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</si>
  <si>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</si>
  <si>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</si>
  <si>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</si>
  <si>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</si>
  <si>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</si>
  <si>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</si>
  <si>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</si>
  <si>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</si>
  <si>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</si>
  <si>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</si>
  <si>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</si>
  <si>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</si>
  <si>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</si>
  <si>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</si>
  <si>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</si>
  <si>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</si>
  <si>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</si>
  <si>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</si>
  <si>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</si>
  <si>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</si>
  <si>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</si>
  <si>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</si>
  <si>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</si>
  <si>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</si>
  <si>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</si>
  <si>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</si>
  <si>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</si>
  <si>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</si>
  <si>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</si>
  <si>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</si>
  <si>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</si>
  <si>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</si>
  <si>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</si>
  <si>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</si>
  <si>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</si>
  <si>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</si>
  <si>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</si>
  <si>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</si>
  <si>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</si>
  <si>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</si>
  <si>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</si>
  <si>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</si>
  <si>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</si>
  <si>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</si>
  <si>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</si>
  <si>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</si>
  <si>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</si>
  <si>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</si>
  <si>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</si>
  <si>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</si>
  <si>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</si>
  <si>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</si>
  <si>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</si>
  <si>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</si>
  <si>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</si>
  <si>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</si>
  <si>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</si>
  <si>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</si>
  <si>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</si>
  <si>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</si>
  <si>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</si>
  <si>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</si>
  <si>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</si>
  <si>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</si>
  <si>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</si>
  <si>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</si>
  <si>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</si>
  <si>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</si>
  <si>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</si>
  <si>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</si>
  <si>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</si>
  <si>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</si>
  <si>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مصري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</si>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</sst>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8"/>
    <tableColumn id="2" name="المعدل" dataDxfId="1344"/>
    <tableColumn id="3" name="الوحدة" dataDxfId="1344"/>
    <tableColumn id="4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1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65"/>
    <tableColumn id="11" name="Column2" dataDxfId="1345"/>
    <tableColumn id="10" name="Column1" dataDxfId="79"/>
    <tableColumn id="12" name="Column12" totalsRowFunction="sum" dataDxfId="1059"/>
    <tableColumn id="4" name="الوحده" dataDxfId="1058"/>
    <tableColumn id="5" name="الوزن" dataDxfId="1057"/>
    <tableColumn id="6" name="سعر الكيلو" dataDxfId="1346"/>
    <tableColumn id="7" name="سعر الشبك " dataDxfId="76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92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63" totalsRowDxfId="1335">
      <calculatedColumnFormula>B60</calculatedColumnFormula>
    </tableColumn>
    <tableColumn id="3" name="بيان" totalsRowLabel="Total" dataDxfId="93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88" totalsRowDxfId="1335"/>
    <tableColumn id="7" name="اجمالي التكلفة للعامل" dataDxfId="87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67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06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8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997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826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835" totalsRowDxfId="834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45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50" totalsRowDxfId="46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52" totalsRowDxfId="51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47" totalsRowDxfId="1335"/>
    <tableColumn id="7" name="سعر الشبك " dataDxfId="107" totalsRowDxfId="44">
      <calculatedColumnFormula>H6*$H$2/1000</calculatedColumnFormula>
    </tableColumn>
    <tableColumn id="8" name="اجمالي" totalsRowFunction="sum" dataDxfId="43" totalsRowDxfId="42">
      <calculatedColumnFormula>B6*J6</calculatedColumnFormula>
    </tableColumn>
    <tableColumn id="9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82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702"/>
    <tableColumn id="2" name="عدد/الشمسية" dataDxfId="701" totalsRowDxfId="698"/>
    <tableColumn id="3" name="سعر الوحدة" dataDxfId="1349" totalsRowDxfId="1364"/>
    <tableColumn id="4" name="قيمة" totalsRowFunction="sum" dataDxfId="13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85"/>
    <tableColumn id="2" name="الناتج" dataDxfId="686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84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678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62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663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622" totalsRowDxfId="621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60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373" totalsRowDxfId="0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85" t="s">
        <v>218</v>
      </c>
      <c r="H1" s="585"/>
      <c r="I1" s="585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86" t="s">
        <v>219</v>
      </c>
      <c r="H4" s="586"/>
      <c r="I4" s="586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87" t="s">
        <v>220</v>
      </c>
      <c r="B10" s="587"/>
    </row>
    <row r="11">
      <c r="A11" s="233" t="s">
        <v>221</v>
      </c>
      <c r="B11" s="233" t="s">
        <v>222</v>
      </c>
    </row>
    <row r="12">
      <c r="A12" s="233" t="s">
        <v>223</v>
      </c>
      <c r="B12" s="568">
        <v>45000</v>
      </c>
    </row>
    <row r="13">
      <c r="A13" s="233" t="s">
        <v>224</v>
      </c>
      <c r="B13" s="568">
        <v>45000</v>
      </c>
    </row>
    <row r="14">
      <c r="A14" s="558" t="s">
        <v>225</v>
      </c>
      <c r="B14" s="568">
        <v>225000</v>
      </c>
    </row>
    <row r="15">
      <c r="A15" s="233" t="s">
        <v>226</v>
      </c>
      <c r="B15" s="568">
        <v>60000</v>
      </c>
    </row>
    <row r="16">
      <c r="A16" s="233" t="s">
        <v>227</v>
      </c>
      <c r="B16" s="568">
        <v>275</v>
      </c>
    </row>
    <row r="17">
      <c r="A17" s="233" t="s">
        <v>228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229</v>
      </c>
      <c r="B33" s="568">
        <v>11000</v>
      </c>
    </row>
    <row r="34">
      <c r="A34" s="233" t="s">
        <v>230</v>
      </c>
      <c r="B34" s="568">
        <v>2000</v>
      </c>
    </row>
    <row r="35">
      <c r="A35" s="233" t="s">
        <v>231</v>
      </c>
      <c r="B35" s="568">
        <v>1500</v>
      </c>
    </row>
    <row r="36">
      <c r="A36" s="233" t="s">
        <v>232</v>
      </c>
      <c r="B36" s="568">
        <v>1500</v>
      </c>
    </row>
    <row r="37">
      <c r="A37" s="233" t="s">
        <v>233</v>
      </c>
      <c r="B37" s="568">
        <v>5000</v>
      </c>
    </row>
    <row r="38">
      <c r="A38" s="233" t="s">
        <v>234</v>
      </c>
      <c r="B38" s="568">
        <v>800</v>
      </c>
    </row>
    <row r="39">
      <c r="A39" s="233" t="s">
        <v>235</v>
      </c>
      <c r="B39" s="568">
        <v>130</v>
      </c>
    </row>
    <row r="40">
      <c r="A40" s="233" t="s">
        <v>236</v>
      </c>
      <c r="B40" s="568">
        <v>90</v>
      </c>
    </row>
    <row r="41">
      <c r="A41" s="233" t="s">
        <v>237</v>
      </c>
      <c r="B41" s="568">
        <v>25</v>
      </c>
    </row>
    <row r="42" ht="18.75">
      <c r="A42" s="331" t="s">
        <v>238</v>
      </c>
      <c r="B42" s="568">
        <v>450</v>
      </c>
    </row>
    <row r="43" ht="18.75">
      <c r="A43" s="331" t="s">
        <v>239</v>
      </c>
      <c r="B43" s="568">
        <v>130</v>
      </c>
    </row>
    <row r="44" ht="18.75">
      <c r="A44" s="331" t="s">
        <v>240</v>
      </c>
      <c r="B44" s="568">
        <v>175</v>
      </c>
    </row>
    <row r="45">
      <c r="A45" s="558" t="s">
        <v>241</v>
      </c>
      <c r="B45" s="568">
        <v>4000</v>
      </c>
    </row>
    <row r="46">
      <c r="A46" s="558" t="s">
        <v>242</v>
      </c>
      <c r="B46" s="568">
        <v>3000</v>
      </c>
    </row>
    <row r="47">
      <c r="A47" s="233" t="s">
        <v>243</v>
      </c>
      <c r="B47" s="568">
        <v>130</v>
      </c>
    </row>
    <row r="48">
      <c r="A48" s="233" t="s">
        <v>244</v>
      </c>
      <c r="B48" s="568">
        <v>25</v>
      </c>
    </row>
    <row r="49">
      <c r="A49" s="233" t="s">
        <v>245</v>
      </c>
      <c r="B49" s="568">
        <v>1200</v>
      </c>
    </row>
    <row r="50">
      <c r="A50" s="233" t="s">
        <v>246</v>
      </c>
      <c r="B50" s="568">
        <v>150</v>
      </c>
    </row>
    <row r="51">
      <c r="A51" s="233" t="s">
        <v>247</v>
      </c>
      <c r="B51" s="568">
        <v>150</v>
      </c>
    </row>
    <row r="52">
      <c r="A52" s="233" t="s">
        <v>248</v>
      </c>
      <c r="B52" s="568">
        <v>250</v>
      </c>
    </row>
    <row r="53">
      <c r="A53" s="233" t="s">
        <v>249</v>
      </c>
      <c r="B53" s="568">
        <v>80</v>
      </c>
    </row>
    <row r="54">
      <c r="A54" s="558" t="s">
        <v>250</v>
      </c>
      <c r="B54" s="568">
        <v>1200</v>
      </c>
    </row>
    <row r="55">
      <c r="A55" s="537" t="s">
        <v>251</v>
      </c>
      <c r="B55" s="568">
        <v>23000</v>
      </c>
    </row>
    <row r="56">
      <c r="A56" s="537" t="s">
        <v>252</v>
      </c>
      <c r="B56" s="568">
        <v>5000</v>
      </c>
    </row>
    <row r="57">
      <c r="A57" s="567" t="s">
        <v>253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595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تسجيل1!C7</f>
        <v>300</v>
      </c>
      <c r="L6" s="691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21</v>
      </c>
      <c r="L7" s="698"/>
      <c r="M7" s="698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299</v>
      </c>
      <c r="L8" s="702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2</v>
      </c>
      <c r="H11" s="709"/>
      <c r="I11" s="710">
        <f>'Format διαστασης οδηγου'!F8</f>
        <v>665</v>
      </c>
      <c r="J11" s="710"/>
      <c r="K11" s="106"/>
      <c r="L11" s="705">
        <f>IF(Format!A7=1,تسجيل1!H27,IF(Format!A7=2,تسجيل1!H27,IF(Format!A7=3,تسجيل1!H27,IF(Format!A7=4,تسجيل1!H27,IF(Format!A7=5,تسجيل1!H27,"-------")))))</f>
        <v>2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2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3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 t="str">
        <f>IF(L11&lt;=3,"0",(L11-3)*2)</f>
        <v>0</v>
      </c>
      <c r="H13" s="712"/>
      <c r="I13" s="713">
        <f>IF(G13="-------","-------",L17-5)</f>
        <v>286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10</v>
      </c>
      <c r="H14" s="712"/>
      <c r="I14" s="713">
        <f>I12</f>
        <v>299</v>
      </c>
      <c r="J14" s="713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 t="str">
        <f>IF(L11&lt;=3,"0",(L11-3)*L14)</f>
        <v>0</v>
      </c>
      <c r="H15" s="712"/>
      <c r="I15" s="713">
        <f>IF(G15="-------","---------",I13)</f>
        <v>286</v>
      </c>
      <c r="J15" s="713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 t="str">
        <f>IF(L11=2,"0",1)</f>
        <v>0</v>
      </c>
      <c r="H17" s="712"/>
      <c r="I17" s="713">
        <f>IF(G17="-------","-------",IF(Format!A7=1,(L17+3),IF(Format!A7=2,(L17+3.5),IF(Format!A7=3,(L17+3),IF(Format!A7=4,(L17+4.25),IF(Format!A7=5,(L17+5),"--------"))))))</f>
        <v>294.5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291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 t="str">
        <f>IF(L11&lt;=3,"0",(L11-3))</f>
        <v>0</v>
      </c>
      <c r="H18" s="712"/>
      <c r="I18" s="713">
        <f>IF(G18="-------","-------",L17)</f>
        <v>291</v>
      </c>
      <c r="J18" s="713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297.5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1</v>
      </c>
      <c r="H20" s="721"/>
      <c r="I20" s="713">
        <f>L17-7</f>
        <v>284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2</v>
      </c>
      <c r="H21" s="725"/>
      <c r="I21" s="726">
        <f>(I11*2)+45</f>
        <v>1375</v>
      </c>
      <c r="J21" s="726"/>
      <c r="K21" s="106"/>
      <c r="L21" s="112">
        <f>IF(Format!E7=1,"-------",IF(Format!E7=5,"-------",تسجيل1!H30))</f>
        <v>2</v>
      </c>
      <c r="M21" s="715" t="str">
        <f>IF(L21="-------","-------",تسجيل1!D11)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2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2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1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10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4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20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24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24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6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6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 t="str">
        <f>IF(L11&gt;2,(L11-2)*2,"0")</f>
        <v>0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 t="str">
        <f>IF(L11&gt;2,(L11-2)*L14,"0")</f>
        <v>0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1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25076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63299.324927914626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9">
        <f>N8</f>
        <v>672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2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 (2)'!B9</f>
        <v>5</v>
      </c>
    </row>
    <row r="19" ht="18" customHeight="1">
      <c r="A19" s="668" t="s">
        <v>433</v>
      </c>
      <c r="B19" s="669"/>
      <c r="C19" s="14">
        <f>'Format Φωτισμου (2)'!B12</f>
        <v>35</v>
      </c>
    </row>
    <row r="20" ht="18" customHeight="1">
      <c r="A20" s="668" t="s">
        <v>434</v>
      </c>
      <c r="B20" s="669"/>
      <c r="C20" s="14">
        <f>C19/C18</f>
        <v>7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4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356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تسجيل2!C7</f>
        <v>1200</v>
      </c>
      <c r="L6" s="691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96</v>
      </c>
      <c r="L7" s="698"/>
      <c r="M7" s="698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1199</v>
      </c>
      <c r="L8" s="702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4</v>
      </c>
      <c r="H11" s="709"/>
      <c r="I11" s="710">
        <f>'Format διαστασης οδηγου (2)'!F8</f>
        <v>765</v>
      </c>
      <c r="J11" s="710"/>
      <c r="K11" s="106"/>
      <c r="L11" s="705">
        <f>IF(Format!A7=1,تسجيل2!H27,IF(Format!A7=2,تسجيل2!H27,IF(Format!A7=3,تسجيل2!H27,IF(Format!A7=4,تسجيل2!H27,IF(Format!A7=5,تسجيل2!H27,"-------")))))</f>
        <v>4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4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>
        <f>IF(L11&lt;=3,"0",(L11-3)*2)</f>
        <v>2</v>
      </c>
      <c r="H13" s="712"/>
      <c r="I13" s="713">
        <f>IF(G13="-------","-------",L17-5)</f>
        <v>392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24</v>
      </c>
      <c r="H14" s="712"/>
      <c r="I14" s="713">
        <f>I12</f>
        <v>398.5</v>
      </c>
      <c r="J14" s="713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>
        <f>IF(L11&lt;=3,"0",(L11-3)*L14)</f>
        <v>12</v>
      </c>
      <c r="H15" s="712"/>
      <c r="I15" s="713">
        <f>IF(G15="-------","---------",I13)</f>
        <v>392</v>
      </c>
      <c r="J15" s="71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>
        <f>IF(L11=2,"0",1)</f>
        <v>1</v>
      </c>
      <c r="H17" s="712"/>
      <c r="I17" s="713">
        <f>IF(G17="-------","-------",IF(Format!A7=1,(L17+3),IF(Format!A7=2,(L17+3.5),IF(Format!A7=3,(L17+3),IF(Format!A7=4,(L17+4.25),IF(Format!A7=5,(L17+5),"--------"))))))</f>
        <v>400.5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>
        <f>IF(L11&lt;=3,"0",(L11-3))</f>
        <v>1</v>
      </c>
      <c r="H18" s="712"/>
      <c r="I18" s="713">
        <f>IF(G18="-------","-------",L17)</f>
        <v>397</v>
      </c>
      <c r="J18" s="71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1197.5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3</v>
      </c>
      <c r="H20" s="721"/>
      <c r="I20" s="713">
        <f>L17-7</f>
        <v>390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4</v>
      </c>
      <c r="H21" s="725"/>
      <c r="I21" s="726">
        <f>(I11*2)+45</f>
        <v>1575</v>
      </c>
      <c r="J21" s="726"/>
      <c r="K21" s="106"/>
      <c r="L21" s="112">
        <f>IF(Format!E7=1,"-------",IF(Format!E7=5,"-------",تسجيل2!H30))</f>
        <v>4</v>
      </c>
      <c r="M21" s="715" t="str">
        <f>IF(L21="-------","-------",تسجيل2!D11)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4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4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2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12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8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48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28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28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12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12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>
        <f>IF(L11&gt;2,(L11-2)*2,"0")</f>
        <v>4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>
        <f>IF(L11&gt;2,(L11-2)*L14,"0")</f>
        <v>24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2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76107.1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204779.8565517838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9">
        <f>N8</f>
        <v>772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81" t="s">
        <v>344</v>
      </c>
      <c r="J31" s="782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83" t="s">
        <v>344</v>
      </c>
      <c r="R31" s="784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9"/>
      <c r="B3" s="790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1"/>
      <c r="B7" s="792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5"/>
      <c r="B12" s="796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5"/>
      <c r="B15" s="796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1"/>
      <c r="B21" s="802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1"/>
      <c r="B24" s="802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3"/>
      <c r="B25" s="804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67" t="s">
        <v>288</v>
      </c>
      <c r="D10" s="66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67" t="s">
        <v>288</v>
      </c>
      <c r="D11" s="66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5"/>
      <c r="I8" s="805"/>
      <c r="J8" s="805"/>
      <c r="K8" s="806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5"/>
      <c r="I16" s="805"/>
      <c r="J16" s="805"/>
      <c r="K16" s="806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81" t="s">
        <v>344</v>
      </c>
      <c r="J31" s="782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83" t="s">
        <v>344</v>
      </c>
      <c r="R31" s="784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9"/>
      <c r="B3" s="790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1"/>
      <c r="B7" s="792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5"/>
      <c r="B12" s="796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5"/>
      <c r="B15" s="796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1"/>
      <c r="B21" s="802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1"/>
      <c r="B24" s="802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3"/>
      <c r="B25" s="804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67" t="s">
        <v>288</v>
      </c>
      <c r="D10" s="66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67" t="s">
        <v>288</v>
      </c>
      <c r="D11" s="66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R11" zoomScale="40" zoomScaleNormal="40" zoomScaleSheetLayoutView="70" zoomScalePageLayoutView="25" workbookViewId="0">
      <selection activeCell="BE34" sqref="BE34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09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90"/>
      <c r="BG1" s="590"/>
      <c r="BH1" s="590"/>
      <c r="BI1" s="590"/>
      <c r="BJ1" s="590"/>
      <c r="BK1" s="590"/>
      <c r="BL1" s="590"/>
      <c r="BM1" s="590"/>
      <c r="BN1" s="590"/>
    </row>
    <row r="2" ht="45" customHeight="1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09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10" t="s">
        <v>163</v>
      </c>
      <c r="AG2" s="58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89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590"/>
      <c r="BG2" s="590"/>
      <c r="BH2" s="590"/>
      <c r="BI2" s="590"/>
      <c r="BJ2" s="590"/>
      <c r="BK2" s="590"/>
      <c r="BL2" s="590"/>
      <c r="BM2" s="590"/>
      <c r="BN2" s="590"/>
    </row>
    <row r="3" ht="54.75" customHeight="1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09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10"/>
      <c r="AG3" s="589"/>
      <c r="AH3" s="589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590"/>
      <c r="BG3" s="590"/>
      <c r="BH3" s="590"/>
      <c r="BI3" s="590"/>
      <c r="BJ3" s="590"/>
      <c r="BK3" s="590"/>
      <c r="BL3" s="590"/>
      <c r="BM3" s="590"/>
      <c r="BN3" s="590"/>
    </row>
    <row r="4" ht="55.5" customHeight="1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09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10"/>
      <c r="AG4" s="589"/>
      <c r="AH4" s="589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91"/>
      <c r="BG4" s="592"/>
      <c r="BH4" s="592"/>
      <c r="BI4" s="592"/>
      <c r="BJ4" s="592"/>
      <c r="BK4" s="592"/>
      <c r="BL4" s="592"/>
      <c r="BM4" s="592"/>
      <c r="BN4" s="588"/>
    </row>
    <row r="5" ht="55.5" customHeight="1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09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591"/>
      <c r="BG5" s="592"/>
      <c r="BH5" s="592"/>
      <c r="BI5" s="592"/>
      <c r="BJ5" s="592"/>
      <c r="BK5" s="592"/>
      <c r="BL5" s="592"/>
      <c r="BM5" s="592"/>
      <c r="BN5" s="588"/>
    </row>
    <row r="6" ht="55.5" customHeight="1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09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595" t="s">
        <v>175</v>
      </c>
      <c r="AP6" s="596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588"/>
    </row>
    <row r="7" ht="18.75" customHeight="1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09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88"/>
    </row>
    <row r="8" ht="55.5" customHeight="1">
      <c r="A8" s="415"/>
      <c r="B8" s="629" t="s">
        <v>177</v>
      </c>
      <c r="C8" s="629"/>
      <c r="D8" s="629"/>
      <c r="E8" s="415"/>
      <c r="F8" s="631"/>
      <c r="G8" s="631"/>
      <c r="H8" s="631"/>
      <c r="I8" s="621"/>
      <c r="J8" s="628"/>
      <c r="K8" s="628"/>
      <c r="L8" s="628"/>
      <c r="M8" s="621"/>
      <c r="N8" s="630"/>
      <c r="O8" s="630"/>
      <c r="P8" s="630"/>
      <c r="Q8" s="415"/>
      <c r="R8" s="609"/>
      <c r="S8" s="633"/>
      <c r="T8" s="63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176</v>
      </c>
      <c r="AM8" s="470" t="s">
        <v>180</v>
      </c>
      <c r="AN8" s="471" t="s">
        <v>181</v>
      </c>
      <c r="AO8" s="597"/>
      <c r="AP8" s="598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88"/>
    </row>
    <row r="9" ht="55.5" customHeight="1">
      <c r="A9" s="415"/>
      <c r="B9" s="629"/>
      <c r="C9" s="629"/>
      <c r="D9" s="629"/>
      <c r="E9" s="415"/>
      <c r="F9" s="631"/>
      <c r="G9" s="631"/>
      <c r="H9" s="631"/>
      <c r="I9" s="621"/>
      <c r="J9" s="628"/>
      <c r="K9" s="628"/>
      <c r="L9" s="628"/>
      <c r="M9" s="621"/>
      <c r="N9" s="630"/>
      <c r="O9" s="630"/>
      <c r="P9" s="630"/>
      <c r="Q9" s="415"/>
      <c r="R9" s="609"/>
      <c r="S9" s="634"/>
      <c r="T9" s="63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588"/>
    </row>
    <row r="10" ht="55.5" customHeight="1">
      <c r="A10" s="415"/>
      <c r="B10" s="629"/>
      <c r="C10" s="629"/>
      <c r="D10" s="629"/>
      <c r="E10" s="415"/>
      <c r="F10" s="631"/>
      <c r="G10" s="631"/>
      <c r="H10" s="631"/>
      <c r="I10" s="621"/>
      <c r="J10" s="628"/>
      <c r="K10" s="628"/>
      <c r="L10" s="628"/>
      <c r="M10" s="621"/>
      <c r="N10" s="630"/>
      <c r="O10" s="630"/>
      <c r="P10" s="630"/>
      <c r="Q10" s="415"/>
      <c r="R10" s="609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635" t="s">
        <v>186</v>
      </c>
      <c r="AF10" s="635"/>
      <c r="AG10" s="635"/>
      <c r="AH10" s="635"/>
      <c r="AI10" s="635"/>
      <c r="AJ10" s="635"/>
      <c r="AK10" s="635"/>
      <c r="AL10" s="635"/>
      <c r="AM10" s="635"/>
      <c r="AN10" s="635"/>
      <c r="AO10" s="635"/>
      <c r="AP10" s="635"/>
      <c r="AQ10" s="63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88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9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635"/>
      <c r="AP11" s="635"/>
      <c r="AQ11" s="63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88"/>
    </row>
    <row r="12" ht="55.5" customHeight="1" s="413" customFormat="1">
      <c r="A12" s="415"/>
      <c r="B12" s="628"/>
      <c r="C12" s="628"/>
      <c r="D12" s="628"/>
      <c r="E12" s="415"/>
      <c r="F12" s="636"/>
      <c r="G12" s="636"/>
      <c r="H12" s="636"/>
      <c r="I12" s="621"/>
      <c r="J12" s="628"/>
      <c r="K12" s="628"/>
      <c r="L12" s="628"/>
      <c r="M12" s="621"/>
      <c r="N12" s="622"/>
      <c r="O12" s="622"/>
      <c r="P12" s="622"/>
      <c r="Q12" s="415"/>
      <c r="R12" s="609"/>
      <c r="S12" s="530" t="s">
        <v>187</v>
      </c>
      <c r="T12" s="533"/>
      <c r="AC12" s="415"/>
      <c r="AD12" s="414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5"/>
      <c r="AQ12" s="63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88"/>
    </row>
    <row r="13" ht="55.5" customHeight="1" s="413" customFormat="1">
      <c r="A13" s="415"/>
      <c r="B13" s="628"/>
      <c r="C13" s="628"/>
      <c r="D13" s="628"/>
      <c r="E13" s="415"/>
      <c r="F13" s="636"/>
      <c r="G13" s="636"/>
      <c r="H13" s="636"/>
      <c r="I13" s="621"/>
      <c r="J13" s="628"/>
      <c r="K13" s="628"/>
      <c r="L13" s="628"/>
      <c r="M13" s="621"/>
      <c r="N13" s="622"/>
      <c r="O13" s="622"/>
      <c r="P13" s="622"/>
      <c r="Q13" s="415"/>
      <c r="R13" s="609"/>
      <c r="S13" s="535" t="s">
        <v>188</v>
      </c>
      <c r="T13" s="496"/>
      <c r="AC13" s="415"/>
      <c r="AD13" s="414"/>
      <c r="AE13" s="635"/>
      <c r="AF13" s="635"/>
      <c r="AG13" s="635"/>
      <c r="AH13" s="635"/>
      <c r="AI13" s="635"/>
      <c r="AJ13" s="635"/>
      <c r="AK13" s="635"/>
      <c r="AL13" s="635"/>
      <c r="AM13" s="635"/>
      <c r="AN13" s="635"/>
      <c r="AO13" s="635"/>
      <c r="AP13" s="635"/>
      <c r="AQ13" s="63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88"/>
    </row>
    <row r="14" ht="55.5" customHeight="1" s="413" customFormat="1">
      <c r="A14" s="415"/>
      <c r="B14" s="628"/>
      <c r="C14" s="628"/>
      <c r="D14" s="628"/>
      <c r="E14" s="415"/>
      <c r="F14" s="636"/>
      <c r="G14" s="636"/>
      <c r="H14" s="636"/>
      <c r="I14" s="621"/>
      <c r="J14" s="628"/>
      <c r="K14" s="628"/>
      <c r="L14" s="628"/>
      <c r="M14" s="621"/>
      <c r="N14" s="622"/>
      <c r="O14" s="622"/>
      <c r="P14" s="622"/>
      <c r="Q14" s="415"/>
      <c r="R14" s="609"/>
      <c r="S14" s="536" t="s">
        <v>190</v>
      </c>
      <c r="T14" s="534"/>
      <c r="U14" s="497" t="s">
        <v>191</v>
      </c>
      <c r="V14" s="59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4"/>
      <c r="X14" s="594"/>
      <c r="Y14" s="594"/>
      <c r="Z14" s="594"/>
      <c r="AA14" s="594"/>
      <c r="AB14" s="594"/>
      <c r="AC14" s="594"/>
      <c r="AD14" s="414"/>
      <c r="AE14" s="635"/>
      <c r="AF14" s="635"/>
      <c r="AG14" s="635"/>
      <c r="AH14" s="635"/>
      <c r="AI14" s="635"/>
      <c r="AJ14" s="635"/>
      <c r="AK14" s="635"/>
      <c r="AL14" s="635"/>
      <c r="AM14" s="635"/>
      <c r="AN14" s="635"/>
      <c r="AO14" s="635"/>
      <c r="AP14" s="635"/>
      <c r="AQ14" s="635"/>
      <c r="AR14" s="414"/>
      <c r="AS14" s="438" t="s">
        <v>190</v>
      </c>
      <c r="AT14" s="438"/>
      <c r="AU14" s="434" t="s">
        <v>191</v>
      </c>
      <c r="AV14" s="59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4"/>
      <c r="AX14" s="594"/>
      <c r="AY14" s="594"/>
      <c r="AZ14" s="594"/>
      <c r="BA14" s="594"/>
      <c r="BB14" s="594"/>
      <c r="BC14" s="414"/>
      <c r="BD14" s="492" t="s">
        <v>190</v>
      </c>
      <c r="BE14" s="492"/>
      <c r="BF14" s="497" t="s">
        <v>192</v>
      </c>
      <c r="BG14" s="59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4"/>
      <c r="BI14" s="594"/>
      <c r="BJ14" s="594"/>
      <c r="BK14" s="594"/>
      <c r="BL14" s="594"/>
      <c r="BM14" s="594"/>
      <c r="BN14" s="541"/>
    </row>
    <row r="15" ht="18.75" customHeight="1" s="413" customFormat="1">
      <c r="A15" s="415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415"/>
      <c r="R15" s="609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35"/>
      <c r="AF15" s="635"/>
      <c r="AG15" s="635"/>
      <c r="AH15" s="635"/>
      <c r="AI15" s="635"/>
      <c r="AJ15" s="635"/>
      <c r="AK15" s="635"/>
      <c r="AL15" s="635"/>
      <c r="AM15" s="635"/>
      <c r="AN15" s="635"/>
      <c r="AO15" s="635"/>
      <c r="AP15" s="635"/>
      <c r="AQ15" s="63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09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09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09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09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09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20" t="s">
        <v>193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09"/>
      <c r="S21" s="607" t="s">
        <v>194</v>
      </c>
      <c r="T21" s="608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620"/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09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27" t="s">
        <v>163</v>
      </c>
      <c r="AF22" s="627"/>
      <c r="AG22" s="589">
        <f>'شماسي و كانتليفر'!AE12</f>
        <v>23292.75</v>
      </c>
      <c r="AH22" s="589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319082.4</v>
      </c>
      <c r="AU22" s="480"/>
      <c r="BC22" s="414"/>
      <c r="BD22" s="472" t="s">
        <v>163</v>
      </c>
      <c r="BE22" s="473">
        <f>'بيرسا و لوفرز'!R140</f>
        <v>335988.9</v>
      </c>
      <c r="BF22" s="480"/>
      <c r="BN22" s="415"/>
    </row>
    <row r="23" ht="39.75" customHeight="1" s="413" customForma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09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27"/>
      <c r="AF23" s="627"/>
      <c r="AG23" s="589"/>
      <c r="AH23" s="589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15954.12</v>
      </c>
      <c r="AU23" s="480"/>
      <c r="AV23" s="481"/>
      <c r="BC23" s="414"/>
      <c r="BD23" s="472" t="s">
        <v>127</v>
      </c>
      <c r="BE23" s="474">
        <f>BE22/(BE33*BE34/10000)</f>
        <v>16799.445</v>
      </c>
      <c r="BF23" s="480"/>
      <c r="BG23" s="481"/>
      <c r="BN23" s="415"/>
    </row>
    <row r="24" ht="39.75" customHeight="1" s="413" customFormat="1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09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38</v>
      </c>
      <c r="BC24" s="414"/>
      <c r="BD24" s="426" t="s">
        <v>164</v>
      </c>
      <c r="BE24" s="424" t="s">
        <v>38</v>
      </c>
      <c r="BN24" s="415"/>
    </row>
    <row r="25" ht="39.75" customHeight="1">
      <c r="A25" s="620"/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09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400</v>
      </c>
      <c r="BD25" s="426" t="s">
        <v>165</v>
      </c>
      <c r="BE25" s="427" t="s">
        <v>197</v>
      </c>
      <c r="BH25" s="493">
        <f>BE34</f>
        <v>400</v>
      </c>
      <c r="BN25" s="415"/>
    </row>
    <row r="26" ht="39.75" customHeight="1">
      <c r="A26" s="620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09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611" t="s">
        <v>169</v>
      </c>
      <c r="AH26" s="615" t="s">
        <v>198</v>
      </c>
      <c r="AI26" s="611" t="s">
        <v>172</v>
      </c>
      <c r="AJ26" s="611" t="s">
        <v>173</v>
      </c>
      <c r="AK26" s="611" t="s">
        <v>174</v>
      </c>
      <c r="AL26" s="625" t="s">
        <v>175</v>
      </c>
      <c r="AM26" s="62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176</v>
      </c>
      <c r="BN26" s="415"/>
    </row>
    <row r="27" ht="39.75" customHeight="1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09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612"/>
      <c r="AH27" s="616"/>
      <c r="AI27" s="612"/>
      <c r="AJ27" s="612"/>
      <c r="AK27" s="612"/>
      <c r="AL27" s="626"/>
      <c r="AM27" s="62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20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09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613" t="s">
        <v>178</v>
      </c>
      <c r="AH28" s="613" t="s">
        <v>199</v>
      </c>
      <c r="AI28" s="613" t="s">
        <v>168</v>
      </c>
      <c r="AJ28" s="613" t="s">
        <v>200</v>
      </c>
      <c r="AK28" s="613" t="s">
        <v>201</v>
      </c>
      <c r="AL28" s="623"/>
      <c r="AM28" s="62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09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614"/>
      <c r="AH29" s="614"/>
      <c r="AI29" s="614"/>
      <c r="AJ29" s="614"/>
      <c r="AK29" s="614"/>
      <c r="AL29" s="624"/>
      <c r="AM29" s="62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620"/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09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09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37" t="s">
        <v>204</v>
      </c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09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192</v>
      </c>
      <c r="BL32" s="484"/>
      <c r="BN32" s="415"/>
    </row>
    <row r="33" ht="39.75" customHeight="1">
      <c r="A33" s="620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09"/>
      <c r="S33" s="440" t="s">
        <v>188</v>
      </c>
      <c r="T33" s="455"/>
      <c r="U33" s="454"/>
      <c r="V33" s="638"/>
      <c r="W33" s="638"/>
      <c r="X33" s="456"/>
      <c r="Y33" s="454"/>
      <c r="Z33" s="454"/>
      <c r="AA33" s="453">
        <v>1200</v>
      </c>
      <c r="AB33" s="454"/>
      <c r="AC33" s="454"/>
      <c r="AD33" s="414"/>
      <c r="AE33" s="622"/>
      <c r="AF33" s="622"/>
      <c r="AG33" s="622"/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414"/>
      <c r="AS33" s="438" t="s">
        <v>188</v>
      </c>
      <c r="AT33" s="438">
        <v>500</v>
      </c>
      <c r="BA33" s="0" t="s">
        <v>189</v>
      </c>
      <c r="BD33" s="438" t="s">
        <v>188</v>
      </c>
      <c r="BE33" s="438">
        <v>500</v>
      </c>
      <c r="BL33" s="0" t="s">
        <v>189</v>
      </c>
      <c r="BN33" s="415"/>
    </row>
    <row r="34" ht="40.5" customHeight="1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09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22"/>
      <c r="AF34" s="622"/>
      <c r="AG34" s="622"/>
      <c r="AH34" s="622"/>
      <c r="AI34" s="622"/>
      <c r="AJ34" s="622"/>
      <c r="AK34" s="622"/>
      <c r="AL34" s="622"/>
      <c r="AM34" s="622"/>
      <c r="AN34" s="622"/>
      <c r="AO34" s="622"/>
      <c r="AP34" s="622"/>
      <c r="AQ34" s="622"/>
      <c r="AR34" s="414"/>
      <c r="AS34" s="438" t="s">
        <v>190</v>
      </c>
      <c r="AT34" s="438">
        <v>400</v>
      </c>
      <c r="AU34" s="486"/>
      <c r="AZ34" s="599"/>
      <c r="BA34" s="599"/>
      <c r="BB34" s="599"/>
      <c r="BD34" s="438" t="s">
        <v>190</v>
      </c>
      <c r="BE34" s="438">
        <v>400</v>
      </c>
      <c r="BF34" s="486"/>
      <c r="BK34" s="599"/>
      <c r="BL34" s="599"/>
      <c r="BM34" s="599"/>
      <c r="BN34" s="415"/>
    </row>
    <row r="35" ht="41.25" customHeight="1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09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22"/>
      <c r="AF35" s="622"/>
      <c r="AG35" s="622"/>
      <c r="AH35" s="622"/>
      <c r="AI35" s="622"/>
      <c r="AJ35" s="622"/>
      <c r="AK35" s="622"/>
      <c r="AL35" s="622"/>
      <c r="AM35" s="622"/>
      <c r="AN35" s="622"/>
      <c r="AO35" s="622"/>
      <c r="AP35" s="622"/>
      <c r="AQ35" s="622"/>
      <c r="AR35" s="414"/>
      <c r="AS35" s="415"/>
      <c r="AT35" s="415"/>
      <c r="BD35" s="415"/>
      <c r="BE35" s="415"/>
      <c r="BN35" s="415"/>
    </row>
    <row r="36" ht="41.25" customHeight="1">
      <c r="A36" s="620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09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414"/>
      <c r="AS36" s="415"/>
      <c r="AT36" s="415"/>
      <c r="BA36" s="493">
        <f>AT33</f>
        <v>500</v>
      </c>
      <c r="BD36" s="415"/>
      <c r="BE36" s="415"/>
      <c r="BN36" s="415"/>
    </row>
    <row r="37" ht="41.25" customHeight="1">
      <c r="A37" s="620"/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09"/>
      <c r="S37" s="415"/>
      <c r="T37" s="415"/>
      <c r="U37" s="63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2"/>
      <c r="W37" s="632"/>
      <c r="X37" s="632"/>
      <c r="Y37" s="632"/>
      <c r="Z37" s="632"/>
      <c r="AA37" s="632"/>
      <c r="AB37" s="632"/>
      <c r="AC37" s="632"/>
      <c r="AD37" s="414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414"/>
      <c r="AS37" s="602">
        <f>('بيرسا و لوفرز'!F24+'بيرسا و لوفرز'!V55+'بيرسا و لوفرز'!V63)*1.35</f>
        <v>216985.5</v>
      </c>
      <c r="AT37" s="603"/>
      <c r="BD37" s="602">
        <f>('بيرسا و لوفرز'!F97+'بيرسا و لوفرز'!V126+'بيرسا و لوفرز'!V134)*1.35</f>
        <v>216985.5</v>
      </c>
      <c r="BE37" s="603"/>
      <c r="BN37" s="415"/>
    </row>
    <row r="38" ht="41.25" customHeight="1">
      <c r="A38" s="621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09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22"/>
      <c r="AF38" s="622"/>
      <c r="AG38" s="622"/>
      <c r="AH38" s="622"/>
      <c r="AI38" s="622"/>
      <c r="AJ38" s="622"/>
      <c r="AK38" s="622"/>
      <c r="AL38" s="622"/>
      <c r="AM38" s="622"/>
      <c r="AN38" s="622"/>
      <c r="AO38" s="622"/>
      <c r="AP38" s="622"/>
      <c r="AQ38" s="622"/>
      <c r="AR38" s="414"/>
      <c r="AS38" s="602">
        <f>AS37/(AT34*AT33/10000)</f>
        <v>10849.275</v>
      </c>
      <c r="AT38" s="603"/>
      <c r="BD38" s="602">
        <f>BD37/(BE33*BE34/10000)</f>
        <v>10849.275</v>
      </c>
      <c r="BE38" s="603"/>
      <c r="BK38" s="493">
        <f>BE33</f>
        <v>500</v>
      </c>
      <c r="BN38" s="415"/>
    </row>
    <row r="39" ht="41.25" customHeight="1">
      <c r="A39" s="621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09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  <c r="AC39" s="621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21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09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21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09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414"/>
      <c r="AE41" s="618" t="s">
        <v>206</v>
      </c>
      <c r="AF41" s="618"/>
      <c r="AG41" s="618"/>
      <c r="AH41" s="618"/>
      <c r="AI41" s="618"/>
      <c r="AJ41" s="618"/>
      <c r="AK41" s="618"/>
      <c r="AL41" s="618"/>
      <c r="AM41" s="618"/>
      <c r="AN41" s="618"/>
      <c r="AO41" s="618"/>
      <c r="AP41" s="618"/>
      <c r="AQ41" s="618"/>
      <c r="AR41" s="414"/>
      <c r="AS41" s="604" t="s">
        <v>207</v>
      </c>
      <c r="AT41" s="604"/>
      <c r="AU41" s="60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09"/>
      <c r="S42" s="607" t="s">
        <v>209</v>
      </c>
      <c r="T42" s="608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18"/>
      <c r="AF42" s="618"/>
      <c r="AG42" s="618"/>
      <c r="AH42" s="618"/>
      <c r="AI42" s="618"/>
      <c r="AJ42" s="618"/>
      <c r="AK42" s="618"/>
      <c r="AL42" s="618"/>
      <c r="AM42" s="618"/>
      <c r="AN42" s="618"/>
      <c r="AO42" s="618"/>
      <c r="AP42" s="618"/>
      <c r="AQ42" s="618"/>
      <c r="AR42" s="414"/>
      <c r="AS42" s="472" t="s">
        <v>163</v>
      </c>
      <c r="AT42" s="473">
        <f>'بيرسا و لوفرز'!BM68</f>
        <v>223242.045</v>
      </c>
      <c r="AU42" s="480"/>
      <c r="BD42" s="472" t="s">
        <v>163</v>
      </c>
      <c r="BE42" s="473">
        <f>'بيرسا و لوفرز'!BM139</f>
        <v>232790.545</v>
      </c>
      <c r="BF42" s="480"/>
      <c r="BN42" s="415"/>
    </row>
    <row r="43" ht="42" customHeight="1">
      <c r="A43" s="620" t="s">
        <v>210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09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18"/>
      <c r="AF43" s="618"/>
      <c r="AG43" s="618"/>
      <c r="AH43" s="618"/>
      <c r="AI43" s="618"/>
      <c r="AJ43" s="618"/>
      <c r="AK43" s="618"/>
      <c r="AL43" s="618"/>
      <c r="AM43" s="618"/>
      <c r="AN43" s="618"/>
      <c r="AO43" s="618"/>
      <c r="AP43" s="618"/>
      <c r="AQ43" s="618"/>
      <c r="AR43" s="414"/>
      <c r="AS43" s="472" t="s">
        <v>127</v>
      </c>
      <c r="AT43" s="474">
        <f>AT42/(AT53*AT54/10000)</f>
        <v>13952.6278125</v>
      </c>
      <c r="AU43" s="480"/>
      <c r="AV43" s="481"/>
      <c r="BD43" s="472" t="s">
        <v>127</v>
      </c>
      <c r="BE43" s="474">
        <f>BE42/(BE53*BE54/10000)</f>
        <v>14549.4090625</v>
      </c>
      <c r="BF43" s="480"/>
      <c r="BG43" s="481"/>
      <c r="BN43" s="415"/>
    </row>
    <row r="44" ht="42" customHeight="1">
      <c r="A44" s="620"/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09"/>
      <c r="S44" s="444" t="s">
        <v>127</v>
      </c>
      <c r="T44" s="443">
        <f>T43/T51</f>
        <v>2588.716</v>
      </c>
      <c r="U44" s="458"/>
      <c r="V44" s="458"/>
      <c r="W44" s="458"/>
      <c r="X44" s="458"/>
      <c r="Y44" s="619"/>
      <c r="Z44" s="619"/>
      <c r="AA44" s="458"/>
      <c r="AB44" s="458"/>
      <c r="AC44" s="458"/>
      <c r="AD44" s="414"/>
      <c r="AE44" s="618"/>
      <c r="AF44" s="618"/>
      <c r="AG44" s="618"/>
      <c r="AH44" s="618"/>
      <c r="AI44" s="618"/>
      <c r="AJ44" s="618"/>
      <c r="AK44" s="618"/>
      <c r="AL44" s="618"/>
      <c r="AM44" s="618"/>
      <c r="AN44" s="618"/>
      <c r="AO44" s="618"/>
      <c r="AP44" s="618"/>
      <c r="AQ44" s="618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620"/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09"/>
      <c r="S45" s="440" t="s">
        <v>164</v>
      </c>
      <c r="T45" s="441" t="s">
        <v>21</v>
      </c>
      <c r="U45" s="458"/>
      <c r="V45" s="458"/>
      <c r="W45" s="458"/>
      <c r="X45" s="458"/>
      <c r="Y45" s="619"/>
      <c r="Z45" s="619"/>
      <c r="AA45" s="458"/>
      <c r="AB45" s="458"/>
      <c r="AC45" s="458"/>
      <c r="AD45" s="414"/>
      <c r="AE45" s="618"/>
      <c r="AF45" s="618"/>
      <c r="AG45" s="618"/>
      <c r="AH45" s="618"/>
      <c r="AI45" s="618"/>
      <c r="AJ45" s="618"/>
      <c r="AK45" s="618"/>
      <c r="AL45" s="618"/>
      <c r="AM45" s="618"/>
      <c r="AN45" s="618"/>
      <c r="AO45" s="618"/>
      <c r="AP45" s="618"/>
      <c r="AQ45" s="618"/>
      <c r="AR45" s="414"/>
      <c r="AS45" s="426" t="s">
        <v>165</v>
      </c>
      <c r="AT45" s="427" t="s">
        <v>166</v>
      </c>
      <c r="AZ45" s="493">
        <f>AT53</f>
        <v>400</v>
      </c>
      <c r="BD45" s="426" t="s">
        <v>165</v>
      </c>
      <c r="BE45" s="427" t="s">
        <v>166</v>
      </c>
      <c r="BN45" s="415"/>
    </row>
    <row r="46" ht="42" customHeight="1">
      <c r="A46" s="620"/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09"/>
      <c r="S46" s="445" t="s">
        <v>165</v>
      </c>
      <c r="T46" s="446" t="s">
        <v>197</v>
      </c>
      <c r="U46" s="458"/>
      <c r="V46" s="458"/>
      <c r="W46" s="458"/>
      <c r="X46" s="458"/>
      <c r="Y46" s="619"/>
      <c r="Z46" s="619"/>
      <c r="AA46" s="458"/>
      <c r="AB46" s="458"/>
      <c r="AC46" s="458"/>
      <c r="AD46" s="414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618"/>
      <c r="AP46" s="618"/>
      <c r="AQ46" s="618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400</v>
      </c>
      <c r="BN46" s="415"/>
    </row>
    <row r="47" ht="42" customHeight="1">
      <c r="A47" s="620"/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09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618"/>
      <c r="AP47" s="618"/>
      <c r="AQ47" s="618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20"/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09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618"/>
      <c r="AP48" s="618"/>
      <c r="AQ48" s="618"/>
      <c r="AR48" s="414"/>
      <c r="AS48" s="439"/>
      <c r="AT48" s="439"/>
      <c r="BD48" s="439"/>
      <c r="BE48" s="439"/>
      <c r="BN48" s="415"/>
    </row>
    <row r="49" ht="42" customHeight="1">
      <c r="A49" s="620"/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09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18"/>
      <c r="AF49" s="618"/>
      <c r="AG49" s="618"/>
      <c r="AH49" s="618"/>
      <c r="AI49" s="618"/>
      <c r="AJ49" s="618"/>
      <c r="AK49" s="618"/>
      <c r="AL49" s="618"/>
      <c r="AM49" s="618"/>
      <c r="AN49" s="618"/>
      <c r="AO49" s="618"/>
      <c r="AP49" s="618"/>
      <c r="AQ49" s="618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620"/>
      <c r="B50" s="620"/>
      <c r="C50" s="620"/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09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1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620"/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09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1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20"/>
      <c r="B52" s="620"/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09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1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620"/>
      <c r="B53" s="620"/>
      <c r="C53" s="620"/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09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1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414"/>
      <c r="AS53" s="438" t="s">
        <v>188</v>
      </c>
      <c r="AT53" s="438">
        <v>400</v>
      </c>
      <c r="BA53" s="0" t="s">
        <v>189</v>
      </c>
      <c r="BD53" s="438" t="s">
        <v>188</v>
      </c>
      <c r="BE53" s="438">
        <v>400</v>
      </c>
      <c r="BL53" s="0" t="s">
        <v>189</v>
      </c>
      <c r="BN53" s="415"/>
    </row>
    <row r="54" ht="42" customHeight="1">
      <c r="A54" s="620"/>
      <c r="B54" s="620"/>
      <c r="C54" s="620"/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09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1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414"/>
      <c r="AS54" s="438" t="s">
        <v>190</v>
      </c>
      <c r="AT54" s="438">
        <v>400</v>
      </c>
      <c r="AU54" s="486"/>
      <c r="AZ54" s="599"/>
      <c r="BA54" s="599"/>
      <c r="BB54" s="599"/>
      <c r="BD54" s="438" t="s">
        <v>190</v>
      </c>
      <c r="BE54" s="438">
        <v>400</v>
      </c>
      <c r="BF54" s="486"/>
      <c r="BK54" s="599"/>
      <c r="BL54" s="599"/>
      <c r="BM54" s="599"/>
      <c r="BN54" s="415"/>
    </row>
    <row r="55" ht="42" customHeight="1">
      <c r="A55" s="620"/>
      <c r="B55" s="620"/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09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18"/>
      <c r="AF55" s="618"/>
      <c r="AG55" s="618"/>
      <c r="AH55" s="618"/>
      <c r="AI55" s="618"/>
      <c r="AJ55" s="618"/>
      <c r="AK55" s="618"/>
      <c r="AL55" s="618"/>
      <c r="AM55" s="618"/>
      <c r="AN55" s="618"/>
      <c r="AO55" s="618"/>
      <c r="AP55" s="618"/>
      <c r="AQ55" s="618"/>
      <c r="AR55" s="414"/>
      <c r="AS55" s="415"/>
      <c r="AT55" s="415"/>
      <c r="BD55" s="415"/>
      <c r="BE55" s="415"/>
      <c r="BN55" s="415"/>
    </row>
    <row r="56" ht="42" customHeight="1">
      <c r="A56" s="620"/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09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18"/>
      <c r="AF56" s="618"/>
      <c r="AG56" s="618"/>
      <c r="AH56" s="618"/>
      <c r="AI56" s="618"/>
      <c r="AJ56" s="618"/>
      <c r="AK56" s="618"/>
      <c r="AL56" s="618"/>
      <c r="AM56" s="618"/>
      <c r="AN56" s="618"/>
      <c r="AO56" s="618"/>
      <c r="AP56" s="618"/>
      <c r="AQ56" s="618"/>
      <c r="AR56" s="414"/>
      <c r="AS56" s="415"/>
      <c r="AT56" s="415"/>
      <c r="BD56" s="415"/>
      <c r="BE56" s="415"/>
      <c r="BN56" s="415"/>
    </row>
    <row r="57" ht="42" customHeight="1">
      <c r="A57" s="620"/>
      <c r="B57" s="620"/>
      <c r="C57" s="620"/>
      <c r="D57" s="620"/>
      <c r="E57" s="620"/>
      <c r="F57" s="620"/>
      <c r="G57" s="620"/>
      <c r="H57" s="620"/>
      <c r="I57" s="620"/>
      <c r="J57" s="620"/>
      <c r="K57" s="620"/>
      <c r="L57" s="620"/>
      <c r="M57" s="620"/>
      <c r="N57" s="620"/>
      <c r="O57" s="620"/>
      <c r="P57" s="620"/>
      <c r="Q57" s="620"/>
      <c r="R57" s="609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18"/>
      <c r="AF57" s="618"/>
      <c r="AG57" s="618"/>
      <c r="AH57" s="618"/>
      <c r="AI57" s="618"/>
      <c r="AJ57" s="618"/>
      <c r="AK57" s="618"/>
      <c r="AL57" s="618"/>
      <c r="AM57" s="618"/>
      <c r="AN57" s="618"/>
      <c r="AO57" s="618"/>
      <c r="AP57" s="618"/>
      <c r="AQ57" s="618"/>
      <c r="AR57" s="414"/>
      <c r="AS57" s="600">
        <f>('بيرسا و لوفرز'!BA14+'بيرسا و لوفرز'!BP62+'بيرسا و لوفرز'!BQ54)*1.35</f>
        <v>115913.02500000001</v>
      </c>
      <c r="AT57" s="601"/>
      <c r="BD57" s="600">
        <f>('بيرسا و لوفرز'!BA85+'بيرسا و لوفرز'!BP133+'بيرسا و لوفرز'!BQ125)*1.35</f>
        <v>115913.02500000001</v>
      </c>
      <c r="BE57" s="601"/>
      <c r="BN57" s="415"/>
    </row>
    <row r="58" ht="42" customHeight="1">
      <c r="A58" s="620"/>
      <c r="B58" s="620"/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09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18"/>
      <c r="AF58" s="618"/>
      <c r="AG58" s="618"/>
      <c r="AH58" s="618"/>
      <c r="AI58" s="618"/>
      <c r="AJ58" s="618"/>
      <c r="AK58" s="618"/>
      <c r="AL58" s="618"/>
      <c r="AM58" s="618"/>
      <c r="AN58" s="618"/>
      <c r="AO58" s="618"/>
      <c r="AP58" s="618"/>
      <c r="AQ58" s="618"/>
      <c r="AR58" s="414"/>
      <c r="AS58" s="605">
        <f>AS57/(AT53*AT54/10000)</f>
        <v>7244.5640625000005</v>
      </c>
      <c r="AT58" s="606"/>
      <c r="BD58" s="605">
        <f>BD57/(BE53*BE54/10000)</f>
        <v>7244.5640625000005</v>
      </c>
      <c r="BE58" s="606"/>
      <c r="BN58" s="415"/>
    </row>
    <row r="59" ht="39" customHeight="1">
      <c r="A59" s="620"/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09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20" t="s">
        <v>215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  <c r="P60" s="620"/>
      <c r="Q60" s="620"/>
      <c r="R60" s="609"/>
      <c r="S60" s="607" t="s">
        <v>209</v>
      </c>
      <c r="T60" s="608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20"/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  <c r="P61" s="620"/>
      <c r="Q61" s="620"/>
      <c r="R61" s="609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20"/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09"/>
      <c r="S62" s="444" t="s">
        <v>127</v>
      </c>
      <c r="T62" s="443">
        <f>T61/T69</f>
        <v>3288.492</v>
      </c>
      <c r="U62" s="458"/>
      <c r="V62" s="458"/>
      <c r="W62" s="458"/>
      <c r="X62" s="458"/>
      <c r="Y62" s="619"/>
      <c r="Z62" s="619"/>
      <c r="AA62" s="458"/>
      <c r="AB62" s="458"/>
      <c r="AC62" s="458"/>
      <c r="AD62" s="414"/>
      <c r="AR62" s="414"/>
      <c r="BN62" s="415"/>
    </row>
    <row r="63" ht="40.5" customHeight="1">
      <c r="A63" s="620"/>
      <c r="B63" s="620"/>
      <c r="C63" s="620"/>
      <c r="D63" s="620"/>
      <c r="E63" s="620"/>
      <c r="F63" s="620"/>
      <c r="G63" s="620"/>
      <c r="H63" s="620"/>
      <c r="I63" s="620"/>
      <c r="J63" s="620"/>
      <c r="K63" s="620"/>
      <c r="L63" s="620"/>
      <c r="M63" s="620"/>
      <c r="N63" s="620"/>
      <c r="O63" s="620"/>
      <c r="P63" s="620"/>
      <c r="Q63" s="620"/>
      <c r="R63" s="609"/>
      <c r="S63" s="440" t="s">
        <v>164</v>
      </c>
      <c r="T63" s="441" t="s">
        <v>19</v>
      </c>
      <c r="U63" s="458"/>
      <c r="V63" s="458"/>
      <c r="W63" s="458"/>
      <c r="X63" s="458"/>
      <c r="Y63" s="619"/>
      <c r="Z63" s="619"/>
      <c r="AA63" s="458"/>
      <c r="AB63" s="458"/>
      <c r="AC63" s="458"/>
      <c r="AD63" s="414"/>
      <c r="AR63" s="414"/>
      <c r="BN63" s="415"/>
    </row>
    <row r="64" ht="40.5" customHeight="1">
      <c r="A64" s="620"/>
      <c r="B64" s="620"/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  <c r="Q64" s="620"/>
      <c r="R64" s="609"/>
      <c r="S64" s="445" t="s">
        <v>165</v>
      </c>
      <c r="T64" s="446" t="s">
        <v>197</v>
      </c>
      <c r="U64" s="458"/>
      <c r="V64" s="458"/>
      <c r="W64" s="458"/>
      <c r="X64" s="458"/>
      <c r="Y64" s="619"/>
      <c r="Z64" s="619"/>
      <c r="AA64" s="458"/>
      <c r="AB64" s="458"/>
      <c r="AC64" s="458"/>
      <c r="AD64" s="414"/>
      <c r="AR64" s="414"/>
      <c r="BN64" s="415"/>
    </row>
    <row r="65" ht="40.5" customHeight="1">
      <c r="A65" s="620"/>
      <c r="B65" s="620"/>
      <c r="C65" s="620"/>
      <c r="D65" s="620"/>
      <c r="E65" s="620"/>
      <c r="F65" s="620"/>
      <c r="G65" s="620"/>
      <c r="H65" s="620"/>
      <c r="I65" s="620"/>
      <c r="J65" s="620"/>
      <c r="K65" s="620"/>
      <c r="L65" s="620"/>
      <c r="M65" s="620"/>
      <c r="N65" s="620"/>
      <c r="O65" s="620"/>
      <c r="P65" s="620"/>
      <c r="Q65" s="620"/>
      <c r="R65" s="609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20"/>
      <c r="B66" s="620"/>
      <c r="C66" s="620"/>
      <c r="D66" s="620"/>
      <c r="E66" s="620"/>
      <c r="F66" s="620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09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20"/>
      <c r="B67" s="620"/>
      <c r="C67" s="620"/>
      <c r="D67" s="620"/>
      <c r="E67" s="620"/>
      <c r="F67" s="620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09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20"/>
      <c r="B68" s="620"/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609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20"/>
      <c r="B69" s="620"/>
      <c r="C69" s="620"/>
      <c r="D69" s="620"/>
      <c r="E69" s="620"/>
      <c r="F69" s="620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09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20"/>
      <c r="B70" s="620"/>
      <c r="C70" s="620"/>
      <c r="D70" s="620"/>
      <c r="E70" s="620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09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20"/>
      <c r="B71" s="620"/>
      <c r="C71" s="620"/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620"/>
      <c r="Q71" s="620"/>
      <c r="R71" s="609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20"/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09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20"/>
      <c r="B73" s="620"/>
      <c r="C73" s="620"/>
      <c r="D73" s="620"/>
      <c r="E73" s="620"/>
      <c r="F73" s="620"/>
      <c r="G73" s="620"/>
      <c r="H73" s="620"/>
      <c r="I73" s="620"/>
      <c r="J73" s="620"/>
      <c r="K73" s="620"/>
      <c r="L73" s="620"/>
      <c r="M73" s="620"/>
      <c r="N73" s="620"/>
      <c r="O73" s="620"/>
      <c r="P73" s="620"/>
      <c r="Q73" s="620"/>
      <c r="R73" s="609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20"/>
      <c r="B74" s="620"/>
      <c r="C74" s="620"/>
      <c r="D74" s="620"/>
      <c r="E74" s="620"/>
      <c r="F74" s="620"/>
      <c r="G74" s="620"/>
      <c r="H74" s="620"/>
      <c r="I74" s="620"/>
      <c r="J74" s="620"/>
      <c r="K74" s="620"/>
      <c r="L74" s="620"/>
      <c r="M74" s="620"/>
      <c r="N74" s="620"/>
      <c r="O74" s="620"/>
      <c r="P74" s="620"/>
      <c r="Q74" s="620"/>
      <c r="R74" s="609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20"/>
      <c r="B75" s="620"/>
      <c r="C75" s="620"/>
      <c r="D75" s="620"/>
      <c r="E75" s="620"/>
      <c r="F75" s="620"/>
      <c r="G75" s="620"/>
      <c r="H75" s="620"/>
      <c r="I75" s="620"/>
      <c r="J75" s="620"/>
      <c r="K75" s="620"/>
      <c r="L75" s="620"/>
      <c r="M75" s="620"/>
      <c r="N75" s="620"/>
      <c r="O75" s="620"/>
      <c r="P75" s="620"/>
      <c r="Q75" s="620"/>
      <c r="R75" s="609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20"/>
      <c r="B76" s="620"/>
      <c r="C76" s="620"/>
      <c r="D76" s="620"/>
      <c r="E76" s="620"/>
      <c r="F76" s="620"/>
      <c r="G76" s="620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09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9"/>
      <c r="AD77" s="414"/>
      <c r="AR77" s="414"/>
      <c r="BN77" s="415"/>
    </row>
    <row r="78" ht="15" customHeight="1">
      <c r="A78" s="617" t="s">
        <v>216</v>
      </c>
      <c r="B78" s="617"/>
      <c r="C78" s="617"/>
      <c r="D78" s="617"/>
      <c r="E78" s="617"/>
      <c r="F78" s="617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0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17"/>
      <c r="B79" s="617"/>
      <c r="C79" s="617"/>
      <c r="D79" s="617"/>
      <c r="E79" s="617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09"/>
      <c r="AC79" s="414"/>
      <c r="AQ79" s="414"/>
      <c r="BB79" s="414"/>
      <c r="BM79" s="415"/>
    </row>
    <row r="80" ht="38.25" customHeight="1">
      <c r="A80" s="617"/>
      <c r="B80" s="617"/>
      <c r="C80" s="617"/>
      <c r="D80" s="617"/>
      <c r="E80" s="617"/>
      <c r="F80" s="617"/>
      <c r="G80" s="617"/>
      <c r="H80" s="617"/>
      <c r="I80" s="617"/>
      <c r="J80" s="617"/>
      <c r="K80" s="617"/>
      <c r="L80" s="617"/>
      <c r="M80" s="617"/>
      <c r="N80" s="617"/>
      <c r="O80" s="617"/>
      <c r="P80" s="617"/>
      <c r="Q80" s="617"/>
      <c r="R80" s="609"/>
      <c r="AQ80" s="414"/>
      <c r="BB80" s="414"/>
      <c r="BM80" s="415"/>
    </row>
    <row r="81" ht="38.25" customHeight="1">
      <c r="A81" s="617"/>
      <c r="B81" s="617"/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09"/>
      <c r="AQ81" s="414"/>
      <c r="BB81" s="414"/>
      <c r="BM81" s="415"/>
    </row>
    <row r="82" ht="38.25" customHeight="1">
      <c r="A82" s="617"/>
      <c r="B82" s="617"/>
      <c r="C82" s="617"/>
      <c r="D82" s="617"/>
      <c r="E82" s="617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09"/>
      <c r="AQ82" s="414"/>
      <c r="BB82" s="414"/>
      <c r="BM82" s="415"/>
    </row>
    <row r="83" ht="38.25" customHeight="1">
      <c r="A83" s="617"/>
      <c r="B83" s="617"/>
      <c r="C83" s="617"/>
      <c r="D83" s="617"/>
      <c r="E83" s="617"/>
      <c r="F83" s="617"/>
      <c r="G83" s="617"/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09"/>
      <c r="AQ83" s="414"/>
      <c r="BB83" s="414"/>
      <c r="BM83" s="415"/>
    </row>
    <row r="84" ht="38.25" customHeight="1">
      <c r="A84" s="617"/>
      <c r="B84" s="617"/>
      <c r="C84" s="617"/>
      <c r="D84" s="617"/>
      <c r="E84" s="617"/>
      <c r="F84" s="617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09"/>
      <c r="AQ84" s="414"/>
      <c r="BB84" s="414"/>
      <c r="BM84" s="415"/>
    </row>
    <row r="85" ht="38.25" customHeight="1">
      <c r="A85" s="617"/>
      <c r="B85" s="617"/>
      <c r="C85" s="617"/>
      <c r="D85" s="617"/>
      <c r="E85" s="617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09"/>
      <c r="AQ85" s="414"/>
      <c r="BB85" s="414"/>
      <c r="BM85" s="415"/>
    </row>
    <row r="86" ht="38.25" customHeight="1">
      <c r="A86" s="617"/>
      <c r="B86" s="617"/>
      <c r="C86" s="617"/>
      <c r="D86" s="617"/>
      <c r="E86" s="617"/>
      <c r="F86" s="617"/>
      <c r="G86" s="617"/>
      <c r="H86" s="617"/>
      <c r="I86" s="617"/>
      <c r="J86" s="617"/>
      <c r="K86" s="617"/>
      <c r="L86" s="617"/>
      <c r="M86" s="617"/>
      <c r="N86" s="617"/>
      <c r="O86" s="617"/>
      <c r="P86" s="617"/>
      <c r="Q86" s="617"/>
      <c r="R86" s="609"/>
      <c r="AQ86" s="414"/>
      <c r="BB86" s="414"/>
      <c r="BM86" s="415"/>
    </row>
    <row r="87" ht="38.25" customHeight="1">
      <c r="A87" s="617"/>
      <c r="B87" s="617"/>
      <c r="C87" s="617"/>
      <c r="D87" s="617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09"/>
      <c r="AQ87" s="414"/>
      <c r="BB87" s="414"/>
      <c r="BM87" s="415"/>
    </row>
    <row r="88" ht="38.25" customHeight="1">
      <c r="A88" s="617"/>
      <c r="B88" s="617"/>
      <c r="C88" s="617"/>
      <c r="D88" s="617"/>
      <c r="E88" s="617"/>
      <c r="F88" s="617"/>
      <c r="G88" s="617"/>
      <c r="H88" s="617"/>
      <c r="I88" s="617"/>
      <c r="J88" s="617"/>
      <c r="K88" s="617"/>
      <c r="L88" s="617"/>
      <c r="M88" s="617"/>
      <c r="N88" s="617"/>
      <c r="O88" s="617"/>
      <c r="P88" s="617"/>
      <c r="Q88" s="617"/>
      <c r="R88" s="609"/>
      <c r="AQ88" s="414"/>
      <c r="BB88" s="414"/>
      <c r="BM88" s="415"/>
    </row>
    <row r="89" ht="38.25" customHeight="1">
      <c r="A89" s="617"/>
      <c r="B89" s="617"/>
      <c r="C89" s="617"/>
      <c r="D89" s="617"/>
      <c r="E89" s="617"/>
      <c r="F89" s="617"/>
      <c r="G89" s="617"/>
      <c r="H89" s="617"/>
      <c r="I89" s="617"/>
      <c r="J89" s="617"/>
      <c r="K89" s="617"/>
      <c r="L89" s="617"/>
      <c r="M89" s="617"/>
      <c r="N89" s="617"/>
      <c r="O89" s="617"/>
      <c r="P89" s="617"/>
      <c r="Q89" s="617"/>
      <c r="R89" s="609"/>
      <c r="AQ89" s="414"/>
      <c r="BB89" s="414"/>
      <c r="BM89" s="415"/>
    </row>
    <row r="90" ht="38.25" customHeight="1">
      <c r="A90" s="617"/>
      <c r="B90" s="617"/>
      <c r="C90" s="617"/>
      <c r="D90" s="617"/>
      <c r="E90" s="617"/>
      <c r="F90" s="617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09"/>
      <c r="AQ90" s="414"/>
      <c r="BB90" s="414"/>
      <c r="BM90" s="415"/>
    </row>
    <row r="91" ht="38.25" customHeight="1">
      <c r="A91" s="617"/>
      <c r="B91" s="617"/>
      <c r="C91" s="617"/>
      <c r="D91" s="617"/>
      <c r="E91" s="617"/>
      <c r="F91" s="617"/>
      <c r="G91" s="617"/>
      <c r="H91" s="617"/>
      <c r="I91" s="617"/>
      <c r="J91" s="617"/>
      <c r="K91" s="617"/>
      <c r="L91" s="617"/>
      <c r="M91" s="617"/>
      <c r="N91" s="617"/>
      <c r="O91" s="617"/>
      <c r="P91" s="617"/>
      <c r="Q91" s="617"/>
      <c r="R91" s="609"/>
      <c r="AQ91" s="414"/>
      <c r="BB91" s="414"/>
      <c r="BM91" s="415"/>
    </row>
    <row r="92" ht="38.25" customHeight="1">
      <c r="A92" s="617"/>
      <c r="B92" s="617"/>
      <c r="C92" s="617"/>
      <c r="D92" s="617"/>
      <c r="E92" s="617"/>
      <c r="F92" s="617"/>
      <c r="G92" s="617"/>
      <c r="H92" s="617"/>
      <c r="I92" s="617"/>
      <c r="J92" s="617"/>
      <c r="K92" s="617"/>
      <c r="L92" s="617"/>
      <c r="M92" s="617"/>
      <c r="N92" s="617"/>
      <c r="O92" s="617"/>
      <c r="P92" s="617"/>
      <c r="Q92" s="617"/>
      <c r="R92" s="609"/>
      <c r="AQ92" s="414"/>
      <c r="BB92" s="414"/>
      <c r="BM92" s="415"/>
    </row>
    <row r="93" ht="38.25" customHeight="1">
      <c r="A93" s="617"/>
      <c r="B93" s="617"/>
      <c r="C93" s="617"/>
      <c r="D93" s="617"/>
      <c r="E93" s="617"/>
      <c r="F93" s="617"/>
      <c r="G93" s="617"/>
      <c r="H93" s="617"/>
      <c r="I93" s="617"/>
      <c r="J93" s="617"/>
      <c r="K93" s="617"/>
      <c r="L93" s="617"/>
      <c r="M93" s="617"/>
      <c r="N93" s="617"/>
      <c r="O93" s="617"/>
      <c r="P93" s="617"/>
      <c r="Q93" s="617"/>
      <c r="R93" s="609"/>
      <c r="AQ93" s="414"/>
      <c r="BB93" s="414"/>
      <c r="BM93" s="415"/>
    </row>
    <row r="94" ht="38.25" customHeight="1">
      <c r="A94" s="617"/>
      <c r="B94" s="617"/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7"/>
      <c r="O94" s="617"/>
      <c r="P94" s="617"/>
      <c r="Q94" s="617"/>
      <c r="R94" s="609"/>
      <c r="AQ94" s="414"/>
      <c r="BB94" s="414"/>
      <c r="BM94" s="415"/>
    </row>
    <row r="95" ht="38.25" customHeight="1">
      <c r="A95" s="617"/>
      <c r="B95" s="617"/>
      <c r="C95" s="617"/>
      <c r="D95" s="617"/>
      <c r="E95" s="617"/>
      <c r="F95" s="617"/>
      <c r="G95" s="617"/>
      <c r="H95" s="617"/>
      <c r="I95" s="617"/>
      <c r="J95" s="617"/>
      <c r="K95" s="617"/>
      <c r="L95" s="617"/>
      <c r="M95" s="617"/>
      <c r="N95" s="617"/>
      <c r="O95" s="617"/>
      <c r="P95" s="617"/>
      <c r="Q95" s="617"/>
      <c r="R95" s="609"/>
      <c r="AQ95" s="414"/>
      <c r="BB95" s="414"/>
      <c r="BM95" s="415"/>
    </row>
    <row r="96" ht="38.25" customHeight="1">
      <c r="A96" s="617"/>
      <c r="B96" s="617"/>
      <c r="C96" s="617"/>
      <c r="D96" s="617"/>
      <c r="E96" s="617"/>
      <c r="F96" s="617"/>
      <c r="G96" s="617"/>
      <c r="H96" s="617"/>
      <c r="I96" s="617"/>
      <c r="J96" s="617"/>
      <c r="K96" s="617"/>
      <c r="L96" s="617"/>
      <c r="M96" s="617"/>
      <c r="N96" s="617"/>
      <c r="O96" s="617"/>
      <c r="P96" s="617"/>
      <c r="Q96" s="617"/>
      <c r="R96" s="609"/>
      <c r="AQ96" s="414"/>
      <c r="BB96" s="414"/>
      <c r="BM96" s="415"/>
    </row>
    <row r="97" ht="39" customHeight="1">
      <c r="A97" s="617"/>
      <c r="B97" s="617"/>
      <c r="C97" s="617"/>
      <c r="D97" s="617"/>
      <c r="E97" s="617"/>
      <c r="F97" s="617"/>
      <c r="G97" s="617"/>
      <c r="H97" s="617"/>
      <c r="I97" s="617"/>
      <c r="J97" s="617"/>
      <c r="K97" s="617"/>
      <c r="L97" s="617"/>
      <c r="M97" s="617"/>
      <c r="N97" s="617"/>
      <c r="O97" s="617"/>
      <c r="P97" s="617"/>
      <c r="Q97" s="617"/>
      <c r="R97" s="609"/>
      <c r="AQ97" s="414"/>
      <c r="BB97" s="414"/>
      <c r="BM97" s="415"/>
    </row>
    <row r="98" ht="39" customHeight="1">
      <c r="A98" s="617" t="s">
        <v>217</v>
      </c>
      <c r="B98" s="617"/>
      <c r="C98" s="617"/>
      <c r="D98" s="617"/>
      <c r="E98" s="617"/>
      <c r="F98" s="617"/>
      <c r="G98" s="617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09"/>
      <c r="AR98" s="414"/>
      <c r="BN98" s="415"/>
    </row>
    <row r="99" ht="39" customHeight="1">
      <c r="A99" s="617"/>
      <c r="B99" s="617"/>
      <c r="C99" s="617"/>
      <c r="D99" s="617"/>
      <c r="E99" s="617"/>
      <c r="F99" s="617"/>
      <c r="G99" s="617"/>
      <c r="H99" s="617"/>
      <c r="I99" s="617"/>
      <c r="J99" s="617"/>
      <c r="K99" s="617"/>
      <c r="L99" s="617"/>
      <c r="M99" s="617"/>
      <c r="N99" s="617"/>
      <c r="O99" s="617"/>
      <c r="P99" s="617"/>
      <c r="Q99" s="617"/>
      <c r="R99" s="609"/>
      <c r="AR99" s="414"/>
      <c r="BN99" s="415"/>
    </row>
    <row r="100" ht="39" customHeight="1">
      <c r="A100" s="617"/>
      <c r="B100" s="617"/>
      <c r="C100" s="617"/>
      <c r="D100" s="617"/>
      <c r="E100" s="617"/>
      <c r="F100" s="617"/>
      <c r="G100" s="617"/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09"/>
      <c r="AR100" s="414"/>
      <c r="BN100" s="415"/>
    </row>
    <row r="101" ht="39" customHeight="1">
      <c r="A101" s="617"/>
      <c r="B101" s="617"/>
      <c r="C101" s="617"/>
      <c r="D101" s="617"/>
      <c r="E101" s="617"/>
      <c r="F101" s="617"/>
      <c r="G101" s="617"/>
      <c r="H101" s="617"/>
      <c r="I101" s="617"/>
      <c r="J101" s="617"/>
      <c r="K101" s="617"/>
      <c r="L101" s="617"/>
      <c r="M101" s="617"/>
      <c r="N101" s="617"/>
      <c r="O101" s="617"/>
      <c r="P101" s="617"/>
      <c r="Q101" s="617"/>
      <c r="R101" s="609"/>
      <c r="AR101" s="414"/>
      <c r="BN101" s="415"/>
    </row>
    <row r="102" ht="39" customHeight="1">
      <c r="A102" s="617"/>
      <c r="B102" s="617"/>
      <c r="C102" s="617"/>
      <c r="D102" s="617"/>
      <c r="E102" s="617"/>
      <c r="F102" s="617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09"/>
      <c r="AR102" s="414"/>
      <c r="BN102" s="415"/>
    </row>
    <row r="103" ht="39" customHeight="1">
      <c r="A103" s="617"/>
      <c r="B103" s="617"/>
      <c r="C103" s="617"/>
      <c r="D103" s="617"/>
      <c r="E103" s="617"/>
      <c r="F103" s="617"/>
      <c r="G103" s="617"/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09"/>
      <c r="AR103" s="414"/>
      <c r="BN103" s="415"/>
    </row>
    <row r="104" ht="39" customHeight="1">
      <c r="A104" s="617"/>
      <c r="B104" s="617"/>
      <c r="C104" s="617"/>
      <c r="D104" s="617"/>
      <c r="E104" s="617"/>
      <c r="F104" s="617"/>
      <c r="G104" s="617"/>
      <c r="H104" s="617"/>
      <c r="I104" s="617"/>
      <c r="J104" s="617"/>
      <c r="K104" s="617"/>
      <c r="L104" s="617"/>
      <c r="M104" s="617"/>
      <c r="N104" s="617"/>
      <c r="O104" s="617"/>
      <c r="P104" s="617"/>
      <c r="Q104" s="617"/>
      <c r="R104" s="609"/>
      <c r="AR104" s="414"/>
      <c r="BN104" s="415"/>
    </row>
    <row r="105" ht="39" customHeight="1">
      <c r="A105" s="617"/>
      <c r="B105" s="617"/>
      <c r="C105" s="617"/>
      <c r="D105" s="617"/>
      <c r="E105" s="617"/>
      <c r="F105" s="617"/>
      <c r="G105" s="617"/>
      <c r="H105" s="617"/>
      <c r="I105" s="617"/>
      <c r="J105" s="617"/>
      <c r="K105" s="617"/>
      <c r="L105" s="617"/>
      <c r="M105" s="617"/>
      <c r="N105" s="617"/>
      <c r="O105" s="617"/>
      <c r="P105" s="617"/>
      <c r="Q105" s="617"/>
      <c r="R105" s="609"/>
      <c r="AR105" s="414"/>
      <c r="BN105" s="415"/>
    </row>
    <row r="106" ht="39" customHeight="1">
      <c r="A106" s="617"/>
      <c r="B106" s="617"/>
      <c r="C106" s="617"/>
      <c r="D106" s="617"/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09"/>
      <c r="AR106" s="414"/>
      <c r="BN106" s="415"/>
    </row>
    <row r="107" ht="39" customHeight="1">
      <c r="A107" s="617"/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09"/>
      <c r="AR107" s="414"/>
      <c r="BN107" s="415"/>
    </row>
    <row r="108" ht="39" customHeight="1">
      <c r="A108" s="617"/>
      <c r="B108" s="617"/>
      <c r="C108" s="617"/>
      <c r="D108" s="617"/>
      <c r="E108" s="617"/>
      <c r="F108" s="617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09"/>
      <c r="AR108" s="414"/>
      <c r="BN108" s="415"/>
    </row>
    <row r="109" ht="39" customHeight="1">
      <c r="A109" s="617"/>
      <c r="B109" s="617"/>
      <c r="C109" s="617"/>
      <c r="D109" s="617"/>
      <c r="E109" s="617"/>
      <c r="F109" s="617"/>
      <c r="G109" s="617"/>
      <c r="H109" s="617"/>
      <c r="I109" s="617"/>
      <c r="J109" s="617"/>
      <c r="K109" s="617"/>
      <c r="L109" s="617"/>
      <c r="M109" s="617"/>
      <c r="N109" s="617"/>
      <c r="O109" s="617"/>
      <c r="P109" s="617"/>
      <c r="Q109" s="617"/>
      <c r="R109" s="609"/>
      <c r="AR109" s="414"/>
      <c r="BN109" s="415"/>
    </row>
    <row r="110" ht="39" customHeight="1">
      <c r="A110" s="617"/>
      <c r="B110" s="617"/>
      <c r="C110" s="617"/>
      <c r="D110" s="617"/>
      <c r="E110" s="617"/>
      <c r="F110" s="617"/>
      <c r="G110" s="617"/>
      <c r="H110" s="617"/>
      <c r="I110" s="617"/>
      <c r="J110" s="617"/>
      <c r="K110" s="617"/>
      <c r="L110" s="617"/>
      <c r="M110" s="617"/>
      <c r="N110" s="617"/>
      <c r="O110" s="617"/>
      <c r="P110" s="617"/>
      <c r="Q110" s="617"/>
      <c r="R110" s="609"/>
      <c r="AR110" s="414"/>
      <c r="BN110" s="415"/>
    </row>
    <row r="111" ht="39" customHeight="1">
      <c r="A111" s="617"/>
      <c r="B111" s="617"/>
      <c r="C111" s="617"/>
      <c r="D111" s="617"/>
      <c r="E111" s="617"/>
      <c r="F111" s="617"/>
      <c r="G111" s="617"/>
      <c r="H111" s="617"/>
      <c r="I111" s="617"/>
      <c r="J111" s="617"/>
      <c r="K111" s="617"/>
      <c r="L111" s="617"/>
      <c r="M111" s="617"/>
      <c r="N111" s="617"/>
      <c r="O111" s="617"/>
      <c r="P111" s="617"/>
      <c r="Q111" s="617"/>
      <c r="R111" s="609"/>
      <c r="AR111" s="414"/>
      <c r="BN111" s="415"/>
    </row>
    <row r="112" ht="39" customHeight="1">
      <c r="A112" s="617"/>
      <c r="B112" s="617"/>
      <c r="C112" s="617"/>
      <c r="D112" s="617"/>
      <c r="E112" s="617"/>
      <c r="F112" s="617"/>
      <c r="G112" s="617"/>
      <c r="H112" s="617"/>
      <c r="I112" s="617"/>
      <c r="J112" s="617"/>
      <c r="K112" s="617"/>
      <c r="L112" s="617"/>
      <c r="M112" s="617"/>
      <c r="N112" s="617"/>
      <c r="O112" s="617"/>
      <c r="P112" s="617"/>
      <c r="Q112" s="617"/>
      <c r="R112" s="609"/>
      <c r="AR112" s="414"/>
      <c r="BN112" s="415"/>
    </row>
    <row r="113" ht="39" customHeight="1">
      <c r="A113" s="617"/>
      <c r="B113" s="617"/>
      <c r="C113" s="617"/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617"/>
      <c r="Q113" s="617"/>
      <c r="R113" s="609"/>
      <c r="AR113" s="414"/>
      <c r="BN113" s="415"/>
    </row>
    <row r="114" ht="39" customHeight="1">
      <c r="A114" s="617"/>
      <c r="B114" s="617"/>
      <c r="C114" s="617"/>
      <c r="D114" s="617"/>
      <c r="E114" s="617"/>
      <c r="F114" s="617"/>
      <c r="G114" s="617"/>
      <c r="H114" s="617"/>
      <c r="I114" s="617"/>
      <c r="J114" s="617"/>
      <c r="K114" s="617"/>
      <c r="L114" s="617"/>
      <c r="M114" s="617"/>
      <c r="N114" s="617"/>
      <c r="O114" s="617"/>
      <c r="P114" s="617"/>
      <c r="Q114" s="617"/>
      <c r="R114" s="609"/>
      <c r="AR114" s="414"/>
      <c r="BN114" s="415"/>
    </row>
    <row r="115" ht="39" customHeight="1">
      <c r="A115" s="617"/>
      <c r="B115" s="617"/>
      <c r="C115" s="617"/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09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AAD47AB-7FAE-4659-AA9C-0BAFB54703C6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7BADA5E-739D-48A4-A3B5-FD0085F00B3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DB318EC-61B3-4DCB-A962-943BC1D3BA6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9E4F72-8B2B-4BE6-B10E-1966D353804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641A113-1D2C-46E7-AC6C-4144083769D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280E3CD-8B7B-4A45-A3B6-070DEB1E4F67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0A7A5C8-6433-40ED-BFF9-47AE888CDAE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BE2DAF7-F1C8-4693-9EB6-DF3583755E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8A673DA-E86C-429A-A940-D72E2C74816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FC1FCBB-662D-402B-B4AB-8D69F60A29C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C4A8A36-B44F-4612-A884-75F254C2D9BA}">
          <x14:formula1>
            <xm:f>wavy2!$A$19:$A$20</xm:f>
          </x14:formula1>
          <xm:sqref>BE9</xm:sqref>
        </x14:dataValidation>
        <x14:dataValidation type="list" allowBlank="1" showInputMessage="1" showErrorMessage="1" xr:uid="{62CF5D15-00D1-4517-A41E-825C04F567C1}">
          <x14:formula1>
            <xm:f>wavy1!$A$19:$A$20</xm:f>
          </x14:formula1>
          <xm:sqref>AT9</xm:sqref>
        </x14:dataValidation>
        <x14:dataValidation type="list" allowBlank="1" showInputMessage="1" showErrorMessage="1" xr:uid="{08F5680F-64E3-4EDF-8FA8-4F76830BF5CF}">
          <x14:formula1>
            <xm:f>Sheet2!$B$5:$B$7</xm:f>
          </x14:formula1>
          <xm:sqref>T25 T46 T64</xm:sqref>
        </x14:dataValidation>
        <x14:dataValidation type="list" allowBlank="1" showInputMessage="1" showErrorMessage="1" xr:uid="{841DE807-A85E-4142-9A89-38E4E3BE013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E4F6A9F-08D8-4DB0-9FDF-B6577ECD538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B113E7E-E567-4B21-9942-351213EAEB51}">
          <x14:formula1>
            <xm:f>Sheet2!$C$5:$C$6</xm:f>
          </x14:formula1>
          <xm:sqref>T26</xm:sqref>
        </x14:dataValidation>
        <x14:dataValidation type="list" allowBlank="1" showInputMessage="1" showErrorMessage="1" xr:uid="{6F9667A5-9E9F-44E3-A7FC-5C8BF43205F1}">
          <x14:formula1>
            <xm:f>Sheet2!$A$5</xm:f>
          </x14:formula1>
          <xm:sqref>U31</xm:sqref>
        </x14:dataValidation>
        <x14:dataValidation type="list" allowBlank="1" showInputMessage="1" showErrorMessage="1" xr:uid="{9F73D43E-E7FA-4237-A6AE-744769BE59D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A05142F-4C9C-4769-B10E-3013F6E1BEE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509DF77-6728-4D9B-A616-69AE1AB70C2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38D109D-9197-4E0D-92C9-6213F454E17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7B612C6-D045-415F-96B2-C39E364AF37C}">
          <x14:formula1>
            <xm:f>Sheet2!$D$5:$D$6</xm:f>
          </x14:formula1>
          <xm:sqref>T32 T53 T71</xm:sqref>
        </x14:dataValidation>
        <x14:dataValidation type="list" allowBlank="1" showInputMessage="1" showErrorMessage="1" xr:uid="{746A9F14-555B-48B7-ADE9-78FC39CA1891}">
          <x14:formula1>
            <xm:f>Sheet2!$A$6</xm:f>
          </x14:formula1>
          <xm:sqref>AC36</xm:sqref>
        </x14:dataValidation>
        <x14:dataValidation type="list" allowBlank="1" showInputMessage="1" showErrorMessage="1" xr:uid="{3F97FFF5-BBE2-4277-8FC1-9A7B377F62A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5"/>
      <c r="I8" s="805"/>
      <c r="J8" s="805"/>
      <c r="K8" s="806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5"/>
      <c r="I16" s="805"/>
      <c r="J16" s="805"/>
      <c r="K16" s="806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45525.534306932874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6" t="s">
        <v>60</v>
      </c>
      <c r="E10" s="646"/>
      <c r="F10" s="646"/>
      <c r="G10" s="646"/>
      <c r="H10" s="646"/>
      <c r="I10" s="646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6" t="s">
        <v>76</v>
      </c>
      <c r="E15" s="646"/>
      <c r="F15" s="646"/>
      <c r="G15" s="646"/>
      <c r="H15" s="646"/>
      <c r="I15" s="646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46" t="s">
        <v>99</v>
      </c>
      <c r="E28" s="646"/>
      <c r="F28" s="646"/>
      <c r="G28" s="646"/>
      <c r="H28" s="646"/>
      <c r="I28" s="646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6" t="s">
        <v>102</v>
      </c>
      <c r="E33" s="646"/>
      <c r="F33" s="646"/>
      <c r="G33" s="646"/>
      <c r="H33" s="646"/>
      <c r="I33" s="646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6" t="s">
        <v>119</v>
      </c>
      <c r="E51" s="646"/>
      <c r="F51" s="646"/>
      <c r="G51" s="646"/>
      <c r="H51" s="646"/>
      <c r="I51" s="646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6" t="s">
        <v>123</v>
      </c>
      <c r="E56" s="646"/>
      <c r="F56" s="646"/>
      <c r="G56" s="646"/>
      <c r="H56" s="646"/>
      <c r="I56" s="646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6" t="s">
        <v>133</v>
      </c>
      <c r="E61" s="646"/>
      <c r="F61" s="646"/>
      <c r="G61" s="646"/>
      <c r="H61" s="646"/>
      <c r="I61" s="646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39"/>
      <c r="E77" s="639"/>
      <c r="F77" s="639"/>
      <c r="G77" s="639"/>
      <c r="H77" s="639"/>
      <c r="I77" s="639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25676E8-74C2-4B21-B08F-A87ED259CCEB}">
      <formula1>$N$2:$N$20</formula1>
    </dataValidation>
    <dataValidation type="list" allowBlank="1" showInputMessage="1" showErrorMessage="1" sqref="G63:G75" xr:uid="{A8F5E2B4-FD56-421B-8416-AACFC70DE4C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45525.534307118054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6" t="s">
        <v>60</v>
      </c>
      <c r="E11" s="646"/>
      <c r="F11" s="646"/>
      <c r="G11" s="646"/>
      <c r="H11" s="646"/>
      <c r="I11" s="646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46" t="s">
        <v>76</v>
      </c>
      <c r="E16" s="646"/>
      <c r="F16" s="646"/>
      <c r="G16" s="646"/>
      <c r="H16" s="646"/>
      <c r="I16" s="646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46" t="s">
        <v>99</v>
      </c>
      <c r="E29" s="646"/>
      <c r="F29" s="646"/>
      <c r="G29" s="646"/>
      <c r="H29" s="646"/>
      <c r="I29" s="646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46" t="s">
        <v>102</v>
      </c>
      <c r="E34" s="646"/>
      <c r="F34" s="646"/>
      <c r="G34" s="646"/>
      <c r="H34" s="646"/>
      <c r="I34" s="646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6" t="s">
        <v>119</v>
      </c>
      <c r="E52" s="646"/>
      <c r="F52" s="646"/>
      <c r="G52" s="646"/>
      <c r="H52" s="646"/>
      <c r="I52" s="646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46" t="s">
        <v>123</v>
      </c>
      <c r="E57" s="646"/>
      <c r="F57" s="646"/>
      <c r="G57" s="646"/>
      <c r="H57" s="646"/>
      <c r="I57" s="646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46" t="s">
        <v>131</v>
      </c>
      <c r="E62" s="646"/>
      <c r="F62" s="646"/>
      <c r="G62" s="646"/>
      <c r="H62" s="646"/>
      <c r="I62" s="646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46" t="s">
        <v>133</v>
      </c>
      <c r="E66" s="646"/>
      <c r="F66" s="646"/>
      <c r="G66" s="646"/>
      <c r="H66" s="646"/>
      <c r="I66" s="646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39"/>
      <c r="E82" s="639"/>
      <c r="F82" s="639"/>
      <c r="G82" s="639"/>
      <c r="H82" s="639"/>
      <c r="I82" s="639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06275F8-792B-40B6-8767-709B259F7156}">
      <formula1>$U$4:$U$5</formula1>
    </dataValidation>
    <dataValidation type="list" allowBlank="1" showInputMessage="1" showErrorMessage="1" sqref="F72:F80" xr:uid="{4595FED9-A738-4534-A56D-285450D617CB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7" t="s">
        <v>17</v>
      </c>
      <c r="M3" s="648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9">
        <f>NOW()</f>
        <v>45525.534307118054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CAF4EAC-4442-4587-BE47-C22733B7AFF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7" t="s">
        <v>17</v>
      </c>
      <c r="M3" s="648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9">
        <f>NOW()</f>
        <v>45525.534307118054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0AC28AD-B371-4C59-80CF-E51483C2B4F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484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484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60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3348.75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180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179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179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10.6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179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179</v>
      </c>
      <c r="B10" s="331">
        <v>3.3</v>
      </c>
      <c r="C10" s="331">
        <v>16.5</v>
      </c>
      <c r="E10" s="331" t="s">
        <v>225</v>
      </c>
      <c r="F10" s="331">
        <f>W11</f>
        <v>225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225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12167.675000000001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9359.75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528</v>
      </c>
      <c r="F18" s="323" t="s">
        <v>214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178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201</v>
      </c>
      <c r="H19" s="331" t="s">
        <v>531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6" t="s">
        <v>133</v>
      </c>
      <c r="M29" s="646"/>
      <c r="N29" s="646"/>
      <c r="O29" s="646"/>
      <c r="P29" s="646"/>
      <c r="Q29" s="646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6" t="s">
        <v>133</v>
      </c>
      <c r="M62" s="646"/>
      <c r="N62" s="646"/>
      <c r="O62" s="646"/>
      <c r="P62" s="646"/>
      <c r="Q62" s="646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DD5C360-C79A-43DD-BD81-E0E7214E0A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58" zoomScale="70" zoomScaleNormal="70" workbookViewId="0">
      <selection activeCell="F97" sqref="F9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400</v>
      </c>
      <c r="E1" s="546" t="s">
        <v>125</v>
      </c>
      <c r="F1" s="547">
        <f>تسعير!AT33</f>
        <v>500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40" t="s">
        <v>0</v>
      </c>
      <c r="BH1" s="641"/>
      <c r="BI1" s="642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43"/>
      <c r="M2" s="644"/>
      <c r="N2" s="645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43"/>
      <c r="BH2" s="644"/>
      <c r="BI2" s="645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25</v>
      </c>
      <c r="C3" s="553">
        <f>F1-16.5</f>
        <v>483.5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81937.5</v>
      </c>
      <c r="G3" s="540"/>
      <c r="H3" s="551">
        <f>IF(AND((C3&gt;=150),(C3&lt;201)),4,IF(AND((C3&gt;=201),(C3&lt;251)),5,IF(AND((C3&gt;=251),(C3&lt;401)),4,IF(AND((C3&gt;=401),(C3&lt;501)),5,0))))</f>
        <v>5</v>
      </c>
      <c r="I3" s="284">
        <f ref="I3:I8" t="shared" si="0">(H3*100)/C3</f>
        <v>1.0341261633919339</v>
      </c>
      <c r="J3" s="554">
        <f ref="J3:J8" t="shared" si="1">B3/(ROUNDDOWN(I3,0))</f>
        <v>25</v>
      </c>
      <c r="L3" s="647" t="s">
        <v>17</v>
      </c>
      <c r="M3" s="648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9">
        <f>NOW()</f>
        <v>45525.534307118054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383.5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47" t="s">
        <v>17</v>
      </c>
      <c r="BH3" s="648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9">
        <f>NOW()</f>
        <v>45525.534307118054</v>
      </c>
      <c r="BN3" s="650"/>
      <c r="BO3" s="650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500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</v>
      </c>
      <c r="J4" s="554">
        <f t="shared" si="1"/>
        <v>2</v>
      </c>
      <c r="K4" s="1"/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400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46" t="s">
        <v>20</v>
      </c>
      <c r="BK4" s="646"/>
      <c r="BL4" s="646"/>
      <c r="BM4" s="646"/>
      <c r="BN4" s="646"/>
      <c r="BO4" s="646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400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1.25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500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0.010450278674097976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0.010450278674097976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400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1.25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0.027134056908184219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0.027134056908184219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483.5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1852.5</v>
      </c>
      <c r="G8" s="555"/>
      <c r="H8" s="551">
        <f>IF(AND((C8&gt;=150),(C8&lt;201)),4,IF(AND((C8&gt;=201),(C8&lt;251)),5,IF(AND((C8&gt;=251),(C8&lt;401)),4,IF(AND((C8&gt;=401),(C8&lt;501)),5,0))))</f>
        <v>5</v>
      </c>
      <c r="I8" s="284">
        <f t="shared" si="0"/>
        <v>1.0341261633919339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0.032267527134056909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0.032267527134056909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378.4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50</v>
      </c>
      <c r="D10" s="550" t="s">
        <v>28</v>
      </c>
      <c r="E10" s="550">
        <v>20</v>
      </c>
      <c r="F10" s="550">
        <f>E10*C10</f>
        <v>1000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50</v>
      </c>
      <c r="D11" s="550" t="s">
        <v>28</v>
      </c>
      <c r="E11" s="550">
        <v>18</v>
      </c>
      <c r="F11" s="550">
        <f>E11*C11</f>
        <v>900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0.0698518627163391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0.0698518627163391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46" t="s">
        <v>76</v>
      </c>
      <c r="P12" s="646"/>
      <c r="Q12" s="646"/>
      <c r="R12" s="646"/>
      <c r="S12" s="646"/>
      <c r="T12" s="646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6" t="s">
        <v>76</v>
      </c>
      <c r="BK12" s="646"/>
      <c r="BL12" s="646"/>
      <c r="BM12" s="646"/>
      <c r="BN12" s="646"/>
      <c r="BO12" s="646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0.0032593461751572635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0.0032593461751572635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50</v>
      </c>
      <c r="D15" s="550" t="s">
        <v>28</v>
      </c>
      <c r="E15" s="550">
        <v>120</v>
      </c>
      <c r="F15" s="550">
        <f>C15*E15</f>
        <v>6000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0.00089632019816824747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0.00089632019816824747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50</v>
      </c>
      <c r="D16" s="550" t="s">
        <v>28</v>
      </c>
      <c r="E16" s="550">
        <v>120</v>
      </c>
      <c r="F16" s="550">
        <f>C16*E16</f>
        <v>6000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0.00052964375346305529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0.00052964375346305529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0.0032593461751572635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0.0032593461751572635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121</v>
      </c>
      <c r="D18" s="550" t="s">
        <v>564</v>
      </c>
      <c r="E18" s="550">
        <v>10</v>
      </c>
      <c r="F18" s="550">
        <f>C18*E18</f>
        <v>1210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121</v>
      </c>
      <c r="D19" s="566"/>
      <c r="E19" s="566">
        <v>20</v>
      </c>
      <c r="F19" s="550">
        <f ref="F19:F20" t="shared" si="7">C19*E19</f>
        <v>2420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0.007944656301945829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0.007944656301945829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9</v>
      </c>
      <c r="D20" s="550" t="s">
        <v>28</v>
      </c>
      <c r="E20" s="550">
        <v>250</v>
      </c>
      <c r="F20" s="550">
        <f t="shared" si="7"/>
        <v>2250</v>
      </c>
      <c r="G20" s="540"/>
      <c r="H20" s="540"/>
      <c r="I20" s="540"/>
      <c r="J20" s="540"/>
      <c r="L20" s="216"/>
      <c r="M20" s="216"/>
      <c r="N20" s="217"/>
      <c r="O20" s="646" t="s">
        <v>99</v>
      </c>
      <c r="P20" s="646"/>
      <c r="Q20" s="646"/>
      <c r="R20" s="646"/>
      <c r="S20" s="646"/>
      <c r="T20" s="646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6" t="s">
        <v>99</v>
      </c>
      <c r="BK20" s="646"/>
      <c r="BL20" s="646"/>
      <c r="BM20" s="646"/>
      <c r="BN20" s="646"/>
      <c r="BO20" s="646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9</v>
      </c>
      <c r="D21" s="550" t="s">
        <v>28</v>
      </c>
      <c r="E21" s="550">
        <v>40</v>
      </c>
      <c r="F21" s="550">
        <f>E21*C21</f>
        <v>360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0.0044001173364623053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0.0044001173364623053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0.0025667351129363448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0.0025667351129363448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0.0011000293341155763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0.0011000293341155763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0.0080668817835142272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0.0080668817835142272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6" t="s">
        <v>102</v>
      </c>
      <c r="P26" s="646"/>
      <c r="Q26" s="646"/>
      <c r="R26" s="646"/>
      <c r="S26" s="646"/>
      <c r="T26" s="64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6" t="s">
        <v>102</v>
      </c>
      <c r="BK26" s="646"/>
      <c r="BL26" s="646"/>
      <c r="BM26" s="646"/>
      <c r="BN26" s="646"/>
      <c r="BO26" s="64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0.00030556370392099345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0.00022000586682311527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0.00030556370392099345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0.00022000586682311527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0.00016296730875786316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0.00010185456797366448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0.0006111274078419869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0.0006111274078419869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0.00032593461751572632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0.00032593461751572632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0.0017111567419575632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0.0017111567419575632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0.075657573090837982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0.049012418108927348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0.0387047358299925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0.0387047358299925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0.042778918548939081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0.042778918548939081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0.0032593461751572635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0.0032593461751572635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0.0032593461751572635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0.0032593461751572635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0.16685000488901927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0.1404370783220886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6" t="s">
        <v>131</v>
      </c>
      <c r="BK44" s="646"/>
      <c r="BL44" s="646"/>
      <c r="BM44" s="646"/>
      <c r="BN44" s="646"/>
      <c r="BO44" s="64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6" t="s">
        <v>131</v>
      </c>
      <c r="P45" s="646"/>
      <c r="Q45" s="646"/>
      <c r="R45" s="646"/>
      <c r="S45" s="646"/>
      <c r="T45" s="64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0.33592247645122386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0.63121312864639356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0.033592247645122385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0.063121312864639359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0.36951472409634623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0.69433444151103285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6" t="s">
        <v>133</v>
      </c>
      <c r="BK49" s="646"/>
      <c r="BL49" s="646"/>
      <c r="BM49" s="646"/>
      <c r="BN49" s="646"/>
      <c r="BO49" s="64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6" t="s">
        <v>133</v>
      </c>
      <c r="P50" s="646"/>
      <c r="Q50" s="646"/>
      <c r="R50" s="646"/>
      <c r="S50" s="646"/>
      <c r="T50" s="64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0.0015074476060102343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0.0016296730875786317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0.0015074476060102343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0.0016296730875786317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0.0045223428180307034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0.0048890192627358952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0.010103973142987516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6" s="240">
        <f t="shared" si="17" ca="1"/>
        <v>2600</v>
      </c>
      <c r="W56" s="241">
        <f t="shared" si="18" ca="1"/>
        <v>0.010592875069261105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0.0075779798572406373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7" s="240">
        <f t="shared" si="17" ca="1"/>
        <v>1950</v>
      </c>
      <c r="W57" s="241">
        <f t="shared" si="18" ca="1"/>
        <v>0.007944656301945829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0.010103973142987516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9" s="240">
        <f t="shared" si="17" ca="1"/>
        <v>2600</v>
      </c>
      <c r="W59" s="241">
        <f t="shared" si="18" ca="1"/>
        <v>0.010592875069261105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0.01075584237801897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0.01075584237801897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0.0091669111176298033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0.0091669111176298033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0.018741240507154266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0.018741240507154266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0.0034223134839151265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0.0034223134839151265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0.077409471659985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4390</v>
      </c>
      <c r="T65" s="518"/>
      <c r="U65" s="523"/>
      <c r="V65" s="524">
        <f>SUBTOTAL(109,Table16126776[اجمالي])</f>
        <v>19480</v>
      </c>
      <c r="W65" s="525">
        <f>Table16126776[[#Totals],[اجمالي]]/$R$68</f>
        <v>0.079365079365079361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9"/>
      <c r="BK65" s="639"/>
      <c r="BL65" s="639"/>
      <c r="BM65" s="639"/>
      <c r="BN65" s="639"/>
      <c r="BO65" s="63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9"/>
      <c r="P66" s="639"/>
      <c r="Q66" s="639"/>
      <c r="R66" s="639"/>
      <c r="S66" s="639"/>
      <c r="T66" s="63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171724.65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245448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223242.045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0.3</v>
      </c>
      <c r="R69" s="295">
        <f>R68*(1+Table187079[[#This Row],[Column3]])</f>
        <v>319082.4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1" t="s">
        <v>0</v>
      </c>
      <c r="BH71" s="641"/>
      <c r="BI71" s="641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1" t="s">
        <v>0</v>
      </c>
      <c r="M72" s="641"/>
      <c r="N72" s="641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51"/>
      <c r="BH72" s="651"/>
      <c r="BI72" s="651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1"/>
      <c r="M73" s="651"/>
      <c r="N73" s="651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53" t="s">
        <v>17</v>
      </c>
      <c r="BH73" s="653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0">
        <f>NOW()</f>
        <v>45525.534307476853</v>
      </c>
      <c r="BN73" s="650"/>
      <c r="BO73" s="650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426</v>
      </c>
      <c r="D74" s="547">
        <f>تسعير!BE34</f>
        <v>400</v>
      </c>
      <c r="E74" s="546" t="s">
        <v>125</v>
      </c>
      <c r="F74" s="547">
        <f>تسعير!BE33</f>
        <v>500</v>
      </c>
      <c r="G74" s="546" t="s">
        <v>172</v>
      </c>
      <c r="H74" s="547" t="str">
        <f>تسعير!BE26</f>
        <v>خشبي</v>
      </c>
      <c r="I74" s="548" t="str">
        <f>تسعير!BE32</f>
        <v>بالتات</v>
      </c>
      <c r="J74" s="548"/>
      <c r="K74" s="167"/>
      <c r="L74" s="652" t="s">
        <v>17</v>
      </c>
      <c r="M74" s="652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304" t="s">
        <v>18</v>
      </c>
      <c r="R74" s="650">
        <f>NOW()</f>
        <v>45525.534307476853</v>
      </c>
      <c r="S74" s="650"/>
      <c r="T74" s="650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383.5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8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46" t="s">
        <v>20</v>
      </c>
      <c r="BK74" s="646"/>
      <c r="BL74" s="646"/>
      <c r="BM74" s="646"/>
      <c r="BN74" s="646"/>
      <c r="BO74" s="646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46" t="s">
        <v>20</v>
      </c>
      <c r="P75" s="646"/>
      <c r="Q75" s="646"/>
      <c r="R75" s="646"/>
      <c r="S75" s="646"/>
      <c r="T75" s="646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400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25</v>
      </c>
      <c r="C76" s="553">
        <f>F74-16.5</f>
        <v>483.5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81937.5</v>
      </c>
      <c r="G76" s="540"/>
      <c r="H76" s="551">
        <f>IF(AND((C76&gt;=150),(C76&lt;201)),4,IF(AND((C76&gt;=201),(C76&lt;251)),5,IF(AND((C76&gt;=251),(C76&lt;401)),4,IF(AND((C76&gt;=401),(C76&lt;501)),5,0))))</f>
        <v>5</v>
      </c>
      <c r="I76" s="284">
        <f ref="I76:I81" t="shared" si="21">(H76*100)/C76</f>
        <v>1.0341261633919339</v>
      </c>
      <c r="J76" s="554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0.030800821355236138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500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10830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1"/>
        <v>1</v>
      </c>
      <c r="J77" s="554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0.030800821355236138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0.027134056908184219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400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10830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1"/>
        <v>1.25</v>
      </c>
      <c r="J78" s="554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0.027134056908184219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0.032267527134056909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500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4845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1"/>
        <v>1</v>
      </c>
      <c r="J79" s="554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0.032267527134056909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400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4845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1"/>
        <v>1.25</v>
      </c>
      <c r="J80" s="554">
        <f t="shared" si="22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483.5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1852.5</v>
      </c>
      <c r="G81" s="555"/>
      <c r="H81" s="551">
        <f>IF(AND((C81&gt;=150),(C81&lt;201)),4,IF(AND((C81&gt;=201),(C81&lt;251)),5,IF(AND((C81&gt;=251),(C81&lt;401)),4,IF(AND((C81&gt;=401),(C81&lt;501)),5,0))))</f>
        <v>5</v>
      </c>
      <c r="I81" s="284">
        <f t="shared" si="21"/>
        <v>1.0341261633919339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0.090202405397477273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378.4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0.090202405397477273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6" t="s">
        <v>76</v>
      </c>
      <c r="BK82" s="646"/>
      <c r="BL82" s="646"/>
      <c r="BM82" s="646"/>
      <c r="BN82" s="646"/>
      <c r="BO82" s="646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46" t="s">
        <v>76</v>
      </c>
      <c r="P83" s="646"/>
      <c r="Q83" s="646"/>
      <c r="R83" s="646"/>
      <c r="S83" s="646"/>
      <c r="T83" s="646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0.0048890192627358952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0.0032593461751572635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5668.5406250000005</v>
      </c>
      <c r="AX85" s="310"/>
      <c r="AY85" s="310"/>
      <c r="AZ85" s="310"/>
      <c r="BA85" s="310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0.00089632019816824747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0.00089632019816824747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0.00052964375346305529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0.00052964375346305529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0.0019556077050943582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0.0032593461751572635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0.0082705909194615568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0.007944656301945829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6" t="s">
        <v>99</v>
      </c>
      <c r="BK90" s="646"/>
      <c r="BL90" s="646"/>
      <c r="BM90" s="646"/>
      <c r="BN90" s="646"/>
      <c r="BO90" s="646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121</v>
      </c>
      <c r="D91" s="550" t="s">
        <v>564</v>
      </c>
      <c r="E91" s="550">
        <v>10</v>
      </c>
      <c r="F91" s="550">
        <f>C91*E91</f>
        <v>1210</v>
      </c>
      <c r="G91" s="555"/>
      <c r="H91" s="540"/>
      <c r="I91" s="540"/>
      <c r="J91" s="540"/>
      <c r="K91" s="187"/>
      <c r="L91" s="216"/>
      <c r="M91" s="216"/>
      <c r="N91" s="217"/>
      <c r="O91" s="646" t="s">
        <v>99</v>
      </c>
      <c r="P91" s="646"/>
      <c r="Q91" s="646"/>
      <c r="R91" s="646"/>
      <c r="S91" s="646"/>
      <c r="T91" s="646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121</v>
      </c>
      <c r="D92" s="550" t="s">
        <v>564</v>
      </c>
      <c r="E92" s="566">
        <v>20</v>
      </c>
      <c r="F92" s="550">
        <f ref="F92:F93" t="shared" si="25">C92*E92</f>
        <v>2420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0.00880023467292461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9</v>
      </c>
      <c r="D93" s="550" t="s">
        <v>28</v>
      </c>
      <c r="E93" s="550">
        <v>250</v>
      </c>
      <c r="F93" s="550">
        <f t="shared" si="25"/>
        <v>2250</v>
      </c>
      <c r="G93" s="540"/>
      <c r="H93" s="540"/>
      <c r="I93" s="540"/>
      <c r="J93" s="540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0.00880023467292461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0.0022000586682311527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0.0022000586682311527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0.011000293341155765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0.011000293341155765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6" t="s">
        <v>102</v>
      </c>
      <c r="BK96" s="646"/>
      <c r="BL96" s="646"/>
      <c r="BM96" s="646"/>
      <c r="BN96" s="646"/>
      <c r="BO96" s="64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46" t="s">
        <v>102</v>
      </c>
      <c r="P97" s="646"/>
      <c r="Q97" s="646"/>
      <c r="R97" s="646"/>
      <c r="S97" s="646"/>
      <c r="T97" s="64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0.00022000586682311527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0.00030556370392099345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0.00022000586682311527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0.00030556370392099345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0.00010185456797366448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0.00016296730875786316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0.0006111274078419869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0.0006111274078419869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0.00032593461751572632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0.00032593461751572632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0.0017111567419575632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0.0017111567419575632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9" t="s">
        <v>132</v>
      </c>
      <c r="BJ107" s="581"/>
      <c r="BK107" s="581"/>
      <c r="BL107" s="581"/>
      <c r="BM107" s="583"/>
      <c r="BN107" s="582"/>
      <c r="BO107" s="211"/>
      <c r="BP107" s="248">
        <v>30</v>
      </c>
      <c r="BQ107" s="240">
        <f t="shared" si="26"/>
        <v>15120</v>
      </c>
      <c r="BR107" s="251">
        <f t="shared" si="27" ca="1"/>
        <v>0.061601642710472276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77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9" t="s">
        <v>62</v>
      </c>
      <c r="BJ108" s="581"/>
      <c r="BK108" s="581"/>
      <c r="BL108" s="581"/>
      <c r="BM108" s="583" t="s">
        <v>115</v>
      </c>
      <c r="BN108" s="582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0.04838091978749063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0.061601642710472276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7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9" t="s">
        <v>70</v>
      </c>
      <c r="BJ109" s="581"/>
      <c r="BK109" s="581"/>
      <c r="BL109" s="581"/>
      <c r="BM109" s="584" t="s">
        <v>116</v>
      </c>
      <c r="BN109" s="582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0.053473648186173853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0.04838091978749063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7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9" t="s">
        <v>78</v>
      </c>
      <c r="BJ110" s="581"/>
      <c r="BK110" s="581"/>
      <c r="BL110" s="581"/>
      <c r="BM110" s="584" t="s">
        <v>117</v>
      </c>
      <c r="BN110" s="582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0.0032593461751572635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0.053473648186173853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7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9" t="s">
        <v>80</v>
      </c>
      <c r="BJ111" s="581"/>
      <c r="BK111" s="581"/>
      <c r="BL111" s="581"/>
      <c r="BM111" s="584" t="s">
        <v>117</v>
      </c>
      <c r="BN111" s="582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0.0032593461751572635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0.0032593461751572635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76"/>
      <c r="BI112" s="578"/>
      <c r="BJ112" s="580"/>
      <c r="BK112" s="580"/>
      <c r="BL112" s="580"/>
      <c r="BM112" s="582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9" t="s">
        <v>58</v>
      </c>
      <c r="BH113" s="570"/>
      <c r="BI113" s="571" t="s">
        <v>58</v>
      </c>
      <c r="BJ113" s="572"/>
      <c r="BK113" s="572"/>
      <c r="BL113" s="572"/>
      <c r="BM113" s="569" t="s">
        <v>118</v>
      </c>
      <c r="BN113" s="569"/>
      <c r="BO113" s="569"/>
      <c r="BP113" s="573"/>
      <c r="BQ113" s="574">
        <f>SUBTOTAL(109,Table13597192103[اجمالي])</f>
        <v>42503</v>
      </c>
      <c r="BR113" s="575">
        <f>Table13597192103[[#Totals],[اجمالي]]/$R$68</f>
        <v>0.17316498810338646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41760</v>
      </c>
      <c r="W114" s="525">
        <f>Table13597192[[#Totals],[اجمالي]]/$R$68</f>
        <v>0.17013787034320915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6" t="s">
        <v>131</v>
      </c>
      <c r="BK115" s="646"/>
      <c r="BL115" s="646"/>
      <c r="BM115" s="646"/>
      <c r="BN115" s="646"/>
      <c r="BO115" s="64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6" t="s">
        <v>131</v>
      </c>
      <c r="P116" s="646"/>
      <c r="Q116" s="646"/>
      <c r="R116" s="646"/>
      <c r="S116" s="646"/>
      <c r="T116" s="64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0.33592247645122386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0.63121312864639356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0.033592247645122385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0.063121312864639359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0.36951472409634623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0.69433444151103285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6" t="s">
        <v>133</v>
      </c>
      <c r="BK120" s="646"/>
      <c r="BL120" s="646"/>
      <c r="BM120" s="646"/>
      <c r="BN120" s="646"/>
      <c r="BO120" s="64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6" t="s">
        <v>133</v>
      </c>
      <c r="P121" s="646"/>
      <c r="Q121" s="646"/>
      <c r="R121" s="646"/>
      <c r="S121" s="646"/>
      <c r="T121" s="64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0.0015074476060102343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0.0016296730875786317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0.0015074476060102343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0.0016296730875786317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0.0045223428180307034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0.0048890192627358952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0.010103973142987516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0.010592875069261105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0.0075779798572406373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0.007944656301945829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0.010103973142987516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0.010592875069261105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0.01075584237801897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0.01075584237801897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0.0091669111176298033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0.0091669111176298033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0.018741240507154266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0.018741240507154266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0.0034223134839151265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0.0034223134839151265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0.077409471659985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0.079365079365079361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9"/>
      <c r="BK136" s="639"/>
      <c r="BL136" s="639"/>
      <c r="BM136" s="639"/>
      <c r="BN136" s="639"/>
      <c r="BO136" s="63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9"/>
      <c r="P137" s="639"/>
      <c r="Q137" s="639"/>
      <c r="R137" s="639"/>
      <c r="S137" s="639"/>
      <c r="T137" s="63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179069.65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258453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232790.545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335988.9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FA1E11A4-1C89-4A3B-BC0A-945AE7E4DCE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1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Φωτισμου'!B9</f>
        <v>4</v>
      </c>
    </row>
    <row r="19" ht="18" customHeight="1">
      <c r="A19" s="668" t="s">
        <v>433</v>
      </c>
      <c r="B19" s="669"/>
      <c r="C19" s="14">
        <f>'Format Φωτισμου'!B12</f>
        <v>8</v>
      </c>
    </row>
    <row r="20" ht="18" customHeight="1">
      <c r="A20" s="668" t="s">
        <v>434</v>
      </c>
      <c r="B20" s="669"/>
      <c r="C20" s="14">
        <f>C19/C18</f>
        <v>2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5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2024-08-20T09:15:31Z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