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worksheet+xml" PartName="/xl/worksheets/sheet21.xml"/>
  <Override ContentType="application/vnd.openxmlformats-officedocument.spreadsheetml.externalLink+xml" PartName="/xl/externalLinks/externalLink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comments+xml" PartName="/xl/comments1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comments+xml" PartName="/xl/comments2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spreadsheetml.table+xml" PartName="/xl/tables/table113.xml"/>
  <Override ContentType="application/vnd.openxmlformats-officedocument.spreadsheetml.table+xml" PartName="/xl/tables/table114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D:\work\"/>
    </mc:Choice>
  </mc:AlternateContent>
  <xr:revisionPtr revIDLastSave="0" documentId="13_ncr:1_{0E870E26-0730-4E66-BAED-8C1463FB6F5D}" xr6:coauthVersionLast="47" xr6:coauthVersionMax="47" xr10:uidLastSave="{00000000-0000-0000-0000-000000000000}"/>
  <bookViews>
    <workbookView xWindow="-108" yWindow="-108" windowWidth="23256" windowHeight="12576" tabRatio="641" xr2:uid="{00000000-000D-0000-FFFF-FFFF00000000}"/>
  </bookViews>
  <sheets>
    <sheet name="Sheet2" sheetId="1" r:id="rId1"/>
    <sheet name="تسعير" sheetId="3" r:id="rId2"/>
    <sheet name="شماسي كانتليفر" sheetId="27" r:id="rId3"/>
    <sheet name="Royal" sheetId="2" r:id="rId4"/>
    <sheet name="Royal2" sheetId="23" r:id="rId5"/>
    <sheet name="wavy1" sheetId="22" r:id="rId6"/>
    <sheet name="wavy2" sheetId="25" r:id="rId7"/>
    <sheet name="شماسي و كانتليفر" sheetId="24" r:id="rId8"/>
    <sheet name="بيرسا و لوفرز" sheetId="26" r:id="rId9"/>
    <sheet name="تسجيل1" sheetId="4" state="hidden" r:id="rId10"/>
    <sheet name="Cutting Ro-1" sheetId="5" r:id="rId11"/>
    <sheet name="تسجيل2" sheetId="10" state="hidden" r:id="rId12"/>
    <sheet name="Cutting Ro-2" sheetId="11" state="hidden" r:id="rId13"/>
    <sheet name="Format (2)" sheetId="12" state="hidden" r:id="rId14"/>
    <sheet name="Format Οδηγων (2)" sheetId="13" state="hidden" r:id="rId15"/>
    <sheet name="Format Φωτισμου (2)" sheetId="14" state="hidden" r:id="rId16"/>
    <sheet name="Format διαστασης οδηγου (2)" sheetId="15" state="hidden" r:id="rId17"/>
    <sheet name="Format" sheetId="6" state="hidden" r:id="rId18"/>
    <sheet name="Format Οδηγων" sheetId="7" state="hidden" r:id="rId19"/>
    <sheet name="Format Φωτισμου" sheetId="8" state="hidden" r:id="rId20"/>
    <sheet name="Format διαστασης οδηγου" sheetId="9" state="hidden" r:id="rId21"/>
  </sheets>
  <externalReferences>
    <externalReference r:id="rId22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3">Royal!$A$1:$Z$85</definedName>
    <definedName name="_xlnm.Print_Area" localSheetId="4">Royal2!$A$1:$L$87</definedName>
    <definedName name="_xlnm.Print_Area" localSheetId="10">'Cutting Ro-1'!$A$1:$N$44</definedName>
    <definedName name="_xlnm.Print_Area" localSheetId="12">'Cutting Ro-2'!$A$1:$N$44</definedName>
  </definedNames>
  <calcPr calcId="191029" fullCalcOnLoad="1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4" authorId="0" shapeId="0" xr:uid="{00000000-0006-0000-02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5" authorId="0" shapeId="0" xr:uid="{00000000-0006-0000-03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<sst xmlns="http://schemas.openxmlformats.org/spreadsheetml/2006/main" count="680" uniqueCount="680">
  <si>
    <t>الشمسية الكانتليفر 2</t>
  </si>
  <si>
    <t>بقماش</t>
  </si>
  <si>
    <t>بدهان</t>
  </si>
  <si>
    <t>سعر البيع</t>
  </si>
  <si>
    <t>بالقاعدة</t>
  </si>
  <si>
    <t>كانتليفر 1</t>
  </si>
  <si>
    <t>بالقماش</t>
  </si>
  <si>
    <t>الخامة</t>
  </si>
  <si>
    <t>القطاع</t>
  </si>
  <si>
    <t>الشركة المنتجة</t>
  </si>
  <si>
    <t>وزن المتر</t>
  </si>
  <si>
    <t>الطول</t>
  </si>
  <si>
    <t>الوزن</t>
  </si>
  <si>
    <t>السعر</t>
  </si>
  <si>
    <t>التكلفة</t>
  </si>
  <si>
    <t>الومنيوم</t>
  </si>
  <si>
    <t>TN02</t>
  </si>
  <si>
    <t>يونيتال</t>
  </si>
  <si>
    <t>عادي</t>
  </si>
  <si>
    <t>م</t>
  </si>
  <si>
    <t>الصنف</t>
  </si>
  <si>
    <t>الوحده</t>
  </si>
  <si>
    <t>متطلبات انتاج الشمسيه 2.5</t>
  </si>
  <si>
    <t>متطلبات انتاج الشمسيه 3</t>
  </si>
  <si>
    <t>حهة التصنيع</t>
  </si>
  <si>
    <t>سعر</t>
  </si>
  <si>
    <t>3</t>
  </si>
  <si>
    <t>2.5</t>
  </si>
  <si>
    <t>ROOL-101</t>
  </si>
  <si>
    <t>دريمز</t>
  </si>
  <si>
    <t>محبب</t>
  </si>
  <si>
    <t>قطاع ريش شمسيه كانتليفر طول 3.7متر RTN05</t>
  </si>
  <si>
    <t>عدد</t>
  </si>
  <si>
    <t>كايرو ميتال</t>
  </si>
  <si>
    <t>ماسورة قطر 48 سمك 3مم</t>
  </si>
  <si>
    <t>اليومصر</t>
  </si>
  <si>
    <t>خشبي</t>
  </si>
  <si>
    <t>قطاع ريش شمسيه كانتليفر طول 6.8متر RTN05</t>
  </si>
  <si>
    <t>RTN 6</t>
  </si>
  <si>
    <t>بولي استر</t>
  </si>
  <si>
    <t>ماسوره 6سم طول 3.20متر</t>
  </si>
  <si>
    <t>بلاستيك و استانلس</t>
  </si>
  <si>
    <t>الخرشوفة العادية الهوكات البكر و قطع الاستانلس للريش و المسامير</t>
  </si>
  <si>
    <t>اليابانية و موردين التصنيع</t>
  </si>
  <si>
    <t>اسباني</t>
  </si>
  <si>
    <t>بكر للحبال للكانتليفر 1عجله</t>
  </si>
  <si>
    <t>المتحده</t>
  </si>
  <si>
    <t>القاعدة الحديدية</t>
  </si>
  <si>
    <t>تصنيع</t>
  </si>
  <si>
    <t>بكر للحبال للكانتليفر 2عجله</t>
  </si>
  <si>
    <t>دهانات اليكتروستاتيك</t>
  </si>
  <si>
    <t>اي</t>
  </si>
  <si>
    <t>بدون القاعدة</t>
  </si>
  <si>
    <t>تيله استانلس معدله للكانتليفر</t>
  </si>
  <si>
    <t>محلي</t>
  </si>
  <si>
    <t>قماش</t>
  </si>
  <si>
    <t xml:space="preserve">حرف  U للخرشوفه الحديد  للكانتليفر</t>
  </si>
  <si>
    <t>استانلس 3مم</t>
  </si>
  <si>
    <t xml:space="preserve"> شداد  طول 42سم عرض 4سم </t>
  </si>
  <si>
    <t>كانتليفر 2</t>
  </si>
  <si>
    <t>خرشوفه حديد مغلقه للكانتليفر</t>
  </si>
  <si>
    <t xml:space="preserve"> U صغير      </t>
  </si>
  <si>
    <t>خرشوفه حديد مفتوحه للكانتليفر</t>
  </si>
  <si>
    <t>استانلس 4مم</t>
  </si>
  <si>
    <t xml:space="preserve">شيال </t>
  </si>
  <si>
    <t>طابه لريش الشمسيه الكانتليفر</t>
  </si>
  <si>
    <t>اليابانيه</t>
  </si>
  <si>
    <t>Uكبير</t>
  </si>
  <si>
    <t>طقم ارتيلون 3قطع لخرشوفة الكانتليفر</t>
  </si>
  <si>
    <t>براكيت</t>
  </si>
  <si>
    <t>طبق علوي للكانتليفر (المتحده)</t>
  </si>
  <si>
    <t>بلاستيك</t>
  </si>
  <si>
    <t>مقبض + يد</t>
  </si>
  <si>
    <t>اليابانية</t>
  </si>
  <si>
    <t>عصفوره للحبال للكانتليفر</t>
  </si>
  <si>
    <t>بلاستيك و معدن</t>
  </si>
  <si>
    <t>عدد 2 عربية</t>
  </si>
  <si>
    <t>شداد حبال للكانتليفر</t>
  </si>
  <si>
    <t>مصد كاوتش</t>
  </si>
  <si>
    <t>برشام كبير</t>
  </si>
  <si>
    <t>حسام نصر</t>
  </si>
  <si>
    <t>استانلس</t>
  </si>
  <si>
    <t>مسامير</t>
  </si>
  <si>
    <t>حبال</t>
  </si>
  <si>
    <t>متر</t>
  </si>
  <si>
    <t>طبات مسامير</t>
  </si>
  <si>
    <t>متر طولي</t>
  </si>
  <si>
    <t>مستورد</t>
  </si>
  <si>
    <t>بشر</t>
  </si>
  <si>
    <t>عمال</t>
  </si>
  <si>
    <t>رويال تنت</t>
  </si>
  <si>
    <t>القاعدة كاملة</t>
  </si>
  <si>
    <t>Total</t>
  </si>
  <si>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</si>
  <si>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</si>
  <si>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</si>
  <si>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</si>
  <si>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</si>
  <si>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</si>
  <si>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</si>
  <si>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</si>
  <si>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</si>
  <si>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</si>
  <si>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</si>
  <si>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</si>
  <si>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</si>
  <si>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</si>
  <si>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</si>
  <si>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</si>
  <si>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</si>
  <si>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</si>
  <si>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</si>
  <si>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</si>
  <si>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</si>
  <si>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</si>
  <si>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</si>
  <si>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</si>
  <si>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</si>
  <si>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</si>
  <si>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</si>
  <si>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بيان</t>
  </si>
  <si>
    <t>Column2</t>
  </si>
  <si>
    <t>المسطح</t>
  </si>
  <si>
    <t>مسطح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</si>
  <si>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</si>
  <si>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</si>
  <si>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</si>
  <si>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</si>
  <si>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</si>
  <si>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</si>
  <si>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</si>
  <si>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</si>
  <si>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</si>
  <si>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</si>
  <si>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</si>
  <si>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</si>
  <si>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</si>
  <si>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</si>
  <si>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</si>
  <si>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</si>
  <si>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15*5*3mm</t>
  </si>
  <si>
    <t>البحيرة</t>
  </si>
  <si>
    <t>كيما بوكسي</t>
  </si>
  <si>
    <t>الغربية</t>
  </si>
  <si>
    <t>صنفرة</t>
  </si>
  <si>
    <t>1لوح / م2</t>
  </si>
  <si>
    <t xml:space="preserve">كمر حديد </t>
  </si>
  <si>
    <t>المنوفية</t>
  </si>
  <si>
    <t>JOTAMASTIC 87</t>
  </si>
  <si>
    <t>Column12</t>
  </si>
  <si>
    <t>الدقهلية</t>
  </si>
  <si>
    <t>HARDTOP XP</t>
  </si>
  <si>
    <t>كمر حديد(C) 14سم 12 متر</t>
  </si>
  <si>
    <t>شبك 12 م</t>
  </si>
  <si>
    <t>الشرقية</t>
  </si>
  <si>
    <t>THINNER 17</t>
  </si>
  <si>
    <t>كمر حديد(C) 14سم 6 متر</t>
  </si>
  <si>
    <t>كفر الشيخ</t>
  </si>
  <si>
    <t>THINNER 10</t>
  </si>
  <si>
    <t>دمياط</t>
  </si>
  <si>
    <t>مستلزمات حدادة و تركيبات</t>
  </si>
  <si>
    <t>بورسعيد</t>
  </si>
  <si>
    <t>سعر الكيلو</t>
  </si>
  <si>
    <t>السويس</t>
  </si>
  <si>
    <t>سلك لحام</t>
  </si>
  <si>
    <t>باكو 5كجم</t>
  </si>
  <si>
    <t>الاسماعيلية</t>
  </si>
  <si>
    <t>كفر كبير و صغير</t>
  </si>
  <si>
    <t>بالكيلو</t>
  </si>
  <si>
    <t>البحر الاحمر</t>
  </si>
  <si>
    <t>طارات قطعية</t>
  </si>
  <si>
    <t>شمال سيناء</t>
  </si>
  <si>
    <t>طارات جلخ</t>
  </si>
  <si>
    <t>جنوب سيناء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</si>
  <si>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</si>
  <si>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</si>
  <si>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</si>
  <si>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</si>
  <si>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</si>
  <si>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</si>
  <si>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</si>
  <si>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</si>
  <si>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</si>
  <si>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</si>
  <si>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Column3</t>
  </si>
  <si>
    <t>بالتة 10 مم 40 × 40</t>
  </si>
  <si>
    <t>حجبة مثلثة 10مم 10*10</t>
  </si>
  <si>
    <t>دهانات و مستلزمات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</si>
  <si>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</si>
  <si>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</si>
  <si>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</si>
  <si>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</si>
  <si>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</si>
  <si>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</si>
  <si>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</si>
  <si>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</si>
  <si>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</si>
  <si>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</si>
  <si>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</si>
  <si>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</si>
  <si>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جلفنة</t>
  </si>
  <si>
    <t>JOTAMASTIC 87 GREY</t>
  </si>
  <si>
    <t>18.7 L</t>
  </si>
  <si>
    <t>HARDTOP XP (WHITE/BLACK/GREY)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</si>
  <si>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</si>
  <si>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</si>
  <si>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</si>
  <si>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</si>
  <si>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</si>
  <si>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</si>
  <si>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</si>
  <si>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</si>
  <si>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</si>
  <si>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</si>
  <si>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</si>
  <si>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</si>
  <si>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</si>
  <si>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</si>
  <si>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برجولا فلات رويال</t>
  </si>
  <si>
    <t>الصيانة و الضمان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</si>
  <si>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</si>
  <si>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</si>
  <si>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</si>
  <si>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</si>
  <si>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</si>
  <si>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</si>
  <si>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</si>
  <si>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</si>
  <si>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</si>
  <si>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</si>
  <si>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</si>
  <si>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</si>
  <si>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</si>
  <si>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</si>
  <si>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</si>
  <si>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</si>
  <si>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</si>
  <si>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</si>
  <si>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</si>
  <si>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</si>
  <si>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</si>
  <si>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اجمالي التكلفة</t>
  </si>
  <si>
    <t>سعر البيع غير شامل الضريبة</t>
  </si>
  <si>
    <t>اجمالي الميزان</t>
  </si>
  <si>
    <t>علبة حديد 5*10*2mm</t>
  </si>
  <si>
    <t>JOTAMASTIC 80 GREY</t>
  </si>
  <si>
    <t>HARDTOP XP COLOR</t>
  </si>
  <si>
    <t>BARRIER 80</t>
  </si>
  <si>
    <t>جلفنة\</t>
  </si>
  <si>
    <t>برجولا فلات</t>
  </si>
  <si>
    <t>اخري</t>
  </si>
  <si>
    <t>حساب تكلفة سعر البرجولة wavy بمساحة</t>
  </si>
  <si>
    <t xml:space="preserve">امتداد 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</si>
  <si>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</si>
  <si>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</si>
  <si>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</si>
  <si>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</si>
  <si>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</si>
  <si>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</si>
  <si>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</si>
  <si>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</si>
  <si>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</si>
  <si>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</si>
  <si>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</si>
  <si>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</si>
  <si>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</si>
  <si>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</si>
  <si>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</si>
  <si>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</si>
  <si>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</si>
  <si>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</si>
  <si>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</si>
  <si>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</si>
  <si>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</si>
  <si>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</si>
  <si>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</si>
  <si>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</si>
  <si>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موتور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</si>
  <si>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</si>
  <si>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</si>
  <si>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</si>
  <si>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</si>
  <si>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</si>
  <si>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</si>
  <si>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</si>
  <si>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</si>
  <si>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</si>
  <si>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</si>
  <si>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المقاس</t>
  </si>
  <si>
    <t>ميزان</t>
  </si>
  <si>
    <t>عدد/الشمسية</t>
  </si>
  <si>
    <t>سعر الوحدة</t>
  </si>
  <si>
    <t>قيمة</t>
  </si>
  <si>
    <t>البيان</t>
  </si>
  <si>
    <t>الناتج</t>
  </si>
  <si>
    <t>دائرية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</si>
  <si>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</si>
  <si>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</si>
  <si>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</si>
  <si>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</si>
  <si>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</si>
  <si>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</si>
  <si>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4*4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</si>
  <si>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</si>
  <si>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</si>
  <si>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</si>
  <si>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</si>
  <si>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</si>
  <si>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</si>
  <si>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</si>
  <si>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</si>
  <si>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مربعة</t>
  </si>
  <si>
    <t>البكره</t>
  </si>
  <si>
    <t>سعر القماش</t>
  </si>
  <si>
    <t>لسان مشرشر</t>
  </si>
  <si>
    <t>قفيز البكره</t>
  </si>
  <si>
    <t>كمية القماش</t>
  </si>
  <si>
    <t>جلب</t>
  </si>
  <si>
    <t>سادة</t>
  </si>
  <si>
    <t>الحبل</t>
  </si>
  <si>
    <t>تكلفة القماش</t>
  </si>
  <si>
    <t>طبات</t>
  </si>
  <si>
    <t>قطاع استانلس الريشة</t>
  </si>
  <si>
    <t>المصنعيات و اكسسوار و قاعدة</t>
  </si>
  <si>
    <t>ذهبي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</si>
  <si>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</si>
  <si>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</si>
  <si>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</si>
  <si>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</si>
  <si>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</si>
  <si>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</si>
  <si>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</si>
  <si>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</si>
  <si>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</si>
  <si>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</si>
  <si>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</si>
  <si>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</si>
  <si>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</si>
  <si>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</si>
  <si>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قطاعي</t>
  </si>
  <si>
    <t>no</t>
  </si>
  <si>
    <t>مدور 2.5</t>
  </si>
  <si>
    <t>v</t>
  </si>
  <si>
    <t>جملة</t>
  </si>
  <si>
    <t>single</t>
  </si>
  <si>
    <t>مدور 2.7</t>
  </si>
  <si>
    <t>نصف جملة</t>
  </si>
  <si>
    <t>double</t>
  </si>
  <si>
    <t>مدور 3</t>
  </si>
  <si>
    <t>single مطرز</t>
  </si>
  <si>
    <t>مدور 3.5</t>
  </si>
  <si>
    <t>مربع 2.5</t>
  </si>
  <si>
    <t>مربع 3</t>
  </si>
  <si>
    <t>مربع 3.3</t>
  </si>
  <si>
    <t>Column6</t>
  </si>
  <si>
    <t>مواسير قطر 16 سمك 4مم طول 4.5متر</t>
  </si>
  <si>
    <t>مواسير قطر 16 سمك 4مم طول 4متر</t>
  </si>
  <si>
    <t>علبة 5*10 2 مم</t>
  </si>
  <si>
    <t>الايام</t>
  </si>
  <si>
    <t>مواسير 48 مجلفنة 2.5 مم</t>
  </si>
  <si>
    <t>مواسير 48 مجلفنة 3 مم</t>
  </si>
  <si>
    <t>شميز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</si>
  <si>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</si>
  <si>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</si>
  <si>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</si>
  <si>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</si>
  <si>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</si>
  <si>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</si>
  <si>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</si>
  <si>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</si>
  <si>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</si>
  <si>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</si>
  <si>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</si>
  <si>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قطر 16 سمك 4مم طول 5متر</t>
  </si>
  <si>
    <t>مواسير 48 مجلفنة 3مم</t>
  </si>
  <si>
    <t>بيرسا</t>
  </si>
  <si>
    <t>الدهان</t>
  </si>
  <si>
    <t>حساب تكلفة سعر لوفرز متحركة بمساحة</t>
  </si>
  <si>
    <t>طول</t>
  </si>
  <si>
    <t>wt/m</t>
  </si>
  <si>
    <t>price</t>
  </si>
  <si>
    <t>العدد المطلوب</t>
  </si>
  <si>
    <t>ريشة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</si>
  <si>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</si>
  <si>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</si>
  <si>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</si>
  <si>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</si>
  <si>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</si>
  <si>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</si>
  <si>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</si>
  <si>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</si>
  <si>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</si>
  <si>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</si>
  <si>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</si>
  <si>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</si>
  <si>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7سم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</si>
  <si>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</si>
  <si>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</si>
  <si>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</si>
  <si>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</si>
  <si>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</si>
  <si>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</si>
  <si>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</si>
  <si>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 xml:space="preserve">عدد </t>
  </si>
  <si>
    <t>زاوية كورنر كبيره</t>
  </si>
  <si>
    <t>مسطرة طقم التثبيت</t>
  </si>
  <si>
    <t>كاوتش 3خط</t>
  </si>
  <si>
    <t>كاوتش مانع المطر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</si>
  <si>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</si>
  <si>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</si>
  <si>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</si>
  <si>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</si>
  <si>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</si>
  <si>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</si>
  <si>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زاوية 3سم</t>
  </si>
  <si>
    <t xml:space="preserve">PERGOLA  PERCO II</t>
  </si>
  <si>
    <t xml:space="preserve">اسم العميل </t>
  </si>
  <si>
    <t xml:space="preserve">برجولا </t>
  </si>
  <si>
    <t xml:space="preserve">غطاء  امامي للمجري </t>
  </si>
  <si>
    <t xml:space="preserve">لون الألومنيوم </t>
  </si>
  <si>
    <t xml:space="preserve">اسود غير لامع مات </t>
  </si>
  <si>
    <t xml:space="preserve">لون البي في سي </t>
  </si>
  <si>
    <t xml:space="preserve">ثلاث ابعاد رمادي </t>
  </si>
  <si>
    <t xml:space="preserve">مقاسات </t>
  </si>
  <si>
    <t xml:space="preserve">قواعد تثبيت </t>
  </si>
  <si>
    <t xml:space="preserve">عوارض تحميل </t>
  </si>
  <si>
    <t xml:space="preserve">اعمدة </t>
  </si>
  <si>
    <t xml:space="preserve">ارتفاع </t>
  </si>
  <si>
    <t>4Χ220- 1Χ250</t>
  </si>
  <si>
    <t xml:space="preserve">صرف </t>
  </si>
  <si>
    <t xml:space="preserve">اضواء </t>
  </si>
  <si>
    <t xml:space="preserve">ماتور </t>
  </si>
  <si>
    <t xml:space="preserve">كنترول تحكم </t>
  </si>
  <si>
    <t xml:space="preserve"> </t>
  </si>
  <si>
    <t xml:space="preserve">اضاءة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</si>
  <si>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</si>
  <si>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</si>
  <si>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</si>
  <si>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</si>
  <si>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</si>
  <si>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</si>
  <si>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</si>
  <si>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</si>
  <si>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</si>
  <si>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</si>
  <si>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 xml:space="preserve">مجري </t>
  </si>
  <si>
    <t xml:space="preserve">مداد </t>
  </si>
  <si>
    <t>Royal pergola 1</t>
  </si>
  <si>
    <t>سعر طن الالومنيوم بالدهان</t>
  </si>
  <si>
    <t>سعر اليورو</t>
  </si>
  <si>
    <t xml:space="preserve">التاريخ </t>
  </si>
  <si>
    <t>سعر طن الالومنيوم</t>
  </si>
  <si>
    <t xml:space="preserve">بيرجولا </t>
  </si>
  <si>
    <t>EVO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</si>
  <si>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</si>
  <si>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</si>
  <si>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</si>
  <si>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</si>
  <si>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</si>
  <si>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</si>
  <si>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</si>
  <si>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</si>
  <si>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</si>
  <si>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</si>
  <si>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</si>
  <si>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</si>
  <si>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</si>
  <si>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</si>
  <si>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</si>
  <si>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مدادات </t>
  </si>
  <si>
    <t xml:space="preserve">مداد صغير                A-Ω</t>
  </si>
  <si>
    <t>+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</si>
  <si>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</si>
  <si>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</si>
  <si>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</si>
  <si>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</si>
  <si>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</si>
  <si>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</si>
  <si>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</si>
  <si>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</si>
  <si>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</si>
  <si>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</si>
  <si>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</si>
  <si>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</si>
  <si>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</si>
  <si>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</si>
  <si>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</si>
  <si>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</si>
  <si>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</si>
  <si>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 xml:space="preserve">ريموت كنترول 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</si>
  <si>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</si>
  <si>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</si>
  <si>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</si>
  <si>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</si>
  <si>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</si>
  <si>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</si>
  <si>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</si>
  <si>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طقم اكسسوار امامي بالغطاء الالومنيوم</t>
  </si>
  <si>
    <t>طبة بلاستيك مدور للمداد الصغير</t>
  </si>
  <si>
    <t>طقم اكسسوار خلفي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</si>
  <si>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</si>
  <si>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</si>
  <si>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</si>
  <si>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</si>
  <si>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</si>
  <si>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</si>
  <si>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</si>
  <si>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>جهاز كونترول للمواتير</t>
  </si>
  <si>
    <t xml:space="preserve">وصلة مداد كبير </t>
  </si>
  <si>
    <t>مفتاح تشغيل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</si>
  <si>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</si>
  <si>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</si>
  <si>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</si>
  <si>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</si>
  <si>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لمبات ليد بالغطاء و الدويل و وش ستانلس</t>
  </si>
  <si>
    <t>مانع المياه للبروفيل</t>
  </si>
  <si>
    <t xml:space="preserve">ملاحظات </t>
  </si>
  <si>
    <t xml:space="preserve">Royal pergola 2 </t>
  </si>
  <si>
    <t xml:space="preserve">بطانة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</si>
  <si>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</si>
  <si>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</si>
  <si>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</si>
  <si>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</si>
  <si>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</si>
  <si>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</si>
  <si>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</si>
  <si>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</si>
  <si>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مفصلات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</si>
  <si>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</si>
  <si>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</si>
  <si>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</si>
  <si>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</si>
  <si>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</si>
  <si>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</si>
  <si>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</si>
  <si>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</si>
  <si>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</si>
  <si>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</si>
  <si>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</si>
  <si>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</si>
  <si>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</si>
  <si>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</si>
  <si>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</si>
  <si>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</si>
  <si>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</si>
  <si>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</si>
  <si>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</si>
  <si>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</si>
  <si>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</si>
  <si>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</si>
  <si>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</si>
  <si>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</si>
  <si>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</si>
  <si>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</si>
  <si>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</si>
  <si>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</si>
  <si>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Αξονας</t>
  </si>
  <si>
    <t>Star</t>
  </si>
  <si>
    <t>Προβολη</t>
  </si>
  <si>
    <t>Αντιβαρα Για περγκολες Star - Magna</t>
  </si>
  <si>
    <t>Αντίβαρα για Πέργκολα Top Star</t>
  </si>
  <si>
    <t>Πάνελς για Persa</t>
  </si>
  <si>
    <t>Προβολή</t>
  </si>
  <si>
    <t>Αντίβαρα</t>
  </si>
  <si>
    <t>Πάνελς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</si>
  <si>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</si>
  <si>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</si>
  <si>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</si>
  <si>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</si>
  <si>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</si>
  <si>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</si>
  <si>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</si>
  <si>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</si>
  <si>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</si>
  <si>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</si>
  <si>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</si>
  <si>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</si>
  <si>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</si>
  <si>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</si>
  <si>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</si>
  <si>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</si>
  <si>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</si>
  <si>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</si>
  <si>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نزلة 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</si>
  <si>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</si>
  <si>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</si>
  <si>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</si>
  <si>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</si>
  <si>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</si>
  <si>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Πλαστικο</t>
  </si>
  <si>
    <t>περγκολα Star οδηγος 160Χ85 - 120X70</t>
  </si>
  <si>
    <t xml:space="preserve">مدادات مع الأضائة </t>
  </si>
  <si>
    <t xml:space="preserve">مدادات باللمبات نتائج </t>
  </si>
  <si>
    <t xml:space="preserve">محور 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</si>
  <si>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</si>
  <si>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</si>
  <si>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</si>
  <si>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</si>
  <si>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</si>
  <si>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</si>
  <si>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</si>
  <si>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</si>
  <si>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</si>
  <si>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</si>
  <si>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</si>
  <si>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</si>
  <si>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</si>
  <si>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>الارتفاع</t>
  </si>
  <si>
    <t>طريقة الدهان</t>
  </si>
  <si>
    <t>لون الالومنيوم</t>
  </si>
  <si>
    <t>مثبتة علي الحائط</t>
  </si>
  <si>
    <t>رويال برجولة</t>
  </si>
  <si>
    <t>A</t>
  </si>
  <si>
    <t>بالتات</t>
  </si>
  <si>
    <t>رويال فلات</t>
  </si>
  <si>
    <t>B</t>
  </si>
  <si>
    <t>قواعد عادية</t>
  </si>
  <si>
    <t>مثبتة غير علي الحائط</t>
  </si>
  <si>
    <t>المتغيرات الاساسية</t>
  </si>
  <si>
    <t>حديد</t>
  </si>
  <si>
    <t>كمر</t>
  </si>
  <si>
    <t>دهان خشبي</t>
  </si>
  <si>
    <t>سولتس</t>
  </si>
  <si>
    <t>سير البرجولة</t>
  </si>
  <si>
    <t>موتور كربيني 120</t>
  </si>
  <si>
    <t>دهان ذهبي للالومنيوم</t>
  </si>
  <si>
    <t>دهان ساده للالومنيوم</t>
  </si>
  <si>
    <t>قماش اسباني</t>
  </si>
  <si>
    <t xml:space="preserve">hdpeقماش </t>
  </si>
  <si>
    <t>قماش بولي استر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</si>
  <si>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</si>
  <si>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</si>
  <si>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</si>
  <si>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</si>
  <si>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</si>
  <si>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</si>
  <si>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</si>
  <si>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</si>
  <si>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</si>
  <si>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</si>
  <si>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</si>
  <si>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>موتور كربيني 50 بالريموت</t>
  </si>
  <si>
    <t xml:space="preserve">البي في سي 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</si>
  <si>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</si>
  <si>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</si>
  <si>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</si>
  <si>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</si>
  <si>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</si>
  <si>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المبيعات</t>
  </si>
  <si>
    <t>الشكل</t>
  </si>
  <si>
    <t>القطر / العرض</t>
  </si>
  <si>
    <t>القماش</t>
  </si>
  <si>
    <t>الفرنتونة</t>
  </si>
  <si>
    <t>مواصفات اضافية</t>
  </si>
  <si>
    <t>المحرك</t>
  </si>
  <si>
    <t>الموديل</t>
  </si>
  <si>
    <t>ROYAL UMBRELLA</t>
  </si>
  <si>
    <t>اقل من 3 م</t>
  </si>
  <si>
    <t>التثبيت</t>
  </si>
  <si>
    <t>العرض cm</t>
  </si>
  <si>
    <t>.</t>
  </si>
  <si>
    <t>الامتداد cm</t>
  </si>
  <si>
    <t>cantliver UMBRELLA</t>
  </si>
  <si>
    <t>برجولة غير مثبتة علي مبني</t>
  </si>
  <si>
    <t>بيرسا مثبتة علي مبني</t>
  </si>
  <si>
    <t>بيرسا غير مثبتة علي مبني</t>
  </si>
  <si>
    <t>الارتفاع الخلفي</t>
  </si>
  <si>
    <t>ROYAL TELESQUP UMBRELLA</t>
  </si>
  <si>
    <t>اكثر من 3 م</t>
  </si>
  <si>
    <t>AWNING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</si>
  <si>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</si>
  <si>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</si>
  <si>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</si>
  <si>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</si>
  <si>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عدد الباكيات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</si>
  <si>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</si>
  <si>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</si>
  <si>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cANTLEVER</t>
  </si>
  <si>
    <t>PERSA</t>
  </si>
  <si>
    <t>MOTORIZED LLUVERS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</si>
</sst>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0.0000"/>
    <numFmt numFmtId="167" formatCode="dd\ mmm\ yyyy"/>
    <numFmt numFmtId="168" formatCode="#,##0.0"/>
    <numFmt numFmtId="169" formatCode="[$-F800]dddd\,\ mmmm\ dd\,\ yyyy"/>
    <numFmt numFmtId="170" formatCode="0.0%"/>
    <numFmt numFmtId="171" formatCode="0.000"/>
  </numFmts>
  <fonts count="119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150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72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b/>
      <sz val="10"/>
      <color theme="1"/>
      <name val="Calibri"/>
      <family val="2"/>
      <charset val="161"/>
      <scheme val="minor"/>
    </font>
    <font>
      <b/>
      <sz val="14"/>
      <color theme="1"/>
      <name val="Calibri"/>
      <family val="2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</font>
    <font>
      <sz val="16"/>
      <color theme="1"/>
      <name val="Calibri"/>
      <family val="2"/>
      <scheme val="minor"/>
    </font>
    <font>
      <b/>
      <sz val="22"/>
      <color theme="4" tint="-0.249977111117893"/>
      <name val="Calibri"/>
      <family val="2"/>
      <scheme val="minor"/>
    </font>
    <font>
      <sz val="20"/>
      <color rgb="FFFFFF00"/>
      <name val="Calibri"/>
      <family val="2"/>
      <scheme val="minor"/>
    </font>
    <font>
      <u/>
      <sz val="22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0.59999389629810485"/>
        <bgColor indexed="64"/>
      </patternFill>
    </fill>
  </fills>
  <borders count="7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5"/>
      </left>
      <right style="thin">
        <color theme="5"/>
      </right>
      <top style="double">
        <color theme="5"/>
      </top>
      <bottom style="thin">
        <color theme="5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/>
      <diagonal/>
    </border>
  </borders>
  <cellStyleXfs count="5">
    <xf numFmtId="0" fontId="0" fillId="0" borderId="0" applyProtection="1"/>
    <xf numFmtId="43" applyNumberFormat="1" fontId="92" applyFont="1" fillId="0" borderId="0" applyProtection="1"/>
    <xf numFmtId="0" fontId="91" applyFont="1" fillId="0" borderId="0" applyProtection="1"/>
    <xf numFmtId="0" fontId="2" applyFont="1" fillId="0" borderId="0" applyProtection="1"/>
    <xf numFmtId="9" applyNumberFormat="1" fontId="92" applyFont="1" fillId="0" borderId="0" applyProtection="1"/>
  </cellStyleXfs>
  <cellXfs count="851">
    <xf numFmtId="0" fontId="0" fillId="0" borderId="0" xfId="0" applyProtection="1"/>
    <xf numFmtId="0" fontId="2" applyFont="1" fillId="0" borderId="0" xfId="3" applyProtection="1" applyAlignment="1">
      <alignment horizont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3" applyBorder="1" xfId="3" applyProtection="1" applyAlignment="1">
      <alignment horizontal="center"/>
    </xf>
    <xf numFmtId="0" fontId="2" applyFont="1" fillId="0" borderId="4" applyBorder="1" xfId="3" applyProtection="1" applyAlignment="1">
      <alignment horizontal="center"/>
    </xf>
    <xf numFmtId="0" fontId="2" applyFont="1" fillId="0" borderId="5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0" borderId="7" applyBorder="1" xfId="3" applyProtection="1" applyAlignment="1">
      <alignment horizontal="center"/>
    </xf>
    <xf numFmtId="0" fontId="2" applyFont="1" fillId="0" borderId="8" applyBorder="1" xfId="3" applyProtection="1" applyAlignment="1">
      <alignment horizontal="center"/>
    </xf>
    <xf numFmtId="0" fontId="2" applyFont="1" fillId="0" borderId="0" xfId="3" applyProtection="1"/>
    <xf numFmtId="0" fontId="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11" applyBorder="1" xfId="3" applyProtection="1" applyAlignment="1">
      <alignment horizontal="center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  <protection locked="0"/>
    </xf>
    <xf numFmtId="0" fontId="2" applyFont="1" fillId="0" borderId="2" applyBorder="1" xfId="3" applyProtection="1"/>
    <xf numFmtId="0" fontId="2" applyFont="1" fillId="0" borderId="7" applyBorder="1" xfId="3" applyProtection="1"/>
    <xf numFmtId="0" fontId="2" applyFont="1" fillId="0" borderId="5" applyBorder="1" xfId="3" applyProtection="1"/>
    <xf numFmtId="0" fontId="2" applyFont="1" fillId="0" borderId="12" applyBorder="1" xfId="3" applyProtection="1" applyAlignment="1">
      <alignment horizontal="center"/>
    </xf>
    <xf numFmtId="0" fontId="2" applyFont="1" fillId="0" borderId="13" applyBorder="1" xfId="3" applyProtection="1" applyAlignment="1">
      <alignment horizontal="center"/>
    </xf>
    <xf numFmtId="0" fontId="2" applyFont="1" fillId="0" borderId="14" applyBorder="1" xfId="3" applyProtection="1" applyAlignment="1">
      <alignment horizontal="center"/>
    </xf>
    <xf numFmtId="0" fontId="2" applyFont="1" fillId="2" applyFill="1" borderId="15" applyBorder="1" xfId="3" applyProtection="1" applyAlignment="1">
      <alignment horizontal="center"/>
    </xf>
    <xf numFmtId="0" fontId="2" applyFont="1" fillId="2" applyFill="1" borderId="16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2" applyFill="1" borderId="17" applyBorder="1" xfId="3" applyProtection="1" applyAlignment="1">
      <alignment horizontal="center"/>
    </xf>
    <xf numFmtId="0" fontId="2" applyFont="1" fillId="2" applyFill="1" borderId="9" applyBorder="1" xfId="3" applyProtection="1" applyAlignment="1">
      <alignment horizontal="center"/>
    </xf>
    <xf numFmtId="0" fontId="2" applyFont="1" fillId="3" applyFill="1" borderId="12" applyBorder="1" xfId="3" applyProtection="1" applyAlignment="1">
      <alignment horizontal="center"/>
    </xf>
    <xf numFmtId="0" fontId="2" applyFont="1" fillId="2" applyFill="1" borderId="18" applyBorder="1" xfId="3" applyProtection="1" applyAlignment="1">
      <alignment horizontal="center"/>
    </xf>
    <xf numFmtId="0" fontId="2" applyFont="1" fillId="2" applyFill="1" borderId="19" applyBorder="1" xfId="3" applyProtection="1" applyAlignment="1">
      <alignment horizontal="center"/>
    </xf>
    <xf numFmtId="0" fontId="2" applyFont="1" fillId="3" applyFill="1" borderId="14" applyBorder="1" xfId="3" applyProtection="1" applyAlignment="1">
      <alignment horizontal="center"/>
    </xf>
    <xf numFmtId="0" fontId="2" applyFont="1" fillId="3" applyFill="1" borderId="8" applyBorder="1" xfId="3" applyProtection="1" applyAlignment="1">
      <alignment horizontal="center"/>
    </xf>
    <xf numFmtId="0" fontId="2" applyFont="1" fillId="0" borderId="23" applyBorder="1" xfId="3" applyProtection="1">
      <protection locked="0"/>
    </xf>
    <xf numFmtId="0" fontId="2" applyFont="1" fillId="0" borderId="0" xfId="3" applyProtection="1">
      <protection locked="0"/>
    </xf>
    <xf numFmtId="0" fontId="2" applyFont="1" fillId="0" borderId="24" applyBorder="1" xfId="3" applyProtection="1">
      <protection locked="0"/>
    </xf>
    <xf numFmtId="0" fontId="2" applyFont="1" fillId="5" applyFill="1" borderId="0" xfId="3" applyProtection="1">
      <protection locked="0"/>
    </xf>
    <xf numFmtId="0" fontId="3" applyFont="1" fillId="0" borderId="0" xfId="3" applyProtection="1" applyAlignment="1">
      <alignment horizontal="center"/>
      <protection locked="0"/>
    </xf>
    <xf numFmtId="16" applyNumberFormat="1" fontId="2" applyFont="1" fillId="0" borderId="0" xfId="3" applyProtection="1">
      <protection locked="0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1" applyNumberFormat="1" fontId="2" applyFont="1" fillId="0" borderId="0" xfId="3" applyProtection="1">
      <protection locked="0"/>
    </xf>
    <xf numFmtId="0" fontId="4" applyFont="1" fillId="0" borderId="24" applyBorder="1" xfId="3" applyProtection="1">
      <protection locked="0"/>
    </xf>
    <xf numFmtId="1" applyNumberFormat="1" fontId="3" applyFont="1" fillId="0" borderId="0" xfId="3" applyProtection="1">
      <protection locked="0"/>
    </xf>
    <xf numFmtId="0" fontId="2" applyFont="1" fillId="0" borderId="25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1" applyNumberFormat="1" fontId="2" applyFont="1" fillId="0" borderId="26" applyBorder="1" xfId="3" applyProtection="1">
      <protection locked="0"/>
    </xf>
    <xf numFmtId="0" fontId="2" applyFont="1" fillId="0" borderId="26" applyBorder="1" xfId="3" applyProtection="1">
      <protection locked="0"/>
    </xf>
    <xf numFmtId="0" fontId="2" applyFont="1" fillId="0" borderId="27" applyBorder="1" xfId="3" applyProtection="1">
      <protection locked="0"/>
    </xf>
    <xf numFmtId="0" fontId="2" applyFont="1" fillId="0" borderId="3" applyBorder="1" xfId="3" applyProtection="1"/>
    <xf numFmtId="0" fontId="2" applyFont="1" fillId="0" borderId="13" applyBorder="1" xfId="3" applyProtection="1"/>
    <xf numFmtId="0" fontId="2" applyFont="1" fillId="0" borderId="4" applyBorder="1" xfId="3" applyProtection="1"/>
    <xf numFmtId="0" fontId="2" applyFont="1" fillId="0" borderId="8" applyBorder="1" xfId="3" applyProtection="1"/>
    <xf numFmtId="0" fontId="2" applyFont="1" fillId="0" borderId="14" applyBorder="1" xfId="3" applyProtection="1"/>
    <xf numFmtId="16" applyNumberFormat="1" fontId="2" applyFont="1" fillId="0" borderId="0" xfId="3" applyProtection="1" applyAlignment="1">
      <alignment horizontal="center"/>
      <protection locked="0"/>
    </xf>
    <xf numFmtId="1" applyNumberFormat="1" fontId="2" applyFont="1" fillId="0" borderId="0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2" applyFont="1" fillId="5" applyFill="1" borderId="26" applyBorder="1" xfId="3" applyProtection="1">
      <protection locked="0"/>
    </xf>
    <xf numFmtId="0" fontId="5" applyFont="1" fillId="0" borderId="0" xfId="3" applyProtection="1"/>
    <xf numFmtId="0" fontId="2" applyFont="1" fillId="0" borderId="0" xfId="3" applyProtection="1" applyAlignment="1">
      <alignment vertical="center"/>
    </xf>
    <xf numFmtId="0" fontId="6" applyFont="1" fillId="0" borderId="28" applyBorder="1" xfId="3" applyProtection="1" applyAlignment="1">
      <alignment horizontal="center" vertical="center"/>
    </xf>
    <xf numFmtId="166" applyNumberFormat="1" fontId="6" applyFont="1" fillId="0" borderId="28" applyBorder="1" xfId="3" applyProtection="1" applyAlignment="1">
      <alignment horizontal="center" vertical="center"/>
    </xf>
    <xf numFmtId="0" fontId="6" applyFont="1" fillId="0" borderId="0" xfId="3" applyProtection="1" applyAlignment="1">
      <alignment horizontal="center" vertical="center"/>
    </xf>
    <xf numFmtId="2" applyNumberFormat="1" fontId="9" applyFont="1" fillId="0" borderId="0" xfId="3" applyProtection="1" applyAlignment="1">
      <alignment horizontal="center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0" fontId="14" applyFont="1" fillId="0" borderId="0" xfId="3" applyProtection="1" applyAlignment="1">
      <alignment horizontal="left" vertical="center" shrinkToFit="1"/>
    </xf>
    <xf numFmtId="0" fontId="10" applyFont="1" fillId="0" borderId="0" xfId="3" applyProtection="1" applyAlignment="1">
      <alignment horizontal="center" vertical="center" shrinkToFit="1"/>
    </xf>
    <xf numFmtId="0" fontId="16" applyFont="1" fillId="0" borderId="17" applyBorder="1" xfId="3" applyProtection="1" applyAlignment="1">
      <alignment horizontal="center"/>
    </xf>
    <xf numFmtId="0" fontId="17" applyFont="1" fillId="0" borderId="0" xfId="3" applyProtection="1" applyAlignment="1">
      <alignment horizontal="center"/>
    </xf>
    <xf numFmtId="0" fontId="16" applyFont="1" fillId="0" borderId="14" applyBorder="1" xfId="3" applyProtection="1" applyAlignment="1">
      <alignment vertical="center" shrinkToFit="1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vertical="center" shrinkToFit="1"/>
    </xf>
    <xf numFmtId="0" fontId="16" applyFont="1" fillId="0" borderId="28" applyBorder="1" xfId="3" applyProtection="1" applyAlignment="1">
      <alignment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horizontal="center" vertical="center" shrinkToFit="1"/>
    </xf>
    <xf numFmtId="0" fontId="18" applyFont="1" fillId="0" borderId="0" xfId="3" applyProtection="1"/>
    <xf numFmtId="0" fontId="16" applyFont="1" fillId="0" borderId="0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" applyFont="1" fillId="0" borderId="10" applyBorder="1" xfId="3" applyProtection="1"/>
    <xf numFmtId="0" fontId="17" applyFont="1" fillId="0" borderId="10" applyBorder="1" xfId="3" applyProtection="1" applyAlignment="1">
      <alignment horizontal="center"/>
    </xf>
    <xf numFmtId="0" fontId="18" applyFont="1" fillId="0" borderId="10" applyBorder="1" xfId="3" applyProtection="1"/>
    <xf numFmtId="0" fontId="17" applyFont="1" fillId="0" borderId="0" xfId="3" applyProtection="1"/>
    <xf numFmtId="0" fontId="21" applyFont="1" fillId="0" borderId="4" applyBorder="1" xfId="3" applyProtection="1" applyAlignment="1">
      <alignment vertical="center" wrapText="1"/>
    </xf>
    <xf numFmtId="0" fontId="21" applyFont="1" fillId="0" borderId="5" applyBorder="1" xfId="3" applyProtection="1" applyAlignment="1">
      <alignment vertical="center" wrapText="1"/>
    </xf>
    <xf numFmtId="0" fontId="21" applyFont="1" fillId="0" borderId="8" applyBorder="1" xfId="3" applyProtection="1" applyAlignment="1">
      <alignment vertical="center" wrapText="1"/>
    </xf>
    <xf numFmtId="0" fontId="2" applyFont="1" fillId="0" borderId="9" applyBorder="1" xfId="3" applyProtection="1"/>
    <xf numFmtId="0" fontId="2" applyFont="1" fillId="0" borderId="1" applyBorder="1" xfId="3" applyProtection="1"/>
    <xf numFmtId="0" fontId="7" applyFont="1" fillId="0" borderId="0" xfId="3" applyProtection="1" applyAlignment="1">
      <alignment horizontal="center"/>
    </xf>
    <xf numFmtId="0" fontId="22" applyFont="1" fillId="0" borderId="28" applyBorder="1" xfId="3" applyProtection="1" applyAlignment="1">
      <alignment horizontal="center" vertical="center"/>
    </xf>
    <xf numFmtId="0" fontId="2" applyFont="1" fillId="0" borderId="0" xfId="3" applyProtection="1" applyAlignment="1">
      <alignment horizontal="center" vertical="center" wrapText="1"/>
    </xf>
    <xf numFmtId="0" fontId="6" applyFont="1" fillId="0" borderId="28" applyBorder="1" xfId="3" applyProtection="1" applyAlignment="1">
      <alignment horizontal="center" vertical="center" wrapText="1"/>
    </xf>
    <xf numFmtId="167" applyNumberFormat="1" fontId="2" applyFont="1" fillId="0" borderId="0" xfId="3" applyProtection="1" applyAlignment="1">
      <alignment horizontal="center" vertical="center" wrapText="1"/>
    </xf>
    <xf numFmtId="167" applyNumberFormat="1" fontId="6" applyFont="1" fillId="0" borderId="28" applyBorder="1" xfId="3" applyProtection="1" applyAlignment="1">
      <alignment horizontal="center" vertical="center" wrapText="1"/>
    </xf>
    <xf numFmtId="167" applyNumberFormat="1" fontId="2" applyFont="1" fillId="0" borderId="0" xfId="3" applyProtection="1" applyAlignment="1">
      <alignment vertical="center" wrapText="1"/>
    </xf>
    <xf numFmtId="0" fontId="23" applyFont="1" fillId="0" borderId="5" applyBorder="1" xfId="3" applyProtection="1" applyAlignment="1">
      <alignment horizontal="center"/>
    </xf>
    <xf numFmtId="3" applyNumberFormat="1" fontId="10" applyFont="1" fillId="0" borderId="5" applyBorder="1" xfId="3" applyProtection="1" applyAlignment="1">
      <alignment vertical="center"/>
    </xf>
    <xf numFmtId="0" fontId="10" applyFont="1" fillId="0" borderId="29" applyBorder="1" xfId="3" applyProtection="1" applyAlignment="1">
      <alignment vertical="center"/>
    </xf>
    <xf numFmtId="0" fontId="10" applyFont="1" fillId="0" borderId="28" applyBorder="1" xfId="3" applyProtection="1" applyAlignment="1">
      <alignment horizontal="center" vertical="center"/>
    </xf>
    <xf numFmtId="0" fontId="14" applyFont="1" fillId="0" borderId="10" applyBorder="1" xfId="3" applyProtection="1" applyAlignment="1">
      <alignment vertical="center"/>
    </xf>
    <xf numFmtId="4" applyNumberFormat="1" fontId="14" applyFont="1" fillId="4" applyFill="1" borderId="29" applyBorder="1" xfId="3" applyProtection="1" applyAlignment="1">
      <alignment vertical="center"/>
    </xf>
    <xf numFmtId="0" fontId="24" applyFont="1" fillId="2" applyFill="1" borderId="10" applyBorder="1" xfId="3" applyProtection="1" applyAlignment="1">
      <alignment horizontal="center"/>
    </xf>
    <xf numFmtId="0" fontId="14" applyFont="1" fillId="2" applyFill="1" borderId="11" applyBorder="1" xfId="3" applyProtection="1" applyAlignment="1">
      <alignment vertical="center"/>
    </xf>
    <xf numFmtId="4" applyNumberFormat="1" fontId="25" applyFont="1" fillId="7" applyFill="1" borderId="0" xfId="3" applyProtection="1" applyAlignment="1">
      <alignment vertical="center"/>
    </xf>
    <xf numFmtId="0" fontId="6" applyFont="1" fillId="2" applyFill="1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vertical="center" shrinkToFit="1"/>
    </xf>
    <xf numFmtId="0" fontId="21" applyFont="1" fillId="0" borderId="0" xfId="3" applyProtection="1" applyAlignment="1">
      <alignment horizontal="center"/>
    </xf>
    <xf numFmtId="0" fontId="2" applyFont="1" fillId="0" borderId="0" xfId="3" applyProtection="1" applyAlignment="1">
      <alignment vertical="center" shrinkToFit="1"/>
    </xf>
    <xf numFmtId="0" fontId="10" applyFont="1" fillId="2" applyFill="1" borderId="28" applyBorder="1" xfId="3" applyProtection="1" applyAlignment="1">
      <alignment horizontal="center" vertical="center"/>
    </xf>
    <xf numFmtId="0" fontId="9" applyFont="1" fillId="0" borderId="0" xfId="3" applyProtection="1" applyAlignment="1">
      <alignment horizontal="center" vertical="center" shrinkToFit="1"/>
    </xf>
    <xf numFmtId="0" fontId="21" applyFont="1" fillId="0" borderId="14" applyBorder="1" xfId="3" applyProtection="1" applyAlignment="1">
      <alignment horizontal="center" vertical="center" shrinkToFit="1"/>
    </xf>
    <xf numFmtId="0" fontId="26" applyFont="1" fillId="0" borderId="14" applyBorder="1" xfId="3" applyProtection="1" applyAlignment="1">
      <alignment horizontal="center" vertical="center" shrinkToFit="1"/>
    </xf>
    <xf numFmtId="0" fontId="21" applyFont="1" fillId="0" borderId="0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5" applyNumberFormat="1" fontId="27" applyFont="1" fillId="0" borderId="0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1" applyFont="1" fillId="0" borderId="0" xfId="3" applyProtection="1" applyAlignment="1">
      <alignment horizontal="center" vertical="center" shrinkToFit="1"/>
    </xf>
    <xf numFmtId="165" applyNumberFormat="1" fontId="21" applyFont="1" fillId="0" borderId="0" xfId="3" applyProtection="1" applyAlignment="1">
      <alignment horizontal="center" vertical="center" shrinkToFit="1"/>
    </xf>
    <xf numFmtId="0" fontId="21" applyFont="1" fillId="0" borderId="0" xfId="3" applyProtection="1" applyAlignment="1">
      <alignment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/>
    </xf>
    <xf numFmtId="0" fontId="28" applyFont="1" fillId="6" applyFill="1" borderId="28" applyBorder="1" xfId="3" applyProtection="1" applyAlignment="1">
      <alignment horizontal="center" vertical="center"/>
    </xf>
    <xf numFmtId="0" fontId="28" applyFont="1" fillId="0" borderId="28" applyBorder="1" xfId="3" applyProtection="1" applyAlignment="1">
      <alignment horizontal="center" vertical="center"/>
    </xf>
    <xf numFmtId="0" fontId="16" applyFont="1" fillId="2" applyFill="1" borderId="28" applyBorder="1" xfId="3" applyProtection="1" applyAlignment="1">
      <alignment horizontal="center" vertical="center" shrinkToFit="1"/>
    </xf>
    <xf numFmtId="0" fontId="17" applyFont="1" fillId="0" borderId="10" applyBorder="1" xfId="3" applyProtection="1"/>
    <xf numFmtId="0" fontId="28" applyFont="1" fillId="0" borderId="10" applyBorder="1" xfId="3" applyProtection="1" applyAlignment="1">
      <alignment vertical="center" shrinkToFit="1"/>
    </xf>
    <xf numFmtId="0" fontId="28" applyFont="1" fillId="0" borderId="11" applyBorder="1" xfId="3" applyProtection="1" applyAlignment="1">
      <alignment vertical="center" shrinkToFit="1"/>
    </xf>
    <xf numFmtId="0" fontId="28" applyFont="1" fillId="0" borderId="0" xfId="3" applyProtection="1" applyAlignment="1">
      <alignment vertical="center" shrinkToFit="1"/>
    </xf>
    <xf numFmtId="0" fontId="28" applyFont="1" fillId="0" borderId="28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28" applyBorder="1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shrinkToFit="1"/>
    </xf>
    <xf numFmtId="0" fontId="2" applyFont="1" fillId="0" borderId="11" applyBorder="1" xfId="3" applyProtection="1" applyAlignment="1">
      <alignment vertical="center"/>
    </xf>
    <xf numFmtId="0" fontId="2" applyFont="1" fillId="0" borderId="6" applyBorder="1" xfId="3" applyProtection="1" applyAlignment="1">
      <alignment vertical="center"/>
    </xf>
    <xf numFmtId="0" fontId="2" applyFont="1" fillId="0" borderId="7" applyBorder="1" xfId="3" applyProtection="1" applyAlignment="1">
      <alignment vertical="center"/>
    </xf>
    <xf numFmtId="0" fontId="2" applyFont="1" fillId="0" borderId="8" applyBorder="1" xfId="3" applyProtection="1" applyAlignment="1">
      <alignment vertical="center"/>
    </xf>
    <xf numFmtId="4" applyNumberFormat="1" fontId="6" applyFont="1" fillId="0" borderId="28" applyBorder="1" xfId="3" applyProtection="1" applyAlignment="1">
      <alignment horizontal="center" vertical="center"/>
    </xf>
    <xf numFmtId="0" fontId="14" applyFont="1" fillId="2" applyFill="1" borderId="28" applyBorder="1" xfId="3" applyProtection="1" applyAlignment="1">
      <alignment horizontal="center" vertical="center"/>
    </xf>
    <xf numFmtId="0" fontId="6" applyFont="1" fillId="4" applyFill="1" borderId="28" applyBorder="1" xfId="3" applyProtection="1" applyAlignment="1">
      <alignment horizontal="center" vertical="center"/>
    </xf>
    <xf numFmtId="166" applyNumberFormat="1" fontId="6" applyFont="1" fillId="2" applyFill="1" borderId="28" applyBorder="1" xfId="3" applyProtection="1" applyAlignment="1">
      <alignment horizontal="center" vertical="center"/>
    </xf>
    <xf numFmtId="2" applyNumberFormat="1" fontId="6" applyFont="1" fillId="2" applyFill="1" borderId="28" applyBorder="1" xfId="3" applyProtection="1" applyAlignment="1">
      <alignment horizontal="center" vertical="center"/>
    </xf>
    <xf numFmtId="3" applyNumberFormat="1" fontId="6" applyFont="1" fillId="2" applyFill="1" borderId="28" applyBorder="1" xfId="3" applyProtection="1" applyAlignment="1">
      <alignment horizontal="center" vertical="center"/>
    </xf>
    <xf numFmtId="0" fontId="6" applyFont="1" fillId="6" applyFill="1" borderId="28" applyBorder="1" xfId="3" applyProtection="1" applyAlignment="1">
      <alignment horizontal="center" vertical="center"/>
    </xf>
    <xf numFmtId="166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4" applyFill="1" borderId="28" applyBorder="1" xfId="3" applyProtection="1" applyAlignment="1">
      <alignment horizontal="center" vertical="center"/>
    </xf>
    <xf numFmtId="0" fontId="22" applyFont="1" fillId="6" applyFill="1" borderId="28" applyBorder="1" xfId="3" applyProtection="1" applyAlignment="1">
      <alignment horizontal="center" vertical="center"/>
    </xf>
    <xf numFmtId="166" applyNumberFormat="1" fontId="22" applyFont="1" fillId="6" applyFill="1" borderId="28" applyBorder="1" xfId="3" applyProtection="1" applyAlignment="1">
      <alignment horizontal="center" vertical="center"/>
    </xf>
    <xf numFmtId="0" fontId="6" applyFont="1" fillId="8" applyFill="1" borderId="28" applyBorder="1" xfId="3" applyProtection="1" applyAlignment="1">
      <alignment horizontal="center" vertical="center"/>
    </xf>
    <xf numFmtId="166" applyNumberFormat="1" fontId="6" applyFont="1" fillId="0" borderId="12" applyBorder="1" xfId="3" applyProtection="1" applyAlignment="1">
      <alignment horizontal="center" vertical="center"/>
    </xf>
    <xf numFmtId="0" fontId="6" applyFont="1" fillId="0" borderId="12" applyBorder="1" xfId="3" applyProtection="1" applyAlignment="1">
      <alignment horizontal="center" vertical="center"/>
    </xf>
    <xf numFmtId="0" fontId="6" applyFont="1" fillId="0" borderId="9" applyBorder="1" xfId="3" applyProtection="1" applyAlignment="1">
      <alignment horizontal="center" vertical="center"/>
    </xf>
    <xf numFmtId="166" applyNumberFormat="1" fontId="6" applyFont="1" fillId="0" borderId="15" applyBorder="1" xfId="3" applyProtection="1" applyAlignment="1">
      <alignment horizontal="center" vertical="center"/>
    </xf>
    <xf numFmtId="0" fontId="6" applyFont="1" fillId="0" borderId="34" applyBorder="1" xfId="3" applyProtection="1" applyAlignment="1">
      <alignment horizontal="center" vertical="center"/>
    </xf>
    <xf numFmtId="166" applyNumberFormat="1" fontId="6" applyFont="1" fillId="0" borderId="17" applyBorder="1" xfId="3" applyProtection="1" applyAlignment="1">
      <alignment horizontal="center" vertical="center"/>
    </xf>
    <xf numFmtId="165" applyNumberFormat="1" fontId="6" applyFont="1" fillId="0" borderId="28" applyBorder="1" xfId="3" applyProtection="1" applyAlignment="1">
      <alignment horizontal="center" vertical="center"/>
    </xf>
    <xf numFmtId="166" applyNumberFormat="1" fontId="6" applyFont="1" fillId="0" borderId="18" applyBorder="1" xfId="3" applyProtection="1" applyAlignment="1">
      <alignment horizontal="center" vertical="center"/>
    </xf>
    <xf numFmtId="0" fontId="6" applyFont="1" fillId="0" borderId="33" applyBorder="1" xfId="3" applyProtection="1" applyAlignment="1">
      <alignment horizontal="center" vertical="center"/>
    </xf>
    <xf numFmtId="166" applyNumberFormat="1" fontId="6" applyFont="1" fillId="0" borderId="14" applyBorder="1" xfId="3" applyProtection="1" applyAlignment="1">
      <alignment horizontal="center" vertical="center"/>
    </xf>
    <xf numFmtId="0" fontId="6" applyFont="1" fillId="0" borderId="14" applyBorder="1" xfId="3" applyProtection="1" applyAlignment="1">
      <alignment horizontal="center" vertical="center"/>
    </xf>
    <xf numFmtId="0" fontId="22" applyFont="1" fillId="6" applyFill="1" borderId="9" applyBorder="1" xfId="3" applyProtection="1" applyAlignment="1">
      <alignment horizontal="center" vertical="center"/>
    </xf>
    <xf numFmtId="0" fontId="6" applyFont="1" fillId="0" borderId="1" applyBorder="1" xfId="3" applyProtection="1" applyAlignment="1">
      <alignment horizontal="center" vertical="center"/>
    </xf>
    <xf numFmtId="0" fontId="6" applyFont="1" fillId="0" borderId="16" applyBorder="1" xfId="3" applyProtection="1" applyAlignment="1">
      <alignment horizontal="center" vertical="center"/>
    </xf>
    <xf numFmtId="0" fontId="6" applyFont="1" fillId="0" borderId="19" applyBorder="1" xfId="3" applyProtection="1" applyAlignment="1">
      <alignment horizontal="center" vertical="center"/>
    </xf>
    <xf numFmtId="0" fontId="22" applyFont="1" fillId="0" borderId="10" applyBorder="1" xfId="3" applyProtection="1"/>
    <xf numFmtId="2" applyNumberFormat="1" fontId="22" applyFont="1" fillId="0" borderId="10" applyBorder="1" xfId="3" applyProtection="1"/>
    <xf numFmtId="0" fontId="22" applyFont="1" fillId="0" borderId="3" applyBorder="1" xfId="3" applyProtection="1"/>
    <xf numFmtId="0" fontId="22" applyFont="1" fillId="0" borderId="0" xfId="3" applyProtection="1"/>
    <xf numFmtId="0" fontId="22" applyFont="1" fillId="0" borderId="1" applyBorder="1" xfId="3" applyProtection="1"/>
    <xf numFmtId="0" fontId="22" applyFont="1" fillId="0" borderId="2" applyBorder="1" xfId="3" applyProtection="1"/>
    <xf numFmtId="0" fontId="22" applyFont="1" fillId="0" borderId="4" applyBorder="1" xfId="3" applyProtection="1"/>
    <xf numFmtId="0" fontId="22" applyFont="1" fillId="0" borderId="5" applyBorder="1" xfId="3" applyProtection="1"/>
    <xf numFmtId="0" fontId="32" applyFont="1" fillId="0" borderId="10" applyBorder="1" xfId="3" applyProtection="1"/>
    <xf numFmtId="0" fontId="32" applyFont="1" fillId="0" borderId="11" applyBorder="1" xfId="3" applyProtection="1" applyAlignment="1">
      <alignment vertical="center"/>
    </xf>
    <xf numFmtId="0" fontId="32" applyFont="1" fillId="0" borderId="0" xfId="3" applyProtection="1" applyAlignment="1">
      <alignment vertical="center"/>
    </xf>
    <xf numFmtId="0" fontId="22" applyFont="1" fillId="0" borderId="6" applyBorder="1" xfId="3" applyProtection="1"/>
    <xf numFmtId="0" fontId="32" applyFont="1" fillId="0" borderId="0" xfId="3" applyProtection="1"/>
    <xf numFmtId="0" fontId="22" applyFont="1" fillId="0" borderId="0" xfId="3" applyProtection="1" applyAlignment="1">
      <alignment horizontal="center"/>
    </xf>
    <xf numFmtId="0" fontId="22" applyFont="1" fillId="0" borderId="8" applyBorder="1" xfId="3" applyProtection="1"/>
    <xf numFmtId="0" fontId="2" applyFont="1" fillId="0" borderId="10" applyBorder="1" xfId="3" applyProtection="1" applyAlignment="1">
      <alignment horizontal="center"/>
      <protection locked="0"/>
    </xf>
    <xf numFmtId="0" fontId="5" applyFont="1" fillId="2" applyFill="1" borderId="5" applyBorder="1" xfId="3" applyProtection="1" applyAlignment="1">
      <alignment horizontal="center"/>
    </xf>
    <xf numFmtId="3" applyNumberFormat="1" fontId="5" applyFont="1" fillId="2" applyFill="1" borderId="14" applyBorder="1" xfId="3" applyProtection="1" applyAlignment="1">
      <alignment horizontal="center"/>
      <protection locked="0"/>
    </xf>
    <xf numFmtId="0" fontId="5" applyFont="1" fillId="2" applyFill="1" borderId="14" applyBorder="1" xfId="3" applyProtection="1" applyAlignment="1">
      <alignment horizontal="center"/>
    </xf>
    <xf numFmtId="3" applyNumberFormat="1" fontId="5" applyFont="1" fillId="2" applyFill="1" borderId="8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left"/>
    </xf>
    <xf numFmtId="0" fontId="2" applyFont="1" fillId="0" borderId="28" applyBorder="1" xfId="3" applyProtection="1" applyAlignment="1">
      <alignment horizontal="center"/>
    </xf>
    <xf numFmtId="0" fontId="10" applyFont="1" fillId="0" borderId="5" applyBorder="1" xfId="3" applyProtection="1" applyAlignment="1">
      <alignment vertical="center"/>
    </xf>
    <xf numFmtId="0" fontId="6" applyFont="1" fillId="0" borderId="0" xfId="3" applyProtection="1" applyAlignment="1">
      <alignment horizontal="center"/>
    </xf>
    <xf numFmtId="0" fontId="6" applyFont="1" fillId="8" applyFill="1" borderId="20" applyBorder="1" xfId="3" applyProtection="1" applyAlignment="1">
      <alignment vertical="center"/>
    </xf>
    <xf numFmtId="168" applyNumberFormat="1" fontId="33" applyFont="1" fillId="8" applyFill="1" borderId="21" applyBorder="1" xfId="3" applyProtection="1" applyAlignment="1">
      <alignment horizontal="right"/>
    </xf>
    <xf numFmtId="0" fontId="6" applyFont="1" fillId="9" applyFill="1" borderId="21" applyBorder="1" xfId="3" applyProtection="1" applyAlignment="1">
      <alignment horizontal="center"/>
    </xf>
    <xf numFmtId="3" applyNumberFormat="1" fontId="6" applyFont="1" fillId="2" applyFill="1" borderId="21" applyBorder="1" xfId="3" applyProtection="1" applyAlignment="1">
      <alignment horizontal="center"/>
    </xf>
    <xf numFmtId="0" fontId="22" applyFont="1" fillId="0" borderId="21" applyBorder="1" xfId="3" applyProtection="1"/>
    <xf numFmtId="0" fontId="34" applyFont="1" fillId="0" borderId="23" applyBorder="1" xfId="0" applyProtection="1" applyAlignment="1">
      <alignment horizontal="center" vertical="center"/>
    </xf>
    <xf numFmtId="0" fontId="34" applyFont="1" fillId="0" borderId="0" xfId="0" applyProtection="1" applyAlignment="1">
      <alignment horizontal="center" vertical="center"/>
    </xf>
    <xf numFmtId="0" fontId="35" applyFont="1" fillId="0" borderId="0" xfId="3" applyProtection="1" applyAlignment="1">
      <alignment horizontal="center"/>
    </xf>
    <xf numFmtId="3" applyNumberFormat="1" fontId="34" applyFont="1" fillId="0" borderId="0" xfId="0" applyProtection="1" applyAlignment="1">
      <alignment horizontal="center" vertical="center"/>
    </xf>
    <xf numFmtId="168" applyNumberFormat="1" fontId="34" applyFont="1" fillId="0" borderId="0" xfId="0" applyProtection="1" applyAlignment="1">
      <alignment horizontal="center" vertical="center"/>
    </xf>
    <xf numFmtId="0" fontId="35" applyFont="1" fillId="0" borderId="28" applyBorder="1" xfId="3" applyProtection="1" applyAlignment="1">
      <alignment horizontal="center"/>
    </xf>
    <xf numFmtId="2" applyNumberFormat="1" fontId="34" applyFont="1" fillId="0" borderId="0" xfId="0" applyProtection="1" applyAlignment="1">
      <alignment horizontal="center" vertical="center"/>
    </xf>
    <xf numFmtId="0" fontId="2" applyFont="1" fillId="0" borderId="23" applyBorder="1" xfId="3" applyProtection="1" applyAlignment="1">
      <alignment horizontal="center"/>
    </xf>
    <xf numFmtId="0" fontId="37" applyFont="1" fillId="0" borderId="35" applyBorder="1" xfId="0" applyProtection="1" applyAlignment="1">
      <alignment horizontal="center" vertical="center"/>
    </xf>
    <xf numFmtId="0" fontId="37" applyFont="1" fillId="0" borderId="36" applyBorder="1" xfId="0" applyProtection="1" applyAlignment="1">
      <alignment horizontal="center" vertical="center"/>
    </xf>
    <xf numFmtId="0" fontId="38" applyFont="1" fillId="0" borderId="37" applyBorder="1" xfId="0" applyProtection="1" applyAlignment="1">
      <alignment horizontal="center" vertical="center"/>
      <protection locked="0"/>
    </xf>
    <xf numFmtId="0" fontId="38" applyFont="1" fillId="0" borderId="38" applyBorder="1" xfId="0" applyProtection="1" applyAlignment="1">
      <alignment horizontal="center" vertical="center"/>
      <protection locked="0"/>
    </xf>
    <xf numFmtId="2" applyNumberFormat="1" fontId="2" applyFont="1" fillId="0" borderId="28" applyBorder="1" xfId="3" applyProtection="1" applyAlignment="1">
      <alignment horizontal="center"/>
    </xf>
    <xf numFmtId="0" fontId="39" applyFont="1" fillId="2" applyFill="1" borderId="29" applyBorder="1" xfId="0" applyProtection="1" applyAlignment="1">
      <alignment vertical="center"/>
      <protection locked="0"/>
    </xf>
    <xf numFmtId="0" fontId="40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  <protection locked="0"/>
    </xf>
    <xf numFmtId="0" fontId="42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 shrinkToFit="1"/>
    </xf>
    <xf numFmtId="0" fontId="43" applyFont="1" fillId="0" borderId="0" xfId="0" applyProtection="1" applyAlignment="1">
      <alignment horizontal="center" shrinkToFit="1"/>
    </xf>
    <xf numFmtId="0" fontId="44" applyFont="1" fillId="0" borderId="0" xfId="0" applyProtection="1" applyAlignment="1">
      <alignment horizontal="center" vertical="center" shrinkToFit="1"/>
    </xf>
    <xf numFmtId="0" fontId="35" applyFont="1" fillId="0" borderId="0" xfId="0" applyProtection="1" applyAlignment="1">
      <alignment horizontal="center"/>
    </xf>
    <xf numFmtId="0" fontId="35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  <protection locked="0"/>
    </xf>
    <xf numFmtId="0" fontId="43" applyFont="1" fillId="7" applyFill="1" borderId="0" xfId="0" applyProtection="1" applyAlignment="1">
      <alignment horizontal="center" vertical="center" shrinkToFit="1"/>
    </xf>
    <xf numFmtId="0" fontId="43" applyFont="1" fillId="7" applyFill="1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/>
      <protection locked="0"/>
    </xf>
    <xf numFmtId="14" applyNumberFormat="1" fontId="42" applyFont="1" fillId="0" borderId="16" applyBorder="1" xfId="0" applyProtection="1" applyAlignment="1">
      <alignment horizontal="center"/>
    </xf>
    <xf numFmtId="0" fontId="42" applyFont="1" fillId="0" borderId="39" applyBorder="1" xfId="0" applyProtection="1"/>
    <xf numFmtId="0" fontId="42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0" applyFont="1" fillId="0" borderId="21" applyBorder="1" xfId="0" applyProtection="1" applyAlignment="1">
      <alignment horizontal="center"/>
    </xf>
    <xf numFmtId="2" applyNumberFormat="1" fontId="45" applyFont="1" fillId="0" borderId="19" applyBorder="1" xfId="0" applyProtection="1" applyAlignment="1">
      <alignment horizontal="center"/>
    </xf>
    <xf numFmtId="0" fontId="45" applyFont="1" fillId="0" borderId="40" applyBorder="1" xfId="0" applyProtection="1"/>
    <xf numFmtId="4" applyNumberFormat="1" fontId="37" applyFont="1" fillId="0" borderId="35" applyBorder="1" xfId="0" applyProtection="1" applyAlignment="1">
      <alignment horizontal="center"/>
    </xf>
    <xf numFmtId="4" applyNumberFormat="1" fontId="37" applyFont="1" fillId="0" borderId="28" applyBorder="1" xfId="0" applyProtection="1" applyAlignment="1">
      <alignment horizontal="center"/>
    </xf>
    <xf numFmtId="4" applyNumberFormat="1" fontId="37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2" applyFont="1" fillId="2" applyFill="1" borderId="41" applyBorder="1" xfId="0" applyProtection="1" applyAlignment="1">
      <alignment horizontal="center" vertical="center"/>
    </xf>
    <xf numFmtId="169" applyNumberFormat="1" fontId="42" applyFont="1" fillId="0" borderId="0" xfId="0" applyProtection="1" applyAlignment="1">
      <alignment vertical="center"/>
    </xf>
    <xf numFmtId="169" applyNumberFormat="1" fontId="37" applyFont="1" fillId="0" borderId="0" xfId="0" applyProtection="1" applyAlignment="1">
      <alignment horizontal="center"/>
    </xf>
    <xf numFmtId="0" fontId="42" applyFont="1" fillId="0" borderId="0" xfId="0" applyProtection="1" applyAlignment="1">
      <alignment horizontal="center"/>
    </xf>
    <xf numFmtId="14" applyNumberFormat="1" fontId="42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2" applyNumberFormat="1" fontId="43" applyFont="1" fillId="12" applyFill="1" borderId="0" xfId="0" applyProtection="1" applyAlignment="1">
      <alignment horizontal="center"/>
    </xf>
    <xf numFmtId="9" applyNumberFormat="1" fontId="35" applyFont="1" fillId="0" borderId="0" xfId="4" applyProtection="1" applyAlignment="1">
      <alignment horizontal="center"/>
    </xf>
    <xf numFmtId="0" fontId="44" applyFont="1" fillId="0" borderId="0" xfId="0" applyProtection="1" applyAlignment="1">
      <alignment horizontal="center"/>
    </xf>
    <xf numFmtId="3" applyNumberFormat="1" fontId="43" applyFont="1" fillId="0" borderId="0" xfId="0" applyProtection="1" applyAlignment="1">
      <alignment horizontal="center"/>
    </xf>
    <xf numFmtId="9" applyNumberFormat="1" fontId="35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4" applyNumberFormat="1" fontId="43" applyFont="1" fillId="13" applyFill="1" borderId="0" xfId="0" applyProtection="1" applyAlignment="1">
      <alignment horizontal="center"/>
    </xf>
    <xf numFmtId="4" applyNumberFormat="1" fontId="43" applyFont="1" fillId="0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9" applyNumberFormat="1" fontId="43" applyFont="1" fillId="0" borderId="0" xfId="4" applyProtection="1" applyAlignment="1">
      <alignment horizontal="center"/>
    </xf>
    <xf numFmtId="0" fontId="43" applyFont="1" fillId="7" applyFill="1" borderId="0" xfId="0" applyProtection="1" applyAlignment="1">
      <alignment horizontal="center"/>
    </xf>
    <xf numFmtId="165" applyNumberFormat="1" fontId="35" applyFont="1" fillId="0" borderId="0" xfId="4" applyProtection="1" applyAlignment="1">
      <alignment horizontal="center"/>
    </xf>
    <xf numFmtId="1" applyNumberFormat="1" fontId="43" applyFont="1" fillId="12" applyFill="1" borderId="0" xfId="0" applyProtection="1" applyAlignment="1">
      <alignment horizontal="center"/>
    </xf>
    <xf numFmtId="168" applyNumberFormat="1" fontId="35" applyFont="1" fillId="0" borderId="0" xfId="0" applyProtection="1" applyAlignment="1">
      <alignment horizontal="center"/>
    </xf>
    <xf numFmtId="0" fontId="40" applyFont="1" fillId="0" borderId="22" applyBorder="1" xfId="0" applyProtection="1" applyAlignment="1">
      <alignment horizontal="center"/>
    </xf>
    <xf numFmtId="0" fontId="40" applyFont="1" fillId="0" borderId="24" applyBorder="1" xfId="0" applyProtection="1" applyAlignment="1">
      <alignment horizontal="center"/>
    </xf>
    <xf numFmtId="0" fontId="35" applyFont="1" fillId="0" borderId="24" applyBorder="1" xfId="0" applyProtection="1" applyAlignment="1">
      <alignment horizontal="center"/>
    </xf>
    <xf numFmtId="168" applyNumberFormat="1" fontId="35" applyFont="1" fillId="0" borderId="24" applyBorder="1" xfId="0" applyProtection="1" applyAlignment="1">
      <alignment horizontal="center"/>
    </xf>
    <xf numFmtId="0" fontId="35" applyFont="1" fillId="0" borderId="15" applyBorder="1" xfId="3" applyProtection="1" applyAlignment="1">
      <alignment horizontal="center"/>
    </xf>
    <xf numFmtId="2" applyNumberFormat="1" fontId="2" applyFont="1" fillId="0" borderId="34" applyBorder="1" xfId="3" applyProtection="1" applyAlignment="1">
      <alignment horizontal="center"/>
    </xf>
    <xf numFmtId="2" applyNumberFormat="1" fontId="2" applyFont="1" fillId="0" borderId="33" applyBorder="1" xfId="3" applyProtection="1" applyAlignment="1">
      <alignment horizontal="center"/>
    </xf>
    <xf numFmtId="0" fontId="2" applyFont="1" fillId="0" borderId="36" applyBorder="1" xfId="3" applyProtection="1" applyAlignment="1">
      <alignment horizontal="center"/>
    </xf>
    <xf numFmtId="0" fontId="2" applyFont="1" fillId="0" borderId="42" applyBorder="1" xfId="3" applyProtection="1" applyAlignment="1">
      <alignment horizontal="center"/>
    </xf>
    <xf numFmtId="0" fontId="2" applyFont="1" fillId="0" borderId="38" applyBorder="1" xfId="3" applyProtection="1" applyAlignment="1">
      <alignment horizontal="center"/>
    </xf>
    <xf numFmtId="2" applyNumberFormat="1" fontId="2" applyFont="1" fillId="0" borderId="0" xfId="3" applyProtection="1" applyAlignment="1">
      <alignment horizontal="center"/>
    </xf>
    <xf numFmtId="170" applyNumberFormat="1" fontId="35" applyFont="1" fillId="0" borderId="0" xfId="4" applyProtection="1" applyAlignment="1">
      <alignment horizontal="center"/>
    </xf>
    <xf numFmtId="0" fontId="2" applyFont="1" fillId="0" borderId="20" applyBorder="1" xfId="3" applyProtection="1" applyAlignment="1">
      <alignment horizontal="center"/>
    </xf>
    <xf numFmtId="0" fontId="2" applyFont="1" fillId="0" borderId="21" applyBorder="1" xfId="3" applyProtection="1" applyAlignment="1">
      <alignment horizontal="center"/>
    </xf>
    <xf numFmtId="0" fontId="6" applyFont="1" fillId="8" applyFill="1" borderId="23" applyBorder="1" xfId="3" applyProtection="1" applyAlignment="1">
      <alignment vertical="center"/>
    </xf>
    <xf numFmtId="168" applyNumberFormat="1" fontId="33" applyFont="1" fillId="8" applyFill="1" borderId="0" xfId="3" applyProtection="1" applyAlignment="1">
      <alignment horizontal="right"/>
    </xf>
    <xf numFmtId="0" fontId="6" applyFont="1" fillId="9" applyFill="1" borderId="0" xfId="3" applyProtection="1" applyAlignment="1">
      <alignment horizontal="center"/>
    </xf>
    <xf numFmtId="3" applyNumberFormat="1" fontId="6" applyFont="1" fillId="2" applyFill="1" borderId="0" xfId="3" applyProtection="1" applyAlignment="1">
      <alignment horizontal="center"/>
    </xf>
    <xf numFmtId="0" fontId="43" applyFont="1" fillId="0" borderId="26" applyBorder="1" xfId="0" applyProtection="1" applyAlignment="1">
      <alignment horizontal="center"/>
    </xf>
    <xf numFmtId="0" fontId="43" applyFont="1" fillId="0" borderId="26" applyBorder="1" xfId="0" applyProtection="1" applyAlignment="1">
      <alignment horizontal="center"/>
      <protection locked="0"/>
    </xf>
    <xf numFmtId="0" fontId="43" applyFont="1" fillId="0" borderId="26" applyBorder="1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 shrinkToFit="1"/>
    </xf>
    <xf numFmtId="0" fontId="37" applyFont="1" fillId="0" borderId="21" applyBorder="1" xfId="0" applyProtection="1" applyAlignment="1">
      <alignment horizontal="center" vertical="center"/>
    </xf>
    <xf numFmtId="0" fontId="38" applyFont="1" fillId="0" borderId="0" xfId="0" applyProtection="1" applyAlignment="1">
      <alignment horizontal="center" vertical="center"/>
      <protection locked="0"/>
    </xf>
    <xf numFmtId="0" fontId="39" applyFont="1" fillId="2" applyFill="1" borderId="0" xfId="0" applyProtection="1" applyAlignment="1">
      <alignment vertical="center"/>
      <protection locked="0"/>
    </xf>
    <xf numFmtId="2" applyNumberFormat="1" fontId="2" applyFont="1" fillId="0" borderId="28" applyBorder="1" xfId="3" applyProtection="1" applyAlignment="1">
      <alignment horizontal="center" vertical="center"/>
    </xf>
    <xf numFmtId="9" applyNumberFormat="1" fontId="43" applyFont="1" fillId="0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 shrinkToFit="1"/>
    </xf>
    <xf numFmtId="2" applyNumberFormat="1" fontId="43" applyFont="1" fillId="0" borderId="0" xfId="0" applyProtection="1" applyAlignment="1">
      <alignment horizontal="center"/>
    </xf>
    <xf numFmtId="165" applyNumberFormat="1" fontId="35" applyFont="1" fillId="0" borderId="0" xfId="0" applyProtection="1" applyAlignment="1">
      <alignment horizontal="center"/>
    </xf>
    <xf numFmtId="9" applyNumberFormat="1" fontId="43" applyFont="1" fillId="0" borderId="26" applyBorder="1" xfId="4" applyProtection="1" applyAlignment="1">
      <alignment horizontal="center" shrinkToFit="1"/>
    </xf>
    <xf numFmtId="1" applyNumberFormat="1" fontId="43" applyFont="1" fillId="0" borderId="26" applyBorder="1" xfId="0" applyProtection="1" applyAlignment="1">
      <alignment horizontal="center" shrinkToFit="1"/>
    </xf>
    <xf numFmtId="3" applyNumberFormat="1" fontId="43" applyFont="1" fillId="0" borderId="26" applyBorder="1" xfId="0" applyProtection="1" applyAlignment="1">
      <alignment horizontal="center"/>
    </xf>
    <xf numFmtId="2" applyNumberFormat="1" fontId="43" applyFont="1" fillId="0" borderId="26" applyBorder="1" xfId="0" applyProtection="1" applyAlignment="1">
      <alignment horizontal="center"/>
    </xf>
    <xf numFmtId="165" applyNumberFormat="1" fontId="35" applyFont="1" fillId="0" borderId="26" applyBorder="1" xfId="0" applyProtection="1" applyAlignment="1">
      <alignment horizontal="center"/>
    </xf>
    <xf numFmtId="14" applyNumberFormat="1" fontId="42" applyFont="1" fillId="0" borderId="21" applyBorder="1" xfId="0" applyProtection="1" applyAlignment="1">
      <alignment horizontal="center"/>
    </xf>
    <xf numFmtId="0" fontId="35" applyFont="1" fillId="0" borderId="21" applyBorder="1" xfId="0" applyProtection="1" applyAlignment="1">
      <alignment horizontal="center"/>
    </xf>
    <xf numFmtId="2" applyNumberFormat="1" fontId="45" applyFont="1" fillId="0" borderId="0" xfId="0" applyProtection="1" applyAlignment="1">
      <alignment horizontal="center"/>
    </xf>
    <xf numFmtId="0" fontId="45" applyFont="1" fillId="0" borderId="0" xfId="0" applyProtection="1"/>
    <xf numFmtId="4" applyNumberFormat="1" fontId="37" applyFont="1" fillId="0" borderId="0" xfId="0" applyProtection="1" applyAlignment="1">
      <alignment horizontal="center"/>
    </xf>
    <xf numFmtId="14" applyNumberFormat="1" fontId="42" applyFont="1" fillId="2" applyFill="1" borderId="0" xfId="0" applyProtection="1" applyAlignment="1">
      <alignment horizontal="center" vertical="center"/>
    </xf>
    <xf numFmtId="0" fontId="35" applyFont="1" fillId="0" borderId="22" applyBorder="1" xfId="0" applyProtection="1" applyAlignment="1">
      <alignment horizontal="center"/>
    </xf>
    <xf numFmtId="0" fontId="2" applyFont="1" fillId="0" borderId="43" applyBorder="1" xfId="3" applyProtection="1" applyAlignment="1">
      <alignment horizontal="center"/>
    </xf>
    <xf numFmtId="0" fontId="46" applyFont="1" fillId="0" borderId="23" applyBorder="1" xfId="0" applyProtection="1" applyAlignment="1">
      <alignment horizontal="center" vertical="center"/>
    </xf>
    <xf numFmtId="171" applyNumberFormat="1" fontId="2" applyFont="1" fillId="0" borderId="28" applyBorder="1" xfId="3" applyProtection="1" applyAlignment="1">
      <alignment horizontal="center"/>
    </xf>
    <xf numFmtId="2" applyNumberFormat="1" fontId="46" applyFont="1" fillId="0" borderId="0" xfId="0" applyProtection="1" applyAlignment="1">
      <alignment horizontal="center" vertical="center"/>
    </xf>
    <xf numFmtId="0" fontId="46" applyFont="1" fillId="0" borderId="0" xfId="0" applyProtection="1" applyAlignment="1">
      <alignment horizontal="center" vertical="center"/>
    </xf>
    <xf numFmtId="0" fontId="43" applyFont="1" fillId="0" borderId="21" applyBorder="1" xfId="0" applyProtection="1" applyAlignment="1">
      <alignment horizontal="center" vertic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  <protection locked="0"/>
    </xf>
    <xf numFmtId="2" applyNumberFormat="1" fontId="36" applyFont="1" fillId="0" borderId="0" xfId="0" applyProtection="1" applyAlignment="1">
      <alignment horizontal="center"/>
    </xf>
    <xf numFmtId="0" fontId="39" applyFont="1" fillId="2" applyFill="1" borderId="0" xfId="0" applyProtection="1" applyAlignment="1">
      <alignment horizontal="center" vertical="center"/>
      <protection locked="0"/>
    </xf>
    <xf numFmtId="0" fontId="43" applyFont="1" fillId="0" borderId="21" applyBorder="1" xfId="0" applyProtection="1"/>
    <xf numFmtId="0" fontId="36" applyFont="1" fillId="0" borderId="0" xfId="0" applyProtection="1"/>
    <xf numFmtId="0" fontId="2" applyFont="1" fillId="0" borderId="25" applyBorder="1" xfId="3" applyProtection="1" applyAlignment="1">
      <alignment horizontal="center"/>
    </xf>
    <xf numFmtId="0" fontId="2" applyFont="1" fillId="0" borderId="26" applyBorder="1" xfId="3" applyProtection="1" applyAlignment="1">
      <alignment horizontal="center"/>
    </xf>
    <xf numFmtId="9" applyNumberFormat="1" fontId="43" applyFont="1" fillId="0" borderId="0" xfId="4" applyProtection="1" applyAlignment="1">
      <alignment horizontal="center" shrinkToFit="1"/>
    </xf>
    <xf numFmtId="0" fontId="35" applyFont="1" fillId="0" borderId="26" applyBorder="1" xfId="0" applyProtection="1" applyAlignment="1">
      <alignment horizontal="center"/>
    </xf>
    <xf numFmtId="0" fontId="35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5" applyFont="1" fillId="0" borderId="8" applyBorder="1" xfId="0">
      <protection hidden="1"/>
    </xf>
    <xf numFmtId="0" fontId="35" applyFont="1" fillId="0" borderId="0" xfId="0" applyAlignment="1">
      <alignment horizontal="center" vertical="center"/>
      <protection hidden="1"/>
    </xf>
    <xf numFmtId="0" fontId="35" applyFont="1" fillId="0" borderId="11" applyBorder="1" xfId="0">
      <protection hidden="1"/>
    </xf>
    <xf numFmtId="0" fontId="35" applyFont="1" fillId="0" borderId="15" applyBorder="1" xfId="0" applyAlignment="1">
      <alignment horizontal="center" vertical="center"/>
      <protection hidden="1"/>
    </xf>
    <xf numFmtId="0" fontId="35" applyFont="1" fillId="0" borderId="36" applyBorder="1" xfId="0" applyAlignment="1">
      <alignment horizontal="center" vertical="center"/>
      <protection hidden="1"/>
    </xf>
    <xf numFmtId="0" fontId="35" applyFont="1" fillId="0" borderId="6" applyBorder="1" xfId="0">
      <protection hidden="1"/>
    </xf>
    <xf numFmtId="0" fontId="35" applyFont="1" fillId="0" borderId="17" applyBorder="1" xfId="0" applyAlignment="1">
      <alignment horizontal="center" vertical="center"/>
      <protection hidden="1"/>
    </xf>
    <xf numFmtId="0" fontId="35" applyFont="1" fillId="0" borderId="42" applyBorder="1" xfId="0" applyAlignment="1">
      <alignment horizontal="center" vertical="center"/>
      <protection hidden="1"/>
    </xf>
    <xf numFmtId="0" fontId="35" applyFont="1" fillId="0" borderId="28" applyBorder="1" xfId="0" applyProtection="1"/>
    <xf numFmtId="0" fontId="35" applyFont="1" fillId="0" borderId="18" applyBorder="1" xfId="0" applyAlignment="1">
      <alignment horizontal="center" vertical="center"/>
      <protection hidden="1"/>
    </xf>
    <xf numFmtId="0" fontId="35" applyFont="1" fillId="0" borderId="27" applyBorder="1" xfId="0" applyAlignment="1">
      <alignment horizontal="center" vertical="center"/>
      <protection hidden="1"/>
    </xf>
    <xf numFmtId="0" fontId="35" applyFont="1" fillId="0" borderId="1" applyBorder="1" xfId="0">
      <protection hidden="1"/>
    </xf>
    <xf numFmtId="0" fontId="35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5" applyFont="1" fillId="0" borderId="3" applyBorder="1" xfId="0" applyAlignment="1">
      <alignment horizontal="center" vertical="center"/>
      <protection hidden="1"/>
    </xf>
    <xf numFmtId="165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5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5" applyFont="1" fillId="0" borderId="14" applyBorder="1" xfId="0" applyAlignment="1">
      <alignment horizontal="center" vertical="center"/>
      <protection hidden="1"/>
    </xf>
    <xf numFmtId="0" fontId="35" applyFont="1" fillId="0" borderId="4" applyBorder="1" xfId="0" applyAlignment="1">
      <alignment horizontal="center" vertical="center"/>
      <protection hidden="1"/>
    </xf>
    <xf numFmtId="0" fontId="40" applyFont="1" fillId="0" borderId="0" xfId="0" applyProtection="1"/>
    <xf numFmtId="0" fontId="0" fillId="0" borderId="24" applyBorder="1" xfId="0" applyProtection="1"/>
    <xf numFmtId="2" applyNumberFormat="1" fontId="35" applyFont="1" fillId="0" borderId="28" applyBorder="1" xfId="0" applyAlignment="1">
      <alignment horizontal="center" vertical="center"/>
      <protection hidden="1"/>
    </xf>
    <xf numFmtId="0" fontId="35" applyFont="1" fillId="0" borderId="28" applyBorder="1" xfId="0" applyAlignment="1">
      <alignment horizontal="center" vertical="center"/>
      <protection hidden="1"/>
    </xf>
    <xf numFmtId="0" fontId="35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5" applyFont="1" fillId="0" borderId="12" applyBorder="1" xfId="0" applyAlignment="1">
      <alignment horizontal="center" vertical="center"/>
      <protection hidden="1"/>
    </xf>
    <xf numFmtId="0" fontId="35" applyFont="1" fillId="0" borderId="12" applyBorder="1" xfId="0" applyAlignment="1">
      <alignment horizontal="center" vertical="center"/>
      <protection hidden="1"/>
    </xf>
    <xf numFmtId="0" fontId="35" applyFont="1" fillId="0" borderId="1" applyBorder="1" xfId="0" applyAlignment="1">
      <alignment horizontal="center" vertical="center"/>
      <protection hidden="1"/>
    </xf>
    <xf numFmtId="0" fontId="35" applyFont="1" fillId="0" borderId="28" applyBorder="1" xfId="0" applyProtection="1" applyAlignment="1">
      <alignment horizontal="center" vertical="center"/>
    </xf>
    <xf numFmtId="0" fontId="35" applyFont="1" fillId="0" borderId="6" applyBorder="1" xfId="0" applyAlignment="1">
      <alignment horizontal="center" vertical="center"/>
      <protection hidden="1"/>
    </xf>
    <xf numFmtId="2" applyNumberFormat="1" fontId="35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39" applyFont="1" fillId="7" applyFill="1" borderId="0" xfId="0" applyProtection="1" applyAlignment="1">
      <alignment horizontal="center" vertical="center" shrinkToFit="1"/>
    </xf>
    <xf numFmtId="0" fontId="43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47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5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6" applyFont="1" fillId="8" applyFill="1" borderId="0" xfId="3" applyProtection="1" applyAlignment="1">
      <alignment vertical="center"/>
    </xf>
    <xf numFmtId="0" fontId="33" applyFont="1" fillId="14" applyFill="1" borderId="0" xfId="3" applyProtection="1" applyAlignment="1">
      <alignment horizontal="center"/>
    </xf>
    <xf numFmtId="165" applyNumberFormat="1" fontId="6" applyFont="1" fillId="0" borderId="0" xfId="3" applyProtection="1" applyAlignment="1">
      <alignment horizontal="center"/>
    </xf>
    <xf numFmtId="165" applyNumberFormat="1" fontId="35" applyFont="1" fillId="0" borderId="0" xfId="3" applyProtection="1" applyAlignment="1">
      <alignment horizontal="center"/>
    </xf>
    <xf numFmtId="0" fontId="35" applyFont="1" fillId="0" borderId="2" applyBorder="1" xfId="0" applyProtection="1" applyAlignment="1">
      <alignment horizontal="center"/>
    </xf>
    <xf numFmtId="165" applyNumberFormat="1" fontId="35" applyFont="1" fillId="0" borderId="2" applyBorder="1" xfId="0" applyProtection="1" applyAlignment="1">
      <alignment horizontal="center"/>
    </xf>
    <xf numFmtId="165" applyNumberFormat="1" fontId="0" fillId="0" borderId="0" xfId="3" applyProtection="1" applyAlignment="1">
      <alignment horizontal="center"/>
    </xf>
    <xf numFmtId="0" fontId="6" applyFont="1" fillId="0" borderId="0" xfId="3" applyProtection="1"/>
    <xf numFmtId="165" applyNumberFormat="1" fontId="2" applyFont="1" fillId="0" borderId="0" xfId="3" applyProtection="1" applyAlignment="1">
      <alignment horizontal="center"/>
    </xf>
    <xf numFmtId="0" fontId="44" applyFont="1" fillId="0" borderId="0" xfId="0" applyProtection="1" applyAlignment="1">
      <alignment horizontal="center" shrinkToFit="1"/>
    </xf>
    <xf numFmtId="0" fontId="42" applyFont="1" fillId="0" borderId="0" xfId="0" applyProtection="1"/>
    <xf numFmtId="4" applyNumberFormat="1" fontId="43" applyFont="1" fillId="7" applyFill="1" borderId="0" xfId="0" applyProtection="1" applyAlignment="1">
      <alignment horizontal="center"/>
    </xf>
    <xf numFmtId="1" applyNumberFormat="1" fontId="43" applyFont="1" fillId="0" borderId="0" xfId="0" applyProtection="1" applyAlignment="1">
      <alignment horizontal="center"/>
    </xf>
    <xf numFmtId="9" applyNumberFormat="1" fontId="43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7" applyFont="1" fillId="2" applyFill="1" borderId="29" applyBorder="1" xfId="0" applyProtection="1" applyAlignment="1">
      <alignment vertical="center"/>
      <protection locked="0"/>
    </xf>
    <xf numFmtId="4" applyNumberFormat="1" fontId="14" applyFont="1" fillId="0" borderId="0" xfId="3" applyProtection="1" applyAlignment="1">
      <alignment horizontal="center"/>
    </xf>
    <xf numFmtId="4" applyNumberFormat="1" fontId="14" applyFont="1" fillId="0" borderId="0" xfId="0" applyProtection="1" applyAlignment="1">
      <alignment horizontal="center"/>
    </xf>
    <xf numFmtId="0" fontId="43" applyFont="1" fillId="15" applyFill="1" borderId="12" applyBorder="1" xfId="0" applyProtection="1" applyAlignment="1">
      <alignment horizontal="center" shrinkToFit="1"/>
    </xf>
    <xf numFmtId="4" applyNumberFormat="1" fontId="43" applyFont="1" fillId="15" applyFill="1" borderId="12" applyBorder="1" xfId="0" applyProtection="1" applyAlignment="1">
      <alignment horizontal="center"/>
    </xf>
    <xf numFmtId="165" applyNumberFormat="1" fontId="43" applyFont="1" fillId="2" applyFill="1" borderId="0" xfId="0" applyProtection="1" applyAlignment="1">
      <alignment horizontal="center" textRotation="90"/>
    </xf>
    <xf numFmtId="4" applyNumberFormat="1" fontId="43" applyFont="1" fillId="0" borderId="0" xfId="0" applyProtection="1" applyAlignment="1">
      <alignment horizontal="center" shrinkToFit="1"/>
    </xf>
    <xf numFmtId="168" applyNumberFormat="1" fontId="43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4" applyFont="1" fillId="16" applyFill="1" borderId="0" xfId="0" applyProtection="1" applyAlignment="1">
      <alignment vertical="center"/>
    </xf>
    <xf numFmtId="0" fontId="55" applyFont="1" fillId="16" applyFill="1" borderId="0" xfId="0" applyProtection="1" applyAlignment="1">
      <alignment vertical="center"/>
    </xf>
    <xf numFmtId="0" fontId="56" applyFont="1" fillId="16" applyFill="1" borderId="0" xfId="0" applyProtection="1" applyAlignment="1">
      <alignment vertical="center"/>
    </xf>
    <xf numFmtId="3" applyNumberFormat="1" fontId="57" applyFont="1" fillId="16" applyFill="1" borderId="0" xfId="0" applyProtection="1" applyAlignment="1">
      <alignment vertical="center"/>
    </xf>
    <xf numFmtId="3" applyNumberFormat="1" fontId="56" applyFont="1" fillId="16" applyFill="1" borderId="0" xfId="0" applyProtection="1" applyAlignment="1">
      <alignment vertical="center"/>
    </xf>
    <xf numFmtId="3" applyNumberFormat="1" fontId="55" applyFont="1" fillId="16" applyFill="1" borderId="23" applyBorder="1" xfId="0" applyProtection="1" applyAlignment="1">
      <alignment horizontal="center" vertical="center"/>
    </xf>
    <xf numFmtId="3" applyNumberFormat="1" fontId="56" applyFont="1" fillId="16" applyFill="1" borderId="0" xfId="0" applyProtection="1"/>
    <xf numFmtId="0" fontId="58" applyFont="1" fillId="16" applyFill="1" borderId="46" applyBorder="1" xfId="0" applyProtection="1" applyAlignment="1">
      <alignment vertical="center"/>
    </xf>
    <xf numFmtId="0" fontId="59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0" applyFont="1" fillId="16" applyFill="1" borderId="48" applyBorder="1" xfId="0" applyProtection="1" applyAlignment="1">
      <alignment vertical="center"/>
    </xf>
    <xf numFmtId="0" fontId="59" applyFont="1" fillId="16" applyFill="1" borderId="49" applyBorder="1" xfId="0" applyProtection="1" applyAlignment="1">
      <alignment horizontal="center" vertical="center"/>
    </xf>
    <xf numFmtId="0" fontId="60" applyFont="1" fillId="16" applyFill="1" borderId="50" applyBorder="1" xfId="0" applyProtection="1" applyAlignment="1">
      <alignment vertical="center"/>
    </xf>
    <xf numFmtId="0" fontId="59" applyFont="1" fillId="16" applyFill="1" borderId="51" applyBorder="1" xfId="0" applyProtection="1" applyAlignment="1">
      <alignment horizontal="center" vertical="center"/>
    </xf>
    <xf numFmtId="0" fontId="58" applyFont="1" fillId="16" applyFill="1" borderId="52" applyBorder="1" xfId="0" applyProtection="1" applyAlignment="1">
      <alignment vertical="center"/>
    </xf>
    <xf numFmtId="0" fontId="60" applyFont="1" fillId="16" applyFill="1" borderId="52" applyBorder="1" xfId="0" applyProtection="1" applyAlignment="1">
      <alignment vertical="center"/>
    </xf>
    <xf numFmtId="0" fontId="61" applyFont="1" fillId="17" applyFill="1" borderId="0" xfId="0" applyProtection="1" applyAlignment="1">
      <alignment vertical="center"/>
    </xf>
    <xf numFmtId="0" fontId="62" applyFont="1" fillId="17" applyFill="1" borderId="0" xfId="0" applyProtection="1" applyAlignment="1">
      <alignment vertical="center"/>
    </xf>
    <xf numFmtId="0" fontId="60" applyFont="1" fillId="16" applyFill="1" borderId="45" applyBorder="1" xfId="0" applyProtection="1" applyAlignment="1">
      <alignment horizontal="center" vertical="center"/>
    </xf>
    <xf numFmtId="0" fontId="55" applyFont="1" fillId="15" applyFill="1" borderId="0" xfId="0" applyProtection="1" applyAlignment="1">
      <alignment vertical="center"/>
    </xf>
    <xf numFmtId="0" fontId="64" applyFont="1" fillId="16" applyFill="1" borderId="0" xfId="0" applyProtection="1" applyAlignment="1">
      <alignment vertical="center"/>
    </xf>
    <xf numFmtId="0" fontId="55" applyFont="1" fillId="16" applyFill="1" borderId="52" applyBorder="1" xfId="0" applyProtection="1" applyAlignment="1">
      <alignment vertical="center"/>
    </xf>
    <xf numFmtId="0" fontId="58" applyFont="1" fillId="16" applyFill="1" borderId="50" applyBorder="1" xfId="0" applyProtection="1" applyAlignment="1">
      <alignment vertical="center"/>
    </xf>
    <xf numFmtId="0" fontId="63" applyFont="1" fillId="16" applyFill="1" borderId="0" xfId="0" applyProtection="1"/>
    <xf numFmtId="0" fontId="65" applyFont="1" fillId="16" applyFill="1" borderId="55" applyBorder="1" xfId="0" applyProtection="1" applyAlignment="1">
      <alignment horizontal="center" vertical="center"/>
    </xf>
    <xf numFmtId="0" fontId="65" applyFont="1" fillId="16" applyFill="1" borderId="56" applyBorder="1" xfId="0" applyProtection="1" applyAlignment="1">
      <alignment horizontal="center" vertical="center"/>
    </xf>
    <xf numFmtId="0" fontId="66" applyFont="1" fillId="16" applyFill="1" borderId="57" applyBorder="1" xfId="0" applyProtection="1" applyAlignment="1">
      <alignment horizontal="center" vertical="center"/>
    </xf>
    <xf numFmtId="164" applyNumberFormat="1" fontId="64" applyFont="1" fillId="16" applyFill="1" borderId="58" applyBorder="1" xfId="1" applyProtection="1" applyAlignment="1">
      <alignment horizontal="center" vertical="center"/>
    </xf>
    <xf numFmtId="0" fontId="67" applyFont="1" fillId="16" applyFill="1" borderId="55" applyBorder="1" xfId="0" applyProtection="1" applyAlignment="1">
      <alignment horizontal="center" vertical="center"/>
    </xf>
    <xf numFmtId="0" fontId="65" applyFont="1" fillId="16" applyFill="1" borderId="59" applyBorder="1" xfId="0" applyProtection="1" applyAlignment="1">
      <alignment horizontal="center" vertical="center"/>
    </xf>
    <xf numFmtId="0" fontId="65" applyFont="1" fillId="18" applyFill="1" borderId="60" applyBorder="1" xfId="0" applyProtection="1" applyAlignment="1">
      <alignment horizontal="center" vertical="center"/>
    </xf>
    <xf numFmtId="0" fontId="65" applyFont="1" fillId="18" applyFill="1" borderId="56" applyBorder="1" xfId="0" applyProtection="1" applyAlignment="1">
      <alignment horizontal="center" vertical="center"/>
    </xf>
    <xf numFmtId="0" fontId="68" applyFont="1" fillId="16" applyFill="1" borderId="0" xfId="0" applyProtection="1"/>
    <xf numFmtId="0" fontId="68" applyFont="1" fillId="16" applyFill="1" borderId="61" applyBorder="1" xfId="0" applyProtection="1"/>
    <xf numFmtId="0" fontId="68" applyFont="1" fillId="16" applyFill="1" borderId="56" applyBorder="1" xfId="0" applyProtection="1"/>
    <xf numFmtId="0" fontId="65" applyFont="1" fillId="16" applyFill="1" borderId="62" applyBorder="1" xfId="0" applyProtection="1" applyAlignment="1">
      <alignment horizontal="center" vertical="center"/>
    </xf>
    <xf numFmtId="0" fontId="65" applyFont="1" fillId="16" applyFill="1" borderId="57" applyBorder="1" xfId="0" applyProtection="1" applyAlignment="1">
      <alignment horizontal="center" vertical="center"/>
    </xf>
    <xf numFmtId="0" fontId="65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69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5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67" applyFont="1" fillId="16" applyFill="1" borderId="58" applyBorder="1" xfId="0" applyProtection="1" applyAlignment="1">
      <alignment horizontal="center" vertical="center"/>
    </xf>
    <xf numFmtId="0" fontId="70" applyFont="1" fillId="7" applyFill="1" borderId="45" applyBorder="1" xfId="0" applyProtection="1" applyAlignment="1">
      <alignment horizontal="center"/>
    </xf>
    <xf numFmtId="0" fontId="56" applyFont="1" fillId="16" applyFill="1" borderId="0" xfId="0" applyProtection="1"/>
    <xf numFmtId="3" applyNumberFormat="1" fontId="73" applyFont="1" fillId="16" applyFill="1" borderId="0" xfId="0" applyProtection="1"/>
    <xf numFmtId="0" fontId="71" applyFont="1" fillId="16" applyFill="1" borderId="0" xfId="0" applyProtection="1" applyAlignment="1">
      <alignment vertical="center"/>
    </xf>
    <xf numFmtId="0" fontId="65" applyFont="1" fillId="16" applyFill="1" borderId="54" applyBorder="1" xfId="0" applyProtection="1" applyAlignment="1">
      <alignment horizontal="center" vertical="center"/>
    </xf>
    <xf numFmtId="0" fontId="78" applyFont="1" fillId="16" applyFill="1" borderId="0" xfId="0" applyProtection="1"/>
    <xf numFmtId="0" fontId="79" applyFont="1" fillId="0" borderId="45" applyBorder="1" xfId="0" applyProtection="1" applyAlignment="1">
      <alignment horizontal="center" vertical="center"/>
    </xf>
    <xf numFmtId="0" fontId="80" applyFont="1" fillId="0" borderId="45" applyBorder="1" xfId="0" applyProtection="1" applyAlignment="1">
      <alignment horizontal="center" vertical="center" wrapText="1"/>
    </xf>
    <xf numFmtId="0" fontId="79" applyFont="1" fillId="0" borderId="31" applyBorder="1" xfId="0" applyProtection="1" applyAlignment="1">
      <alignment horizontal="center" vertical="center"/>
    </xf>
    <xf numFmtId="0" fontId="81" applyFont="1" fillId="0" borderId="41" applyBorder="1" xfId="0" applyProtection="1" applyAlignment="1">
      <alignment horizontal="center" vertical="center"/>
    </xf>
    <xf numFmtId="0" fontId="81" applyFont="1" fillId="0" borderId="63" applyBorder="1" xfId="0" applyProtection="1" applyAlignment="1">
      <alignment horizontal="center" vertical="center"/>
    </xf>
    <xf numFmtId="0" fontId="81" applyFont="1" fillId="0" borderId="64" applyBorder="1" xfId="0" applyProtection="1" applyAlignment="1">
      <alignment horizontal="center" vertical="center"/>
    </xf>
    <xf numFmtId="0" fontId="54" applyFont="1" fillId="16" applyFill="1" borderId="48" applyBorder="1" xfId="0" applyProtection="1" applyAlignment="1">
      <alignment vertical="center"/>
    </xf>
    <xf numFmtId="1" applyNumberFormat="1" fontId="54" applyFont="1" fillId="16" applyFill="1" borderId="48" applyBorder="1" xfId="0" applyProtection="1" applyAlignment="1">
      <alignment vertical="center"/>
    </xf>
    <xf numFmtId="1" applyNumberFormat="1" fontId="54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1" applyFont="1" fillId="8" applyFill="1" borderId="0" xfId="0" applyProtection="1" applyAlignment="1">
      <alignment vertical="center"/>
    </xf>
    <xf numFmtId="0" fontId="86" applyFont="1" fillId="7" applyFill="1" borderId="45" applyBorder="1" xfId="0" applyProtection="1" applyAlignment="1">
      <alignment horizontal="center" vertical="center"/>
    </xf>
    <xf numFmtId="0" fontId="55" applyFont="1" fillId="8" applyFill="1" borderId="0" xfId="0" applyProtection="1" applyAlignment="1">
      <alignment vertical="center"/>
    </xf>
    <xf numFmtId="0" fontId="54" applyFont="1" fillId="0" borderId="0" xfId="0" applyProtection="1" applyAlignment="1">
      <alignment vertical="center"/>
    </xf>
    <xf numFmtId="3" applyNumberFormat="1" fontId="56" applyFont="1" fillId="0" borderId="0" xfId="0" applyProtection="1" applyAlignment="1">
      <alignment vertical="center"/>
    </xf>
    <xf numFmtId="3" applyNumberFormat="1" fontId="56" applyFont="1" fillId="0" borderId="0" xfId="0" applyProtection="1"/>
    <xf numFmtId="0" fontId="61" applyFont="1" fillId="0" borderId="0" xfId="0" applyProtection="1" applyAlignment="1">
      <alignment vertical="center"/>
    </xf>
    <xf numFmtId="0" fontId="59" applyFont="1" fillId="16" applyFill="1" borderId="69" applyBorder="1" xfId="0" applyProtection="1" applyAlignment="1">
      <alignment horizontal="center" vertical="center"/>
    </xf>
    <xf numFmtId="0" fontId="86" applyFont="1" fillId="0" borderId="0" xfId="0" applyProtection="1" applyAlignment="1">
      <alignment horizontal="center" vertical="center"/>
    </xf>
    <xf numFmtId="0" fontId="55" applyFont="1" fillId="0" borderId="0" xfId="0" applyProtection="1" applyAlignment="1">
      <alignment vertical="center"/>
    </xf>
    <xf numFmtId="0" fontId="60" applyFont="1" fillId="0" borderId="0" xfId="0" applyProtection="1" applyAlignment="1">
      <alignment horizontal="center" vertical="center"/>
    </xf>
    <xf numFmtId="1" applyNumberFormat="1" fontId="54" applyFont="1" fillId="16" applyFill="1" borderId="56" applyBorder="1" xfId="0" applyProtection="1" applyAlignment="1">
      <alignment vertical="center"/>
    </xf>
    <xf numFmtId="0" fontId="54" applyFont="1" fillId="16" applyFill="1" borderId="56" applyBorder="1" xfId="0" applyProtection="1" applyAlignment="1">
      <alignment vertical="center"/>
    </xf>
    <xf numFmtId="0" fontId="55" applyFont="1" fillId="16" applyFill="1" borderId="56" applyBorder="1" xfId="0" applyProtection="1" applyAlignment="1">
      <alignment vertical="center"/>
    </xf>
    <xf numFmtId="0" fontId="69" applyFont="1" fillId="16" applyFill="1" borderId="56" applyBorder="1" xfId="0" applyProtection="1" applyAlignment="1">
      <alignment vertical="center"/>
    </xf>
    <xf numFmtId="0" fontId="62" applyFont="1" fillId="8" applyFill="1" borderId="0" xfId="0" applyProtection="1" applyAlignment="1">
      <alignment vertical="center"/>
    </xf>
    <xf numFmtId="0" fontId="58" applyFont="1" fillId="16" applyFill="1" borderId="56" applyBorder="1" xfId="0" applyProtection="1" applyAlignment="1">
      <alignment vertical="center"/>
    </xf>
    <xf numFmtId="0" fontId="88" applyFont="1" fillId="0" borderId="45" applyBorder="1" xfId="0" applyProtection="1" applyAlignment="1">
      <alignment horizontal="center" vertical="center"/>
    </xf>
    <xf numFmtId="0" fontId="62" applyFont="1" fillId="0" borderId="0" xfId="0" applyProtection="1" applyAlignment="1">
      <alignment vertical="center"/>
    </xf>
    <xf numFmtId="1" applyNumberFormat="1" fontId="54" applyFont="1" fillId="16" applyFill="1" borderId="56" applyBorder="1" xfId="0" applyProtection="1" applyAlignment="1">
      <alignment horizontal="center" vertical="center"/>
    </xf>
    <xf numFmtId="0" fontId="63" applyFont="1" fillId="16" applyFill="1" borderId="56" applyBorder="1" xfId="0" applyProtection="1"/>
    <xf numFmtId="0" fontId="60" applyFont="1" fillId="16" applyFill="1" borderId="31" applyBorder="1" xfId="0" applyProtection="1" applyAlignment="1">
      <alignment horizontal="center" vertical="center"/>
    </xf>
    <xf numFmtId="0" fontId="52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0" applyFont="1" fillId="0" borderId="21" applyBorder="1" xfId="0" applyProtection="1" applyAlignment="1">
      <alignment horizontal="center"/>
    </xf>
    <xf numFmtId="0" fontId="90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0" applyFont="1" fillId="0" borderId="0" xfId="0" applyProtection="1" applyAlignment="1">
      <alignment horizontal="center"/>
    </xf>
    <xf numFmtId="0" fontId="90" applyFont="1" fillId="0" borderId="24" applyBorder="1" xfId="0" applyProtection="1" applyAlignment="1">
      <alignment horizontal="center"/>
    </xf>
    <xf numFmtId="0" fontId="90" applyFont="1" fillId="0" borderId="25" applyBorder="1" xfId="0" applyProtection="1" applyAlignment="1">
      <alignment horizontal="center"/>
    </xf>
    <xf numFmtId="0" fontId="90" applyFont="1" fillId="0" borderId="26" applyBorder="1" xfId="0" applyProtection="1" applyAlignment="1">
      <alignment horizontal="center"/>
    </xf>
    <xf numFmtId="0" fontId="90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3" applyFont="1" fillId="0" borderId="0" xfId="0" applyProtection="1" applyAlignment="1">
      <alignment horizontal="center"/>
    </xf>
    <xf numFmtId="0" fontId="93" applyFont="1" fillId="0" borderId="0" xfId="0" applyProtection="1" applyAlignment="1">
      <alignment horizontal="center"/>
      <protection locked="0"/>
    </xf>
    <xf numFmtId="0" fontId="93" applyFont="1" fillId="0" borderId="0" xfId="0" applyProtection="1" applyAlignment="1">
      <alignment horizontal="center" vertical="center" shrinkToFit="1"/>
    </xf>
    <xf numFmtId="0" fontId="93" applyFont="1" fillId="0" borderId="0" xfId="0" applyProtection="1" applyAlignment="1">
      <alignment horizontal="center" shrinkToFit="1"/>
    </xf>
    <xf numFmtId="0" fontId="95" applyFont="1" fillId="0" borderId="0" xfId="0" applyProtection="1" applyAlignment="1">
      <alignment horizontal="center"/>
    </xf>
    <xf numFmtId="2" applyNumberFormat="1" fontId="93" applyFont="1" fillId="12" applyFill="1" borderId="0" xfId="0" applyProtection="1" applyAlignment="1">
      <alignment horizontal="center"/>
    </xf>
    <xf numFmtId="9" applyNumberFormat="1" fontId="94" applyFont="1" fillId="0" borderId="0" xfId="0" applyProtection="1" applyAlignment="1">
      <alignment horizontal="center"/>
    </xf>
    <xf numFmtId="0" fontId="58" applyFont="1" fillId="16" applyFill="1" borderId="0" xfId="0" applyProtection="1" applyAlignment="1">
      <alignment vertical="center"/>
    </xf>
    <xf numFmtId="0" fontId="60" applyFont="1" fillId="16" applyFill="1" borderId="0" xfId="0" applyProtection="1" applyAlignment="1">
      <alignment vertical="center"/>
    </xf>
    <xf numFmtId="0" fontId="55" applyFont="1" fillId="16" applyFill="1" borderId="22" applyBorder="1" xfId="0" applyProtection="1" applyAlignment="1">
      <alignment horizontal="center" vertical="center"/>
    </xf>
    <xf numFmtId="0" fontId="58" applyFont="1" fillId="16" applyFill="1" borderId="55" applyBorder="1" xfId="0" applyProtection="1" applyAlignment="1">
      <alignment vertical="center"/>
    </xf>
    <xf numFmtId="0" fontId="96" applyFont="1" fillId="16" applyFill="1" borderId="56" applyBorder="1" xfId="0" applyProtection="1" applyAlignment="1">
      <alignment vertical="center"/>
    </xf>
    <xf numFmtId="0" fontId="59" applyFont="1" fillId="16" applyFill="1" borderId="56" applyBorder="1" xfId="0" applyProtection="1" applyAlignment="1">
      <alignment horizontal="center" vertical="center"/>
    </xf>
    <xf numFmtId="0" fontId="59" applyFont="1" fillId="16" applyFill="1" borderId="59" applyBorder="1" xfId="0" applyProtection="1" applyAlignment="1">
      <alignment horizontal="center" vertical="center"/>
    </xf>
    <xf numFmtId="0" fontId="63" applyFont="1" fillId="16" applyFill="1" borderId="59" applyBorder="1" xfId="0" applyProtection="1"/>
    <xf numFmtId="0" fontId="63" applyFont="1" fillId="16" applyFill="1" borderId="58" applyBorder="1" xfId="0" applyProtection="1"/>
    <xf numFmtId="0" fontId="96" applyFont="1" fillId="16" applyFill="1" borderId="71" applyBorder="1" xfId="0" applyProtection="1" applyAlignment="1">
      <alignment vertical="center"/>
    </xf>
    <xf numFmtId="0" fontId="96" applyFont="1" fillId="16" applyFill="1" borderId="69" applyBorder="1" xfId="0" applyProtection="1" applyAlignment="1">
      <alignment vertical="center"/>
    </xf>
    <xf numFmtId="166" applyNumberFormat="1" fontId="35" applyFont="1" fillId="0" borderId="0" xfId="0" applyProtection="1" applyAlignment="1">
      <alignment horizontal="center"/>
    </xf>
    <xf numFmtId="1" applyNumberFormat="1" fontId="35" applyFont="1" fillId="0" borderId="0" xfId="0" applyProtection="1" applyAlignment="1">
      <alignment horizontal="center"/>
    </xf>
    <xf numFmtId="0" fontId="2" applyFont="1" fillId="0" borderId="0" xfId="3" applyProtection="1" applyAlignment="1">
      <alignment horizontal="center" vertical="center"/>
    </xf>
    <xf numFmtId="0" fontId="72" applyFont="1" fillId="16" applyFill="1" borderId="0" xfId="0" applyProtection="1" applyAlignment="1">
      <alignment vertical="center"/>
    </xf>
    <xf numFmtId="0" fontId="97" applyFont="1" fillId="16" applyFill="1" borderId="49" applyBorder="1" xfId="0" applyProtection="1" applyAlignment="1">
      <alignment horizontal="center" vertical="center"/>
    </xf>
    <xf numFmtId="1" applyNumberFormat="1" fontId="98" applyFont="1" fillId="16" applyFill="1" borderId="56" applyBorder="1" xfId="0" applyProtection="1" applyAlignment="1">
      <alignment horizontal="center" vertical="center"/>
    </xf>
    <xf numFmtId="0" fontId="100" applyFont="1" fillId="8" applyFill="1" borderId="23" applyBorder="1" xfId="3" applyProtection="1" applyAlignment="1">
      <alignment horizontal="center" vertical="center"/>
    </xf>
    <xf numFmtId="168" applyNumberFormat="1" fontId="101" applyFont="1" fillId="8" applyFill="1" borderId="0" xfId="3" applyProtection="1" applyAlignment="1">
      <alignment horizontal="center" vertical="center"/>
    </xf>
    <xf numFmtId="0" fontId="100" applyFont="1" fillId="20" applyFill="1" borderId="0" xfId="3" applyProtection="1" applyAlignment="1">
      <alignment horizontal="center" vertical="center"/>
    </xf>
    <xf numFmtId="3" applyNumberFormat="1" fontId="100" applyFont="1" fillId="2" applyFill="1" borderId="0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0" fontId="103" applyFont="1" fillId="0" borderId="23" applyBorder="1" xfId="0" applyProtection="1" applyAlignment="1">
      <alignment horizontal="center" vertical="center"/>
    </xf>
    <xf numFmtId="0" fontId="103" applyFont="1" fillId="0" borderId="0" xfId="0" applyProtection="1" applyAlignment="1">
      <alignment horizontal="center" vertical="center"/>
    </xf>
    <xf numFmtId="0" fontId="99" applyFont="1" fillId="0" borderId="28" applyBorder="1" xfId="3" applyProtection="1" applyAlignment="1">
      <alignment horizontal="center" vertical="center"/>
    </xf>
    <xf numFmtId="3" applyNumberFormat="1" fontId="103" applyFont="1" fillId="0" borderId="0" xfId="0" applyProtection="1" applyAlignment="1">
      <alignment horizontal="center" vertical="center"/>
    </xf>
    <xf numFmtId="168" applyNumberFormat="1" fontId="103" applyFont="1" fillId="0" borderId="0" xfId="0" applyProtection="1" applyAlignment="1">
      <alignment horizontal="center" vertical="center"/>
    </xf>
    <xf numFmtId="0" fontId="2" applyFont="1" fillId="0" borderId="28" applyBorder="1" xfId="3" applyProtection="1" applyAlignment="1">
      <alignment horizontal="center" vertical="center"/>
    </xf>
    <xf numFmtId="0" fontId="100" applyFont="1" fillId="0" borderId="0" xfId="3" applyProtection="1" applyAlignment="1">
      <alignment horizontal="center" vertical="center"/>
    </xf>
    <xf numFmtId="0" fontId="99" applyFont="1" fillId="0" borderId="0" xfId="3" applyProtection="1" applyAlignment="1">
      <alignment horizontal="center" vertical="center"/>
    </xf>
    <xf numFmtId="2" applyNumberFormat="1" fontId="2" applyFont="1" fillId="0" borderId="0" xfId="3" applyProtection="1" applyAlignment="1">
      <alignment horizontal="center" vertical="center"/>
    </xf>
    <xf numFmtId="0" fontId="1" applyFont="1" fillId="0" borderId="0" xfId="0" applyProtection="1" applyAlignment="1">
      <alignment horizontal="center"/>
    </xf>
    <xf numFmtId="0" fontId="6" applyFont="1" fillId="0" borderId="0" xfId="0" applyAlignment="1">
      <alignment horizontal="center" vertical="center"/>
      <protection hidden="1"/>
    </xf>
    <xf numFmtId="0" fontId="6" applyFont="1" fillId="0" borderId="23" applyBorder="1" xfId="0" applyAlignment="1">
      <alignment horizontal="center" vertical="center"/>
      <protection hidden="1"/>
    </xf>
    <xf numFmtId="4" applyNumberFormat="1" fontId="105" applyFont="1" fillId="0" borderId="0" xfId="3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 shrinkToFit="1"/>
    </xf>
    <xf numFmtId="0" fontId="106" applyFont="1" fillId="0" borderId="0" xfId="3" applyProtection="1" applyAlignment="1">
      <alignment horizontal="center"/>
      <protection locked="0"/>
    </xf>
    <xf numFmtId="0" fontId="106" applyFont="1" fillId="0" borderId="0" xfId="3" applyProtection="1" applyAlignment="1">
      <alignment horizontal="center" vertical="center" shrinkToFit="1"/>
    </xf>
    <xf numFmtId="0" fontId="107" applyFont="1" fillId="0" borderId="0" xfId="0" applyProtection="1" applyAlignment="1">
      <alignment horizontal="center"/>
    </xf>
    <xf numFmtId="0" fontId="107" applyFont="1" fillId="0" borderId="0" xfId="0" applyProtection="1" applyAlignment="1">
      <alignment horizontal="center"/>
      <protection locked="0"/>
    </xf>
    <xf numFmtId="0" fontId="107" applyFont="1" fillId="0" borderId="0" xfId="0" applyProtection="1" applyAlignment="1">
      <alignment horizontal="center" vertical="center" shrinkToFit="1"/>
    </xf>
    <xf numFmtId="0" fontId="107" applyFont="1" fillId="0" borderId="0" xfId="0" applyProtection="1" applyAlignment="1">
      <alignment horizontal="center" shrinkToFit="1"/>
    </xf>
    <xf numFmtId="0" fontId="108" applyFont="1" fillId="0" borderId="0" xfId="0" applyProtection="1" applyAlignment="1">
      <alignment horizontal="center"/>
    </xf>
    <xf numFmtId="2" applyNumberFormat="1" fontId="107" applyFont="1" fillId="12" applyFill="1" borderId="0" xfId="0" applyProtection="1" applyAlignment="1">
      <alignment horizontal="center"/>
    </xf>
    <xf numFmtId="9" applyNumberFormat="1" fontId="109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 vertical="center" shrinkToFit="1"/>
    </xf>
    <xf numFmtId="0" fontId="106" applyFont="1" fillId="0" borderId="0" xfId="0" applyProtection="1" applyAlignment="1">
      <alignment horizontal="center" vertical="center"/>
    </xf>
    <xf numFmtId="0" fontId="106" applyFont="1" fillId="0" borderId="0" xfId="3" applyProtection="1" applyAlignment="1">
      <alignment horizontal="center"/>
    </xf>
    <xf numFmtId="0" fontId="106" applyFont="1" fillId="0" borderId="0" xfId="0" applyProtection="1" applyAlignment="1">
      <alignment horizontal="center"/>
      <protection locked="0"/>
    </xf>
    <xf numFmtId="4" applyNumberFormat="1" fontId="22" applyFont="1" fillId="13" applyFill="1" borderId="0" xfId="0" applyProtection="1" applyAlignment="1">
      <alignment horizontal="center"/>
    </xf>
    <xf numFmtId="0" fontId="109" applyFont="1" fillId="0" borderId="0" xfId="0" applyProtection="1" applyAlignment="1">
      <alignment horizontal="center"/>
    </xf>
    <xf numFmtId="0" fontId="33" applyFont="1" fillId="0" borderId="21" applyBorder="1" xfId="0" applyProtection="1" applyAlignment="1">
      <alignment horizontal="center"/>
    </xf>
    <xf numFmtId="0" fontId="33" applyFont="1" fillId="0" borderId="0" xfId="0" applyProtection="1" applyAlignment="1">
      <alignment horizontal="center"/>
    </xf>
    <xf numFmtId="0" fontId="6" applyFont="1" fillId="0" borderId="0" xfId="0">
      <protection hidden="1"/>
    </xf>
    <xf numFmtId="0" fontId="0" fillId="8" applyFill="1" borderId="0" xfId="0" applyAlignment="1">
      <alignment horizontal="center" vertical="center"/>
      <protection hidden="1"/>
    </xf>
    <xf numFmtId="1" applyNumberFormat="1" fontId="0" fillId="8" applyFill="1" borderId="0" xfId="0" applyAlignment="1">
      <alignment horizontal="center" vertical="center"/>
      <protection hidden="1"/>
    </xf>
    <xf numFmtId="0" fontId="22" applyFont="1" fillId="0" borderId="0" xfId="0" applyProtection="1" applyAlignment="1">
      <alignment horizontal="center"/>
      <protection locked="0"/>
    </xf>
    <xf numFmtId="0" fontId="22" applyFont="1" fillId="0" borderId="0" xfId="0" applyProtection="1" applyAlignment="1">
      <alignment horizontal="center"/>
    </xf>
    <xf numFmtId="0" fontId="22" applyFont="1" fillId="0" borderId="0" xfId="0" applyProtection="1" applyAlignment="1">
      <alignment horizontal="center" shrinkToFit="1"/>
    </xf>
    <xf numFmtId="0" fontId="6" applyFont="1" fillId="0" borderId="0" xfId="0" applyProtection="1" applyAlignment="1">
      <alignment horizontal="center"/>
    </xf>
    <xf numFmtId="2" applyNumberFormat="1" fontId="22" applyFont="1" fillId="12" applyFill="1" borderId="0" xfId="0" applyProtection="1" applyAlignment="1">
      <alignment horizontal="center"/>
    </xf>
    <xf numFmtId="9" applyNumberFormat="1" fontId="6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 shrinkToFit="1"/>
    </xf>
    <xf numFmtId="4" applyNumberFormat="1" fontId="106" applyFont="1" fillId="0" borderId="0" xfId="0" applyProtection="1" applyAlignment="1">
      <alignment horizontal="center"/>
    </xf>
    <xf numFmtId="4" applyNumberFormat="1" fontId="110" applyFont="1" fillId="0" borderId="0" xfId="0" applyProtection="1" applyAlignment="1">
      <alignment horizontal="center" shrinkToFit="1"/>
    </xf>
    <xf numFmtId="2" applyNumberFormat="1" fontId="106" applyFont="1" fillId="12" applyFill="1" borderId="0" xfId="0" applyProtection="1" applyAlignment="1">
      <alignment horizontal="center"/>
    </xf>
    <xf numFmtId="0" fontId="33" applyFont="1" fillId="0" borderId="20" applyBorder="1" xfId="0" applyProtection="1" applyAlignment="1">
      <alignment horizontal="center"/>
    </xf>
    <xf numFmtId="0" fontId="33" applyFont="1" fillId="0" borderId="23" applyBorder="1" xfId="0" applyProtection="1" applyAlignment="1">
      <alignment horizontal="center"/>
    </xf>
    <xf numFmtId="0" fontId="68" applyFont="1" fillId="16" applyFill="1" borderId="56" applyBorder="1" xfId="0" applyProtection="1" applyAlignment="1">
      <alignment horizontal="center"/>
    </xf>
    <xf numFmtId="0" fontId="43" applyFont="1" fillId="2" applyFill="1" borderId="0" xfId="0" applyProtection="1" applyAlignment="1">
      <alignment horizontal="center"/>
      <protection locked="0"/>
    </xf>
    <xf numFmtId="0" fontId="44" applyFont="1" fillId="2" applyFill="1" borderId="0" xfId="0" applyProtection="1" applyAlignment="1">
      <alignment horizontal="center"/>
      <protection locked="0"/>
    </xf>
    <xf numFmtId="2" applyNumberFormat="1" fontId="6" applyFont="1" fillId="0" borderId="28" applyBorder="1" xfId="3" applyProtection="1" applyAlignment="1">
      <alignment horizontal="center" vertical="center"/>
    </xf>
    <xf numFmtId="3" applyNumberFormat="1" fontId="6" applyFont="1" fillId="0" borderId="28" applyBorder="1" xfId="3" applyProtection="1" applyAlignment="1">
      <alignment horizontal="center" vertical="center"/>
    </xf>
    <xf numFmtId="0" fontId="16" applyFont="1" fillId="8" applyFill="1" borderId="14" applyBorder="1" xfId="3" applyProtection="1" applyAlignment="1">
      <alignment horizontal="center" vertical="center" shrinkToFit="1"/>
    </xf>
    <xf numFmtId="0" fontId="71" applyFont="1" fillId="16" applyFill="1" borderId="0" xfId="0" applyProtection="1" applyAlignment="1">
      <alignment vertical="top"/>
    </xf>
    <xf numFmtId="0" fontId="111" applyFont="1" fillId="0" borderId="0" xfId="0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/>
    </xf>
    <xf numFmtId="0" fontId="39" applyFont="1" fillId="0" borderId="0" xfId="0" applyProtection="1" applyAlignment="1">
      <alignment horizontal="center" vertical="center"/>
    </xf>
    <xf numFmtId="0" fontId="22" applyFont="1" fillId="0" borderId="0" xfId="0" applyProtection="1" applyAlignment="1">
      <alignment horizontal="center" vertical="center" wrapText="1"/>
    </xf>
    <xf numFmtId="0" fontId="22" applyFont="1" fillId="8" applyFill="1" borderId="0" xfId="0" applyProtection="1" applyAlignment="1">
      <alignment horizontal="center" vertical="center"/>
    </xf>
    <xf numFmtId="0" fontId="39" applyFont="1" fillId="0" borderId="0" xfId="0" applyProtection="1" applyAlignment="1">
      <alignment horizontal="center" vertical="center" wrapText="1"/>
    </xf>
    <xf numFmtId="0" fontId="34" applyFont="1" fillId="0" borderId="0" xfId="0" applyProtection="1" applyAlignment="1">
      <alignment horizontal="center" vertical="center" wrapText="1"/>
    </xf>
    <xf numFmtId="0" fontId="6" applyFont="1" fillId="0" borderId="0" xfId="0" applyProtection="1" applyAlignment="1">
      <alignment horizontal="center" vertical="center"/>
    </xf>
    <xf numFmtId="165" applyNumberFormat="1" fontId="112" applyFont="1" fillId="21" applyFill="1" borderId="0" xfId="0" applyProtection="1" applyAlignment="1">
      <alignment horizontal="center" vertical="center"/>
    </xf>
    <xf numFmtId="0" fontId="113" applyFont="1" fillId="4" applyFill="1" borderId="0" xfId="0" applyProtection="1" applyAlignment="1">
      <alignment horizontal="center" vertical="center"/>
    </xf>
    <xf numFmtId="0" fontId="114" applyFont="1" fillId="2" applyFill="1" borderId="0" xfId="0" applyProtection="1" applyAlignment="1">
      <alignment horizontal="center" vertical="center"/>
    </xf>
    <xf numFmtId="0" fontId="0" fillId="2" applyFill="1" borderId="0" xfId="0" applyProtection="1"/>
    <xf numFmtId="0" fontId="0" fillId="2" applyFill="1" borderId="0" xfId="0" applyProtection="1" applyAlignment="1">
      <alignment horizontal="center"/>
    </xf>
    <xf numFmtId="3" applyNumberFormat="1" fontId="77" applyFont="1" fillId="2" applyFill="1" borderId="0" xfId="0" applyProtection="1" applyAlignment="1">
      <alignment vertical="center"/>
    </xf>
    <xf numFmtId="3" applyNumberFormat="1" fontId="56" applyFont="1" fillId="2" applyFill="1" borderId="0" xfId="0" applyProtection="1"/>
    <xf numFmtId="3" applyNumberFormat="1" fontId="73" applyFont="1" fillId="2" applyFill="1" borderId="0" xfId="0" applyProtection="1"/>
    <xf numFmtId="0" fontId="116" applyFont="1" fillId="3" applyFill="1" borderId="73" applyBorder="1" xfId="0" applyProtection="1" applyAlignment="1">
      <alignment horizontal="center" vertical="center"/>
    </xf>
    <xf numFmtId="0" fontId="62" applyFont="1" fillId="0" borderId="0" xfId="0" applyProtection="1" applyAlignment="1">
      <alignment horizontal="center" vertical="center"/>
    </xf>
    <xf numFmtId="0" fontId="62" applyFont="1" fillId="0" borderId="72" applyBorder="1" xfId="0" applyProtection="1" applyAlignment="1">
      <alignment horizontal="center" vertical="center"/>
    </xf>
    <xf numFmtId="0" fontId="116" applyFont="1" fillId="0" borderId="66" applyBorder="1" xfId="0" applyProtection="1" applyAlignment="1">
      <alignment vertical="center"/>
    </xf>
    <xf numFmtId="0" fontId="32" applyFont="1" fillId="0" borderId="0" xfId="0" applyProtection="1" applyAlignment="1">
      <alignment vertical="center"/>
    </xf>
    <xf numFmtId="0" fontId="32" applyFont="1" fillId="0" borderId="0" xfId="0" applyProtection="1" applyAlignment="1">
      <alignment horizontal="center" vertical="center"/>
    </xf>
    <xf numFmtId="0" fontId="32" applyFont="1" fillId="0" borderId="0" xfId="0" applyProtection="1" applyAlignment="1">
      <alignment horizontal="center" vertical="center" wrapText="1"/>
    </xf>
    <xf numFmtId="0" fontId="39" applyFont="1" fillId="0" borderId="0" xfId="0" applyProtection="1" applyAlignment="1">
      <alignment horizontal="center" vertical="center" shrinkToFit="1"/>
    </xf>
    <xf numFmtId="0" fontId="117" applyFont="1" fillId="0" borderId="0" xfId="0" applyProtection="1" applyAlignment="1">
      <alignment horizontal="center" vertical="center"/>
    </xf>
    <xf numFmtId="0" fontId="115" applyFont="1" fillId="0" borderId="0" xfId="0" applyProtection="1" applyAlignment="1">
      <alignment horizontal="center" vertical="center"/>
    </xf>
    <xf numFmtId="0" fontId="115" applyFont="1" fillId="0" borderId="0" xfId="0" applyProtection="1" applyAlignment="1">
      <alignment horizontal="center" vertical="center" shrinkToFit="1"/>
    </xf>
    <xf numFmtId="0" fontId="39" applyFont="1" fillId="0" borderId="7" applyBorder="1" xfId="0" applyProtection="1" applyAlignment="1">
      <alignment horizontal="center" vertical="center"/>
    </xf>
    <xf numFmtId="0" fontId="39" applyFont="1" fillId="0" borderId="13" applyBorder="1" xfId="0" applyProtection="1" applyAlignment="1">
      <alignment horizontal="center" vertical="center" shrinkToFit="1"/>
    </xf>
    <xf numFmtId="0" fontId="39" applyFont="1" fillId="0" borderId="74" applyBorder="1" xfId="0" applyProtection="1" applyAlignment="1">
      <alignment horizontal="center" vertical="center"/>
    </xf>
    <xf numFmtId="0" fontId="32" applyFont="1" fillId="0" borderId="75" applyBorder="1" xfId="0" applyProtection="1" applyAlignment="1">
      <alignment horizontal="center" vertical="center"/>
    </xf>
    <xf numFmtId="0" fontId="116" applyFont="1" fillId="0" borderId="73" applyBorder="1" xfId="0" applyProtection="1" applyAlignment="1">
      <alignment vertical="center"/>
    </xf>
    <xf numFmtId="0" fontId="118" applyFont="1" fillId="0" borderId="0" xfId="0" applyProtection="1"/>
    <xf numFmtId="0" fontId="90" applyFont="1" fillId="0" borderId="21" applyBorder="1" xfId="0" applyProtection="1" applyAlignment="1">
      <alignment horizontal="center" vertical="center"/>
    </xf>
    <xf numFmtId="0" fontId="90" applyFont="1" fillId="0" borderId="0" xfId="0" applyProtection="1" applyAlignment="1">
      <alignment horizontal="center" vertical="center"/>
    </xf>
    <xf numFmtId="0" fontId="90" applyFont="1" fillId="0" borderId="0" xfId="0" applyProtection="1" applyAlignment="1">
      <alignment horizontal="center"/>
    </xf>
    <xf numFmtId="3" applyNumberFormat="1" fontId="56" applyFont="1" fillId="16" applyFill="1" borderId="0" xfId="0" applyProtection="1" applyAlignment="1">
      <alignment horizontal="center" vertical="center"/>
    </xf>
    <xf numFmtId="3" applyNumberFormat="1" fontId="77" applyFont="1" fillId="16" applyFill="1" borderId="0" xfId="0" applyProtection="1" applyAlignment="1">
      <alignment horizontal="right"/>
    </xf>
    <xf numFmtId="0" fontId="54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72" applyFont="1" fillId="16" applyFill="1" borderId="23" applyBorder="1" xfId="0" applyProtection="1" applyAlignment="1">
      <alignment horizontal="center" vertical="center"/>
    </xf>
    <xf numFmtId="0" fontId="72" applyFont="1" fillId="16" applyFill="1" borderId="0" xfId="0" applyProtection="1" applyAlignment="1">
      <alignment horizontal="center" vertical="center"/>
    </xf>
    <xf numFmtId="0" fontId="83" applyFont="1" fillId="0" borderId="67" applyBorder="1" xfId="0" applyProtection="1" applyAlignment="1">
      <alignment horizontal="center" vertical="center"/>
    </xf>
    <xf numFmtId="0" fontId="83" applyFont="1" fillId="0" borderId="68" applyBorder="1" xfId="0" applyProtection="1" applyAlignment="1">
      <alignment horizontal="center" vertical="center"/>
    </xf>
    <xf numFmtId="43" applyNumberFormat="1" fontId="85" applyFont="1" fillId="0" borderId="67" applyBorder="1" xfId="1" applyProtection="1" applyAlignment="1">
      <alignment horizontal="center" vertical="center"/>
    </xf>
    <xf numFmtId="43" applyNumberFormat="1" fontId="85" applyFont="1" fillId="0" borderId="68" applyBorder="1" xfId="1" applyProtection="1" applyAlignment="1">
      <alignment horizontal="center" vertical="center"/>
    </xf>
    <xf numFmtId="0" fontId="71" applyFont="1" fillId="16" applyFill="1" borderId="0" xfId="0" applyProtection="1" applyAlignment="1">
      <alignment horizontal="center" vertical="top"/>
    </xf>
    <xf numFmtId="3" applyNumberFormat="1" fontId="77" applyFont="1" fillId="16" applyFill="1" borderId="0" xfId="0" applyProtection="1" applyAlignment="1">
      <alignment horizontal="center" vertical="center"/>
    </xf>
    <xf numFmtId="0" fontId="56" applyFont="1" fillId="16" applyFill="1" borderId="0" xfId="0" applyProtection="1" applyAlignment="1">
      <alignment horizontal="left"/>
    </xf>
    <xf numFmtId="0" fontId="72" applyFont="1" fillId="0" borderId="0" xfId="0" applyProtection="1" applyAlignment="1">
      <alignment horizontal="center" vertical="center"/>
    </xf>
    <xf numFmtId="43" applyNumberFormat="1" fontId="70" applyFont="1" fillId="7" applyFill="1" borderId="29" applyBorder="1" xfId="1" applyProtection="1" applyAlignment="1">
      <alignment horizontal="center"/>
    </xf>
    <xf numFmtId="43" applyNumberFormat="1" fontId="70" applyFont="1" fillId="7" applyFill="1" borderId="31" applyBorder="1" xfId="1" applyProtection="1" applyAlignment="1">
      <alignment horizontal="center"/>
    </xf>
    <xf numFmtId="43" applyNumberFormat="1" fontId="87" applyFont="1" fillId="7" applyFill="1" borderId="20" applyBorder="1" xfId="1" applyProtection="1" applyAlignment="1">
      <alignment horizontal="center"/>
    </xf>
    <xf numFmtId="43" applyNumberFormat="1" fontId="87" applyFont="1" fillId="7" applyFill="1" borderId="22" applyBorder="1" xfId="1" applyProtection="1" applyAlignment="1">
      <alignment horizontal="center"/>
    </xf>
    <xf numFmtId="0" fontId="69" applyFont="1" fillId="16" applyFill="1" borderId="0" xfId="0" applyProtection="1" applyAlignment="1">
      <alignment horizontal="center" vertical="center"/>
    </xf>
    <xf numFmtId="43" applyNumberFormat="1" fontId="70" applyFont="1" fillId="7" applyFill="1" borderId="25" applyBorder="1" xfId="1" applyProtection="1" applyAlignment="1">
      <alignment horizontal="center"/>
    </xf>
    <xf numFmtId="43" applyNumberFormat="1" fontId="70" applyFont="1" fillId="7" applyFill="1" borderId="27" applyBorder="1" xfId="1" applyProtection="1" applyAlignment="1">
      <alignment horizontal="center"/>
    </xf>
    <xf numFmtId="0" fontId="65" applyFont="1" fillId="16" applyFill="1" borderId="55" applyBorder="1" xfId="0" applyProtection="1" applyAlignment="1">
      <alignment horizontal="center" vertical="center"/>
    </xf>
    <xf numFmtId="0" fontId="65" applyFont="1" fillId="16" applyFill="1" borderId="56" applyBorder="1" xfId="0" applyProtection="1" applyAlignment="1">
      <alignment horizontal="center" vertical="center"/>
    </xf>
    <xf numFmtId="0" fontId="0" fillId="16" applyFill="1" borderId="70" applyBorder="1" xfId="0" applyProtection="1" applyAlignment="1">
      <alignment horizontal="center"/>
    </xf>
    <xf numFmtId="0" fontId="56" applyFont="1" fillId="16" applyFill="1" borderId="0" xfId="0" applyProtection="1" applyAlignment="1">
      <alignment horizontal="center"/>
    </xf>
    <xf numFmtId="0" fontId="82" applyFont="1" fillId="0" borderId="21" applyBorder="1" xfId="0" applyProtection="1" applyAlignment="1">
      <alignment horizontal="center" vertical="center"/>
    </xf>
    <xf numFmtId="0" fontId="82" applyFont="1" fillId="0" borderId="5" applyBorder="1" xfId="0" applyProtection="1" applyAlignment="1">
      <alignment horizontal="center" vertical="center"/>
    </xf>
    <xf numFmtId="0" fontId="84" applyFont="1" fillId="0" borderId="2" applyBorder="1" xfId="0" applyProtection="1" applyAlignment="1">
      <alignment horizontal="center" vertical="center"/>
    </xf>
    <xf numFmtId="0" fontId="84" applyFont="1" fillId="0" borderId="0" xfId="0" applyProtection="1" applyAlignment="1">
      <alignment horizontal="center" vertical="center"/>
    </xf>
    <xf numFmtId="0" fontId="82" applyFont="1" fillId="0" borderId="21" applyBorder="1" xfId="0" applyProtection="1" applyAlignment="1">
      <alignment horizontal="center" vertical="center" wrapText="1"/>
    </xf>
    <xf numFmtId="0" fontId="82" applyFont="1" fillId="0" borderId="5" applyBorder="1" xfId="0" applyProtection="1" applyAlignment="1">
      <alignment horizontal="center" vertical="center" wrapText="1"/>
    </xf>
    <xf numFmtId="0" fontId="89" applyFont="1" fillId="16" applyFill="1" borderId="0" xfId="0" applyProtection="1" applyAlignment="1">
      <alignment horizontal="center"/>
    </xf>
    <xf numFmtId="0" fontId="75" applyFont="1" fillId="7" applyFill="1" borderId="0" xfId="0" applyProtection="1" applyAlignment="1">
      <alignment horizontal="center" vertical="center"/>
    </xf>
    <xf numFmtId="165" applyNumberFormat="1" fontId="76" applyFont="1" fillId="7" applyFill="1" borderId="0" xfId="0" applyProtection="1" applyAlignment="1">
      <alignment horizontal="center"/>
    </xf>
    <xf numFmtId="0" fontId="52" applyFont="1" fillId="16" applyFill="1" borderId="0" xfId="0" applyProtection="1" applyAlignment="1">
      <alignment horizontal="center"/>
    </xf>
    <xf numFmtId="0" fontId="0" fillId="16" applyFill="1" borderId="0" xfId="0" applyProtection="1" applyAlignment="1">
      <alignment horizontal="center"/>
    </xf>
    <xf numFmtId="43" applyNumberFormat="1" fontId="85" applyFont="1" fillId="0" borderId="65" applyBorder="1" xfId="1" applyProtection="1" applyAlignment="1">
      <alignment horizontal="center" vertical="center"/>
    </xf>
    <xf numFmtId="43" applyNumberFormat="1" fontId="85" applyFont="1" fillId="0" borderId="0" xfId="1" applyProtection="1" applyAlignment="1">
      <alignment horizontal="center" vertical="center"/>
    </xf>
    <xf numFmtId="0" fontId="83" applyFont="1" fillId="0" borderId="65" applyBorder="1" xfId="0" applyProtection="1" applyAlignment="1">
      <alignment horizontal="center" vertical="center"/>
    </xf>
    <xf numFmtId="0" fontId="83" applyFont="1" fillId="0" borderId="66" applyBorder="1" xfId="0" applyProtection="1" applyAlignment="1">
      <alignment horizontal="center" vertical="center"/>
    </xf>
    <xf numFmtId="0" fontId="74" applyFont="1" fillId="16" applyFill="1" borderId="0" xfId="0" applyProtection="1" applyAlignment="1">
      <alignment horizontal="center"/>
    </xf>
    <xf numFmtId="0" fontId="71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0" applyFont="1" fillId="0" borderId="0" xfId="0" applyProtection="1" applyAlignment="1">
      <alignment horizontal="center" vertical="center"/>
    </xf>
    <xf numFmtId="0" fontId="48" applyFont="1" fillId="0" borderId="0" xfId="2" applyProtection="1" applyAlignment="1">
      <alignment horizontal="center" vertical="center"/>
    </xf>
    <xf numFmtId="0" fontId="53" applyFont="1" fillId="0" borderId="0" xfId="0" applyProtection="1" applyAlignment="1">
      <alignment horizontal="center" vertical="center"/>
    </xf>
    <xf numFmtId="0" fontId="49" applyFont="1" fillId="0" borderId="0" xfId="2" applyProtection="1" applyAlignment="1">
      <alignment horizontal="center" vertical="center"/>
    </xf>
    <xf numFmtId="0" fontId="63" applyFont="1" fillId="16" applyFill="1" borderId="0" xfId="0" applyProtection="1" applyAlignment="1">
      <alignment horizontal="center"/>
    </xf>
    <xf numFmtId="0" fontId="63" applyFont="1" fillId="16" applyFill="1" borderId="53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0" fontId="51" applyFont="1" fillId="0" borderId="0" xfId="0" applyProtection="1" applyAlignment="1">
      <alignment horizontal="center"/>
    </xf>
    <xf numFmtId="3" applyNumberFormat="1" fontId="73" applyFont="1" fillId="16" applyFill="1" borderId="0" xfId="0" applyProtection="1" applyAlignment="1">
      <alignment horizontal="center"/>
    </xf>
    <xf numFmtId="0" fontId="81" applyFont="1" fillId="0" borderId="0" xfId="0" applyProtection="1" applyAlignment="1">
      <alignment horizontal="center" vertical="center"/>
    </xf>
    <xf numFmtId="0" fontId="41" applyFont="1" fillId="11" applyFill="1" borderId="0" xfId="0" applyProtection="1" applyAlignment="1">
      <alignment horizontal="center"/>
      <protection locked="0"/>
    </xf>
    <xf numFmtId="0" fontId="37" applyFont="1" fillId="2" applyFill="1" borderId="29" applyBorder="1" xfId="0" applyProtection="1" applyAlignment="1">
      <alignment horizontal="center" vertical="center"/>
    </xf>
    <xf numFmtId="0" fontId="37" applyFont="1" fillId="2" applyFill="1" borderId="31" applyBorder="1" xfId="0" applyProtection="1" applyAlignment="1">
      <alignment horizontal="center" vertical="center"/>
    </xf>
    <xf numFmtId="169" applyNumberFormat="1" fontId="42" applyFont="1" fillId="2" applyFill="1" borderId="23" applyBorder="1" xfId="0" applyProtection="1" applyAlignment="1">
      <alignment horizontal="center" vertical="center"/>
    </xf>
    <xf numFmtId="169" applyNumberFormat="1" fontId="42" applyFont="1" fillId="2" applyFill="1" borderId="0" xfId="0" applyProtection="1" applyAlignment="1">
      <alignment horizontal="center" vertical="center"/>
    </xf>
    <xf numFmtId="0" fontId="36" applyFont="1" fillId="10" applyFill="1" borderId="20" applyBorder="1" xfId="0" applyProtection="1" applyAlignment="1">
      <alignment horizontal="center" vertical="center"/>
    </xf>
    <xf numFmtId="0" fontId="36" applyFont="1" fillId="10" applyFill="1" borderId="21" applyBorder="1" xfId="0" applyProtection="1" applyAlignment="1">
      <alignment horizontal="center" vertical="center"/>
    </xf>
    <xf numFmtId="0" fontId="36" applyFont="1" fillId="10" applyFill="1" borderId="22" applyBorder="1" xfId="0" applyProtection="1" applyAlignment="1">
      <alignment horizontal="center" vertical="center"/>
    </xf>
    <xf numFmtId="0" fontId="36" applyFont="1" fillId="10" applyFill="1" borderId="25" applyBorder="1" xfId="0" applyProtection="1" applyAlignment="1">
      <alignment horizontal="center" vertical="center"/>
    </xf>
    <xf numFmtId="0" fontId="36" applyFont="1" fillId="10" applyFill="1" borderId="26" applyBorder="1" xfId="0" applyProtection="1" applyAlignment="1">
      <alignment horizontal="center" vertical="center"/>
    </xf>
    <xf numFmtId="0" fontId="36" applyFont="1" fillId="10" applyFill="1" borderId="27" applyBorder="1" xfId="0" applyProtection="1" applyAlignment="1">
      <alignment horizontal="center" vertical="center"/>
    </xf>
    <xf numFmtId="0" fontId="41" applyFont="1" fillId="0" borderId="0" xfId="0" applyProtection="1" applyAlignment="1">
      <alignment horizontal="center"/>
      <protection locked="0"/>
    </xf>
    <xf numFmtId="0" fontId="104" applyFont="1" fillId="0" borderId="0" xfId="0" applyProtection="1" applyAlignment="1">
      <alignment horizontal="center"/>
    </xf>
    <xf numFmtId="0" fontId="36" applyFont="1" fillId="10" applyFill="1" borderId="0" xfId="0" applyProtection="1" applyAlignment="1">
      <alignment horizontal="center" vertical="center"/>
    </xf>
    <xf numFmtId="0" fontId="37" applyFont="1" fillId="2" applyFill="1" borderId="0" xfId="0" applyProtection="1" applyAlignment="1">
      <alignment horizontal="center" vertical="center"/>
    </xf>
    <xf numFmtId="0" fontId="42" applyFont="1" fillId="2" applyFill="1" borderId="0" xfId="0" applyProtection="1" applyAlignment="1">
      <alignment horizontal="center" vertical="center"/>
    </xf>
    <xf numFmtId="0" fontId="5" applyFont="1" fillId="2" applyFill="1" borderId="9" applyBorder="1" xfId="3" applyProtection="1" applyAlignment="1">
      <alignment horizontal="center"/>
      <protection locked="0"/>
    </xf>
    <xf numFmtId="0" fontId="5" applyFont="1" fillId="2" applyFill="1" borderId="10" applyBorder="1" xfId="3" applyProtection="1" applyAlignment="1">
      <alignment horizontal="center"/>
      <protection locked="0"/>
    </xf>
    <xf numFmtId="0" fontId="5" applyFont="1" fillId="2" applyFill="1" borderId="11" applyBorder="1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</xf>
    <xf numFmtId="0" fontId="2" applyFont="1" fillId="0" borderId="1" applyBorder="1" xfId="3" applyProtection="1" applyAlignment="1">
      <alignment horizontal="center"/>
      <protection locked="0"/>
    </xf>
    <xf numFmtId="0" fontId="2" applyFont="1" fillId="0" borderId="2" applyBorder="1" xfId="3" applyProtection="1" applyAlignment="1">
      <alignment horizontal="center"/>
      <protection locked="0"/>
    </xf>
    <xf numFmtId="0" fontId="2" applyFont="1" fillId="0" borderId="6" applyBorder="1" xfId="3" applyProtection="1" applyAlignment="1">
      <alignment horizontal="center"/>
      <protection locked="0"/>
    </xf>
    <xf numFmtId="0" fontId="2" applyFont="1" fillId="0" borderId="9" applyBorder="1" xfId="3" applyProtection="1" applyAlignment="1">
      <alignment horizontal="center"/>
      <protection locked="0"/>
    </xf>
    <xf numFmtId="0" fontId="2" applyFont="1" fillId="0" borderId="10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</xf>
    <xf numFmtId="0" fontId="2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9" applyBorder="1" xfId="3" applyProtection="1" applyAlignment="1">
      <alignment horizontal="left"/>
    </xf>
    <xf numFmtId="0" fontId="2" applyFont="1" fillId="0" borderId="10" applyBorder="1" xfId="3" applyProtection="1" applyAlignment="1">
      <alignment horizontal="left"/>
    </xf>
    <xf numFmtId="0" fontId="2" applyFont="1" fillId="2" applyFill="1" borderId="9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center"/>
      <protection locked="0"/>
    </xf>
    <xf numFmtId="0" fontId="2" applyFont="1" fillId="2" applyFill="1" borderId="11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left"/>
    </xf>
    <xf numFmtId="0" fontId="5" applyFont="1" fillId="0" borderId="0" xfId="3" applyProtection="1" applyAlignment="1">
      <alignment horizontal="left" wrapText="1"/>
    </xf>
    <xf numFmtId="0" fontId="7" applyFont="1" fillId="0" borderId="29" applyBorder="1" xfId="3" applyProtection="1" applyAlignment="1">
      <alignment horizontal="center"/>
    </xf>
    <xf numFmtId="0" fontId="7" applyFont="1" fillId="0" borderId="30" applyBorder="1" xfId="3" applyProtection="1" applyAlignment="1">
      <alignment horizontal="center"/>
    </xf>
    <xf numFmtId="0" fontId="7" applyFont="1" fillId="0" borderId="31" applyBorder="1" xfId="3" applyProtection="1" applyAlignment="1">
      <alignment horizontal="center"/>
    </xf>
    <xf numFmtId="0" fontId="2" applyFont="1" fillId="0" borderId="28" applyBorder="1" xfId="3" applyProtection="1" applyAlignment="1">
      <alignment horizontal="center" vertical="center" wrapText="1"/>
    </xf>
    <xf numFmtId="167" applyNumberFormat="1" fontId="2" applyFont="1" fillId="0" borderId="12" applyBorder="1" xfId="3" applyProtection="1" applyAlignment="1">
      <alignment horizontal="center" vertical="center" wrapText="1"/>
    </xf>
    <xf numFmtId="4" applyNumberFormat="1" fontId="9" applyFont="1" fillId="0" borderId="29" applyBorder="1" xfId="3" applyProtection="1" applyAlignment="1">
      <alignment horizontal="center" vertical="center" shrinkToFit="1"/>
    </xf>
    <xf numFmtId="4" applyNumberFormat="1" fontId="9" applyFont="1" fillId="0" borderId="30" applyBorder="1" xfId="3" applyProtection="1" applyAlignment="1">
      <alignment horizontal="center" vertical="center" shrinkToFit="1"/>
    </xf>
    <xf numFmtId="4" applyNumberFormat="1" fontId="9" applyFont="1" fillId="0" borderId="31" applyBorder="1" xfId="3" applyProtection="1" applyAlignment="1">
      <alignment horizontal="center" vertical="center" shrinkToFit="1"/>
    </xf>
    <xf numFmtId="2" applyNumberFormat="1" fontId="9" applyFont="1" fillId="0" borderId="29" applyBorder="1" xfId="3" applyProtection="1" applyAlignment="1">
      <alignment horizontal="center" vertical="center" shrinkToFit="1"/>
    </xf>
    <xf numFmtId="2" applyNumberFormat="1" fontId="9" applyFont="1" fillId="0" borderId="30" applyBorder="1" xfId="3" applyProtection="1" applyAlignment="1">
      <alignment horizontal="center" vertical="center" shrinkToFit="1"/>
    </xf>
    <xf numFmtId="2" applyNumberFormat="1" fontId="9" applyFont="1" fillId="0" borderId="31" applyBorder="1" xfId="3" applyProtection="1" applyAlignment="1">
      <alignment horizontal="center" vertical="center" shrinkToFit="1"/>
    </xf>
    <xf numFmtId="0" fontId="12" applyFont="1" fillId="0" borderId="4" applyBorder="1" xfId="3" applyProtection="1" applyAlignment="1">
      <alignment horizontal="center"/>
    </xf>
    <xf numFmtId="0" fontId="12" applyFont="1" fillId="0" borderId="5" applyBorder="1" xfId="3" applyProtection="1" applyAlignment="1">
      <alignment horizontal="center"/>
    </xf>
    <xf numFmtId="0" fontId="12" applyFont="1" fillId="0" borderId="10" applyBorder="1" xfId="3" applyProtection="1" applyAlignment="1">
      <alignment horizontal="center"/>
    </xf>
    <xf numFmtId="0" fontId="12" applyFont="1" fillId="0" borderId="8" applyBorder="1" xfId="3" applyProtection="1" applyAlignment="1">
      <alignment horizontal="center"/>
    </xf>
    <xf numFmtId="1" applyNumberFormat="1" fontId="10" applyFont="1" fillId="0" borderId="5" applyBorder="1" xfId="3" applyProtection="1" applyAlignment="1">
      <alignment horizontal="right"/>
    </xf>
    <xf numFmtId="49" applyNumberFormat="1" fontId="8" applyFont="1" fillId="0" borderId="28" applyBorder="1" xfId="3" applyProtection="1" applyAlignment="1">
      <alignment horizontal="center" vertical="center" shrinkToFit="1"/>
    </xf>
    <xf numFmtId="49" applyNumberFormat="1" fontId="8" applyFont="1" fillId="0" borderId="12" applyBorder="1" xfId="3" applyProtection="1" applyAlignment="1">
      <alignment horizontal="center" vertical="center" shrinkToFit="1"/>
    </xf>
    <xf numFmtId="2" applyNumberFormat="1" fontId="9" applyFont="1" fillId="0" borderId="28" applyBorder="1" xfId="3" applyProtection="1" applyAlignment="1">
      <alignment horizontal="center" vertical="center" shrinkToFit="1"/>
    </xf>
    <xf numFmtId="2" applyNumberFormat="1" fontId="9" applyFont="1" fillId="0" borderId="12" applyBorder="1" xfId="3" applyProtection="1" applyAlignment="1">
      <alignment horizontal="center" vertical="center" shrinkToFit="1"/>
    </xf>
    <xf numFmtId="0" fontId="12" applyFont="1" fillId="0" borderId="9" applyBorder="1" xfId="3" applyProtection="1" applyAlignment="1">
      <alignment horizontal="center"/>
    </xf>
    <xf numFmtId="0" fontId="12" applyFont="1" fillId="0" borderId="11" applyBorder="1" xfId="3" applyProtection="1" applyAlignment="1">
      <alignment horizontal="center"/>
    </xf>
    <xf numFmtId="1" applyNumberFormat="1" fontId="10" applyFont="1" fillId="0" borderId="10" applyBorder="1" xfId="3" applyProtection="1" applyAlignment="1">
      <alignment horizontal="right"/>
    </xf>
    <xf numFmtId="0" fontId="13" applyFont="1" fillId="0" borderId="9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0" fontId="14" applyFont="1" fillId="2" applyFill="1" borderId="10" applyBorder="1" xfId="3" applyProtection="1" applyAlignment="1">
      <alignment horizontal="right"/>
    </xf>
    <xf numFmtId="0" fontId="14" applyFont="1" fillId="0" borderId="28" applyBorder="1" xfId="3" applyProtection="1" applyAlignment="1">
      <alignment horizontal="center" vertical="center" shrinkToFit="1"/>
    </xf>
    <xf numFmtId="0" fontId="9" applyFont="1" fillId="0" borderId="28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/>
    </xf>
    <xf numFmtId="0" fontId="14" applyFont="1" fillId="2" applyFill="1" borderId="4" applyBorder="1" xfId="3" applyProtection="1" applyAlignment="1">
      <alignment horizontal="left" vertical="center" shrinkToFit="1"/>
    </xf>
    <xf numFmtId="0" fontId="2" applyFont="1" fillId="2" applyFill="1" borderId="5" applyBorder="1" xfId="3" applyProtection="1"/>
    <xf numFmtId="0" fontId="2" applyFont="1" fillId="2" applyFill="1" borderId="8" applyBorder="1" xfId="3" applyProtection="1"/>
    <xf numFmtId="0" fontId="10" applyFont="1" fillId="2" applyFill="1" borderId="14" applyBorder="1" xfId="3" applyProtection="1" applyAlignment="1">
      <alignment horizontal="center" vertical="center" shrinkToFit="1"/>
    </xf>
    <xf numFmtId="165" applyNumberFormat="1" fontId="21" applyFont="1" fillId="2" applyFill="1" borderId="14" applyBorder="1" xfId="3" applyProtection="1" applyAlignment="1">
      <alignment horizontal="center" vertical="center" shrinkToFit="1"/>
    </xf>
    <xf numFmtId="0" fontId="21" applyFont="1" fillId="8" applyFill="1" borderId="28" applyBorder="1" xfId="3" applyProtection="1" applyAlignment="1">
      <alignment horizontal="center"/>
    </xf>
    <xf numFmtId="0" fontId="14" applyFont="1" fillId="2" applyFill="1" borderId="28" applyBorder="1" xfId="3" applyProtection="1" applyAlignment="1">
      <alignment horizontal="left" vertical="center" shrinkToFit="1"/>
    </xf>
    <xf numFmtId="0" fontId="10" applyFont="1" fillId="2" applyFill="1" borderId="28" applyBorder="1" xfId="3" applyProtection="1" applyAlignment="1">
      <alignment horizontal="center" vertical="center" shrinkToFit="1"/>
    </xf>
    <xf numFmtId="165" applyNumberFormat="1" fontId="21" applyFont="1" fillId="2" applyFill="1" borderId="28" applyBorder="1" xfId="3" applyProtection="1" applyAlignment="1">
      <alignment horizontal="center" vertical="center" shrinkToFit="1"/>
    </xf>
    <xf numFmtId="0" fontId="9" applyFont="1" fillId="0" borderId="33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5" applyNumberFormat="1" fontId="27" applyFont="1" fillId="0" borderId="28" applyBorder="1" xfId="3" applyProtection="1" applyAlignment="1">
      <alignment horizontal="center" vertical="center" shrinkToFit="1"/>
    </xf>
    <xf numFmtId="0" fontId="21" applyFont="1" fillId="0" borderId="1" applyBorder="1" xfId="3" applyProtection="1" applyAlignment="1">
      <alignment horizontal="center" vertical="center" shrinkToFit="1"/>
    </xf>
    <xf numFmtId="0" fontId="21" applyFont="1" fillId="0" borderId="2" applyBorder="1" xfId="3" applyProtection="1" applyAlignment="1">
      <alignment horizontal="center" vertical="center" shrinkToFit="1"/>
    </xf>
    <xf numFmtId="0" fontId="21" applyFont="1" fillId="0" borderId="6" applyBorder="1" xfId="3" applyProtection="1" applyAlignment="1">
      <alignment horizontal="center" vertical="center" shrinkToFit="1"/>
    </xf>
    <xf numFmtId="0" fontId="14" applyFont="1" fillId="2" applyFill="1" borderId="9" applyBorder="1" xfId="3" applyProtection="1" applyAlignment="1">
      <alignment horizontal="center" vertical="center" shrinkToFit="1"/>
    </xf>
    <xf numFmtId="0" fontId="14" applyFont="1" fillId="2" applyFill="1" borderId="10" applyBorder="1" xfId="3" applyProtection="1" applyAlignment="1">
      <alignment horizontal="center" vertical="center" shrinkToFit="1"/>
    </xf>
    <xf numFmtId="0" fontId="14" applyFont="1" fillId="2" applyFill="1" borderId="11" applyBorder="1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4" applyFont="1" fillId="6" applyFill="1" borderId="28" applyBorder="1" xfId="3" applyProtection="1" applyAlignment="1">
      <alignment horizontal="left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165" applyNumberFormat="1" fontId="21" applyFont="1" fillId="6" applyFill="1" borderId="28" applyBorder="1" xfId="3" applyProtection="1" applyAlignment="1">
      <alignment horizontal="center" vertical="center" shrinkToFit="1"/>
    </xf>
    <xf numFmtId="0" fontId="15" applyFont="1" fillId="0" borderId="9" applyBorder="1" xfId="3" applyProtection="1" applyAlignment="1">
      <alignment horizontal="center"/>
    </xf>
    <xf numFmtId="0" fontId="15" applyFont="1" fillId="0" borderId="10" applyBorder="1" xfId="3" applyProtection="1" applyAlignment="1">
      <alignment horizontal="center"/>
    </xf>
    <xf numFmtId="0" fontId="15" applyFont="1" fillId="0" borderId="32" applyBorder="1" xfId="3" applyProtection="1" applyAlignment="1">
      <alignment horizontal="center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 vertical="center" shrinkToFit="1"/>
    </xf>
    <xf numFmtId="0" fontId="16" applyFont="1" fillId="0" borderId="10" applyBorder="1" xfId="3" applyProtection="1" applyAlignment="1">
      <alignment horizontal="center" vertical="center" shrinkToFit="1"/>
    </xf>
    <xf numFmtId="0" fontId="16" applyFont="1" fillId="0" borderId="11" applyBorder="1" xfId="3" applyProtection="1" applyAlignment="1">
      <alignment horizontal="center" vertical="center" shrinkToFit="1"/>
    </xf>
    <xf numFmtId="0" fontId="10" applyFont="1" fillId="0" borderId="4" applyBorder="1" xfId="3" applyProtection="1" applyAlignment="1">
      <alignment horizontal="center" vertical="center" shrinkToFit="1"/>
    </xf>
    <xf numFmtId="0" fontId="10" applyFont="1" fillId="0" borderId="5" applyBorder="1" xfId="3" applyProtection="1" applyAlignment="1">
      <alignment horizontal="center" vertical="center" shrinkToFit="1"/>
    </xf>
    <xf numFmtId="0" fontId="10" applyFont="1" fillId="0" borderId="8" applyBorder="1" xfId="3" applyProtection="1" applyAlignment="1">
      <alignment horizontal="center" vertical="center" shrinkToFit="1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30" applyFont="1" fillId="0" borderId="1" applyBorder="1" xfId="3" applyProtection="1" applyAlignment="1">
      <alignment horizontal="center" vertical="center" shrinkToFit="1"/>
    </xf>
    <xf numFmtId="0" fontId="30" applyFont="1" fillId="0" borderId="2" applyBorder="1" xfId="3" applyProtection="1" applyAlignment="1">
      <alignment horizontal="center" vertical="center" shrinkToFit="1"/>
    </xf>
    <xf numFmtId="0" fontId="30" applyFont="1" fillId="0" borderId="6" applyBorder="1" xfId="3" applyProtection="1" applyAlignment="1">
      <alignment horizontal="center" vertical="center" shrinkToFit="1"/>
    </xf>
    <xf numFmtId="0" fontId="31" applyFont="1" fillId="0" borderId="4" applyBorder="1" xfId="3" applyProtection="1" applyAlignment="1">
      <alignment horizontal="center" shrinkToFit="1"/>
    </xf>
    <xf numFmtId="0" fontId="31" applyFont="1" fillId="0" borderId="5" applyBorder="1" xfId="3" applyProtection="1" applyAlignment="1">
      <alignment horizontal="center" shrinkToFit="1"/>
    </xf>
    <xf numFmtId="0" fontId="31" applyFont="1" fillId="0" borderId="8" applyBorder="1" xfId="3" applyProtection="1" applyAlignment="1">
      <alignment horizontal="center" shrinkToFit="1"/>
    </xf>
    <xf numFmtId="49" applyNumberFormat="1" fontId="22" applyFont="1" fillId="0" borderId="9" applyBorder="1" xfId="3" applyProtection="1" applyAlignment="1">
      <alignment horizontal="center"/>
    </xf>
    <xf numFmtId="49" applyNumberFormat="1" fontId="22" applyFont="1" fillId="0" borderId="10" applyBorder="1" xfId="3" applyProtection="1" applyAlignment="1">
      <alignment horizontal="center"/>
    </xf>
    <xf numFmtId="0" fontId="22" applyFont="1" fillId="0" borderId="2" applyBorder="1" xfId="3" applyProtection="1" applyAlignment="1">
      <alignment horizontal="center"/>
    </xf>
    <xf numFmtId="0" fontId="22" applyFont="1" fillId="0" borderId="6" applyBorder="1" xfId="3" applyProtection="1" applyAlignment="1">
      <alignment horizontal="center"/>
    </xf>
    <xf numFmtId="0" fontId="22" applyFont="1" fillId="0" borderId="4" applyBorder="1" xfId="3" applyProtection="1" applyAlignment="1">
      <alignment horizontal="center"/>
    </xf>
    <xf numFmtId="0" fontId="22" applyFont="1" fillId="0" borderId="5" applyBorder="1" xfId="3" applyProtection="1" applyAlignment="1">
      <alignment horizontal="center"/>
    </xf>
    <xf numFmtId="0" fontId="22" applyFont="1" fillId="0" borderId="8" applyBorder="1" xfId="3" applyProtection="1" applyAlignment="1">
      <alignment horizontal="center"/>
    </xf>
    <xf numFmtId="0" fontId="11" applyFont="1" fillId="0" borderId="13" applyBorder="1" xfId="3" applyProtection="1" applyAlignment="1">
      <alignment horizontal="center" vertical="center" wrapText="1"/>
    </xf>
    <xf numFmtId="0" fontId="11" applyFont="1" fillId="0" borderId="14" applyBorder="1" xfId="3" applyProtection="1" applyAlignment="1">
      <alignment horizontal="center" vertical="center" wrapText="1"/>
    </xf>
    <xf numFmtId="0" fontId="6" applyFont="1" fillId="4" applyFill="1" borderId="28" applyBorder="1" xfId="3" applyProtection="1" applyAlignment="1">
      <alignment horizontal="center" vertical="center"/>
    </xf>
    <xf numFmtId="0" fontId="19" applyFont="1" fillId="0" borderId="3" applyBorder="1" xfId="3" applyProtection="1" applyAlignment="1">
      <alignment horizontal="center" vertical="center" wrapText="1"/>
    </xf>
    <xf numFmtId="0" fontId="19" applyFont="1" fillId="0" borderId="0" xfId="3" applyProtection="1" applyAlignment="1">
      <alignment horizontal="center" vertical="center" wrapText="1"/>
    </xf>
    <xf numFmtId="0" fontId="19" applyFont="1" fillId="0" borderId="7" applyBorder="1" xfId="3" applyProtection="1" applyAlignment="1">
      <alignment horizontal="center" vertical="center" wrapText="1"/>
    </xf>
    <xf numFmtId="0" fontId="10" applyFont="1" fillId="0" borderId="3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/>
    </xf>
    <xf numFmtId="0" fontId="10" applyFont="1" fillId="0" borderId="7" applyBorder="1" xfId="3" applyProtection="1" applyAlignment="1">
      <alignment horizontal="center" vertical="center"/>
    </xf>
    <xf numFmtId="0" fontId="10" applyFont="1" fillId="0" borderId="4" applyBorder="1" xfId="3" applyProtection="1" applyAlignment="1">
      <alignment horizontal="center" vertical="center"/>
    </xf>
    <xf numFmtId="0" fontId="10" applyFont="1" fillId="0" borderId="5" applyBorder="1" xfId="3" applyProtection="1" applyAlignment="1">
      <alignment horizontal="center" vertical="center"/>
    </xf>
    <xf numFmtId="0" fontId="10" applyFont="1" fillId="0" borderId="8" applyBorder="1" xfId="3" applyProtection="1" applyAlignment="1">
      <alignment horizontal="center" vertical="center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9" applyFont="1" fillId="0" borderId="3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29" applyFont="1" fillId="0" borderId="7" applyBorder="1" xfId="3" applyProtection="1" applyAlignment="1">
      <alignment horizontal="center" vertical="center" shrinkToFit="1"/>
    </xf>
    <xf numFmtId="0" fontId="6" applyFont="1" fillId="8" applyFill="1" borderId="28" applyBorder="1" xfId="3" applyProtection="1" applyAlignment="1">
      <alignment horizontal="center" vertic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3" applyFill="1" borderId="1" applyBorder="1" xfId="3" applyProtection="1" applyAlignment="1">
      <alignment horizontal="center"/>
    </xf>
    <xf numFmtId="0" fontId="2" applyFont="1" fillId="3" applyFill="1" borderId="2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0" borderId="20" applyBorder="1" xfId="3" applyProtection="1" applyAlignment="1">
      <alignment horizontal="center"/>
      <protection locked="0"/>
    </xf>
    <xf numFmtId="0" fontId="2" applyFont="1" fillId="0" borderId="21" applyBorder="1" xfId="3" applyProtection="1" applyAlignment="1">
      <alignment horizontal="center"/>
      <protection locked="0"/>
    </xf>
    <xf numFmtId="0" fontId="2" applyFont="1" fillId="0" borderId="22" applyBorder="1" xfId="3" applyProtection="1" applyAlignment="1">
      <alignment horizontal="center"/>
      <protection locked="0"/>
    </xf>
    <xf numFmtId="0" fontId="2" applyFont="1" fillId="0" borderId="23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25" applyBorder="1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2" applyFont="1" fillId="2" applyFill="1" borderId="1" applyBorder="1" xfId="3" applyProtection="1" applyAlignment="1">
      <alignment horizontal="center" vertical="center" wrapText="1"/>
    </xf>
    <xf numFmtId="0" fontId="2" applyFont="1" fillId="2" applyFill="1" borderId="2" applyBorder="1" xfId="3" applyProtection="1" applyAlignment="1">
      <alignment horizontal="center" vertical="center" wrapText="1"/>
    </xf>
    <xf numFmtId="0" fontId="2" applyFont="1" fillId="2" applyFill="1" borderId="3" applyBorder="1" xfId="3" applyProtection="1" applyAlignment="1">
      <alignment horizontal="center" vertical="center" wrapText="1"/>
    </xf>
    <xf numFmtId="0" fontId="2" applyFont="1" fillId="2" applyFill="1" borderId="0" xfId="3" applyProtection="1" applyAlignment="1">
      <alignment horizontal="center" vertical="center" wrapText="1"/>
    </xf>
    <xf numFmtId="0" fontId="2" applyFont="1" fillId="2" applyFill="1" borderId="4" applyBorder="1" xfId="3" applyProtection="1" applyAlignment="1">
      <alignment horizontal="center" vertical="center" wrapText="1"/>
    </xf>
    <xf numFmtId="0" fontId="2" applyFont="1" fillId="2" applyFill="1" borderId="5" applyBorder="1" xfId="3" applyProtection="1" applyAlignment="1">
      <alignment horizontal="center" vertical="center" wrapText="1"/>
    </xf>
    <xf numFmtId="0" fontId="2" applyFont="1" fillId="3" applyFill="1" borderId="1" applyBorder="1" xfId="3" applyProtection="1" applyAlignment="1">
      <alignment horizontal="center" vertical="center" wrapText="1"/>
    </xf>
    <xf numFmtId="0" fontId="2" applyFont="1" fillId="3" applyFill="1" borderId="2" applyBorder="1" xfId="3" applyProtection="1" applyAlignment="1">
      <alignment horizontal="center" vertical="center" wrapText="1"/>
    </xf>
    <xf numFmtId="0" fontId="2" applyFont="1" fillId="3" applyFill="1" borderId="3" applyBorder="1" xfId="3" applyProtection="1" applyAlignment="1">
      <alignment horizontal="center" vertical="center" wrapText="1"/>
    </xf>
    <xf numFmtId="0" fontId="2" applyFont="1" fillId="3" applyFill="1" borderId="0" xfId="3" applyProtection="1" applyAlignment="1">
      <alignment horizontal="center" vertical="center" wrapText="1"/>
    </xf>
    <xf numFmtId="0" fontId="2" applyFont="1" fillId="3" applyFill="1" borderId="4" applyBorder="1" xfId="3" applyProtection="1" applyAlignment="1">
      <alignment horizontal="center" vertical="center" wrapText="1"/>
    </xf>
    <xf numFmtId="0" fontId="2" applyFont="1" fillId="3" applyFill="1" borderId="5" applyBorder="1" xfId="3" applyProtection="1" applyAlignment="1">
      <alignment horizontal="center" vertical="center" wrapText="1"/>
    </xf>
    <xf numFmtId="0" fontId="2" applyFont="1" fillId="4" applyFill="1" borderId="1" applyBorder="1" xfId="3" applyProtection="1" applyAlignment="1">
      <alignment horizontal="center" vertical="center" wrapText="1"/>
    </xf>
    <xf numFmtId="0" fontId="2" applyFont="1" fillId="4" applyFill="1" borderId="2" applyBorder="1" xfId="3" applyProtection="1" applyAlignment="1">
      <alignment horizontal="center" vertical="center" wrapText="1"/>
    </xf>
    <xf numFmtId="0" fontId="2" applyFont="1" fillId="4" applyFill="1" borderId="3" applyBorder="1" xfId="3" applyProtection="1" applyAlignment="1">
      <alignment horizontal="center" vertical="center" wrapText="1"/>
    </xf>
    <xf numFmtId="0" fontId="2" applyFont="1" fillId="4" applyFill="1" borderId="0" xfId="3" applyProtection="1" applyAlignment="1">
      <alignment horizontal="center" vertical="center" wrapText="1"/>
    </xf>
    <xf numFmtId="0" fontId="2" applyFont="1" fillId="4" applyFill="1" borderId="4" applyBorder="1" xfId="3" applyProtection="1" applyAlignment="1">
      <alignment horizontal="center" vertical="center" wrapText="1"/>
    </xf>
    <xf numFmtId="0" fontId="2" applyFont="1" fillId="4" applyFill="1" borderId="5" applyBorder="1" xfId="3" applyProtection="1" applyAlignment="1">
      <alignment horizontal="center" vertical="center" wrapText="1"/>
    </xf>
    <xf numFmtId="0" fontId="2" applyFont="1" fillId="0" borderId="0" xfId="3" applyProtection="1" applyAlignment="1">
      <alignment horizontal="center" vertical="center"/>
    </xf>
    <xf numFmtId="0" fontId="2" applyFont="1" fillId="0" borderId="7" applyBorder="1" xfId="3" applyProtection="1" applyAlignment="1">
      <alignment horizontal="center" vertical="center"/>
    </xf>
  </cellXfs>
  <cellStyles count="5">
    <cellStyle name="Comma" xfId="1" builtinId="3"/>
    <cellStyle name="Hyperlink" xfId="2" builtinId="8"/>
    <cellStyle name="Normal" xfId="0" builtinId="0"/>
    <cellStyle name="Normal 2" xfId="3" xr:uid="{00000000-0005-0000-0000-000003000000}"/>
    <cellStyle name="Percent" xfId="4" builtinId="5"/>
  </cellStyles>
  <dxfs count="1476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/>
        <top/>
        <bottom/>
        <vertical/>
        <horizontal/>
      </border>
      <protection locked="1" hidden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65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5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65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5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ck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border outline="0">
        <left style="thick">
          <color auto="1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numFmt numFmtId="0" formatCode="General"/>
    </dxf>
    <dxf>
      <numFmt numFmtId="0" formatCode="General"/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b val="1"/>
        <i val="0"/>
        <strike val="0"/>
        <condense val="0"/>
        <extend val="0"/>
        <outline val="0"/>
        <shadow val="0"/>
        <sz val="16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6"/>
        <color theme="1"/>
        <name val="Calibri"/>
        <family val="2"/>
        <vertAlign val="baseline"/>
      </font>
      <border>
        <left style="thin">
          <color auto="1"/>
        </left>
        <right style="thin">
          <color auto="1"/>
        </right>
      </border>
    </dxf>
    <dxf>
      <font>
        <b val="1"/>
        <i val="0"/>
        <strike val="0"/>
        <condense val="0"/>
        <extend val="0"/>
        <outline val="0"/>
        <shadow val="0"/>
        <sz val="16"/>
        <color theme="1"/>
        <name val="Calibri"/>
        <family val="2"/>
        <vertAlign val="baseline"/>
      </font>
      <border>
        <left style="thin">
          <color auto="1"/>
        </left>
        <right style="thick">
          <color auto="1"/>
        </right>
      </border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  <family val="2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164" formatCode="yyyy/mm/dd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border>
        <top style="thin">
          <color auto="1"/>
        </top>
      </border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  <numFmt numFmtId="165" formatCode="0.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166" formatCode="0.0"/>
      <border>
        <top style="thin">
          <color auto="1"/>
        </top>
      </border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left style="thin">
          <color auto="1"/>
        </left>
        <right style="thin">
          <color auto="1"/>
        </right>
        <top style="thin">
          <color auto="1"/>
        </top>
      </border>
    </dxf>
    <dxf>
      <font>
        <strike val="0"/>
        <sz val="11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  <numFmt numFmtId="2" formatCode="0.00"/>
    </dxf>
    <dxf>
      <font>
        <strike val="0"/>
        <sz val="14"/>
        <color theme="1"/>
        <name val="Calibri"/>
      </font>
    </dxf>
    <dxf>
      <numFmt numFmtId="1" formatCode="0"/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6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  <border>
        <left style="medium">
          <color indexed="64"/>
        </left>
        <right style="medium">
          <color indexed="64"/>
        </right>
      </border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  <numFmt numFmtId="2" formatCode="0.00"/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sel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sel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sel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18.xml><?xml version="1.0" encoding="utf-8"?>
<formControlPr xmlns="http://schemas.microsoft.com/office/spreadsheetml/2009/9/main" objectType="Drop" dropStyle="combo" dx="16" fmlaLink="'Format (2)'!$B$5" fmlaRange="'Format (2)'!$B$2:$B$4" noThreeD="1" sel="1" val="0"/>
</file>

<file path=xl/ctrlProps/ctrlProp19.xml><?xml version="1.0" encoding="utf-8"?>
<formControlPr xmlns="http://schemas.microsoft.com/office/spreadsheetml/2009/9/main" objectType="Drop" dropStyle="combo" dx="16" fmlaLink="'Format (2)'!$C$8" fmlaRange="'Format (2)'!$C$2:$C$7" noThreeD="1" sel="1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sel="1" val="0"/>
</file>

<file path=xl/ctrlProps/ctrlProp20.xml><?xml version="1.0" encoding="utf-8"?>
<formControlPr xmlns="http://schemas.microsoft.com/office/spreadsheetml/2009/9/main" objectType="Drop" dropStyle="combo" dx="16" fmlaLink="'Format (2)'!$D$4" fmlaRange="'Format (2)'!$D$2:$D$3" noThreeD="1" sel="1" val="0"/>
</file>

<file path=xl/ctrlProps/ctrlProp21.xml><?xml version="1.0" encoding="utf-8"?>
<formControlPr xmlns="http://schemas.microsoft.com/office/spreadsheetml/2009/9/main" objectType="Drop" dropStyle="combo" dx="16" fmlaLink="'Format (2)'!$E$8" fmlaRange="'Format (2)'!$E$2:$E$7" noThreeD="1" sel="1" val="0"/>
</file>

<file path=xl/ctrlProps/ctrlProp22.xml><?xml version="1.0" encoding="utf-8"?>
<formControlPr xmlns="http://schemas.microsoft.com/office/spreadsheetml/2009/9/main" objectType="Drop" dropStyle="combo" dx="16" fmlaLink="'Format (2)'!$G$4" fmlaRange="'Format (2)'!$G$2:$G$3" noThreeD="1" sel="1" val="0"/>
</file>

<file path=xl/ctrlProps/ctrlProp23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24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25.xml><?xml version="1.0" encoding="utf-8"?>
<formControlPr xmlns="http://schemas.microsoft.com/office/spreadsheetml/2009/9/main" objectType="Drop" dropStyle="combo" dx="16" fmlaLink="'Format (2)'!$F$4" fmlaRange="'Format (2)'!$F$2:$F$3" noThreeD="1" sel="1" val="0"/>
</file>

<file path=xl/ctrlProps/ctrlProp26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27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28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29.xml><?xml version="1.0" encoding="utf-8"?>
<formControlPr xmlns="http://schemas.microsoft.com/office/spreadsheetml/2009/9/main" objectType="Drop" dropStyle="combo" dx="16" fmlaLink="'Format (2)'!$N$8" fmlaRange="'Format (2)'!$N$2:$N$7" noThreeD="1" sel="1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sel="1" val="0"/>
</file>

<file path=xl/ctrlProps/ctrlProp30.xml><?xml version="1.0" encoding="utf-8"?>
<formControlPr xmlns="http://schemas.microsoft.com/office/spreadsheetml/2009/9/main" objectType="Drop" dropStyle="combo" dx="16" fmlaLink="'Format (2)'!$O$4" fmlaRange="'Format (2)'!$O$2:$O$3" noThreeD="1" sel="1" val="0"/>
</file>

<file path=xl/ctrlProps/ctrlProp31.xml><?xml version="1.0" encoding="utf-8"?>
<formControlPr xmlns="http://schemas.microsoft.com/office/spreadsheetml/2009/9/main" objectType="Drop" dropStyle="combo" dx="16" fmlaLink="'Format (2)'!$P$5" fmlaRange="'Format (2)'!$P$2:$P$4" noThreeD="1" sel="1" val="0"/>
</file>

<file path=xl/ctrlProps/ctrlProp32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sel="1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sel="1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sel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6" Type="http://schemas.openxmlformats.org/officeDocument/2006/relationships/hyperlink" Target="#&#1578;&#1587;&#1593;&#1610;&#1585;!A98"/><Relationship Id="rId5" Type="http://schemas.openxmlformats.org/officeDocument/2006/relationships/image" Target="../media/image1.jpeg"/><Relationship Id="rId4" Type="http://schemas.openxmlformats.org/officeDocument/2006/relationships/hyperlink" Target="#&#1578;&#1587;&#1593;&#1610;&#1585;!A78"/><Relationship Id="rId7" Type="http://schemas.openxmlformats.org/officeDocument/2006/relationships/image" Target="../media/image1.jpeg"/><Relationship Id="rId8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9830910343" y="6814457"/>
          <a:ext cx="2895600" cy="116477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 editAs="oneCell">
    <xdr:from>
      <xdr:col>25</xdr:col>
      <xdr:colOff>1197013</xdr:colOff>
      <xdr:row>41</xdr:row>
      <xdr:rowOff>10634</xdr:rowOff>
    </xdr:from>
    <xdr:to>
      <xdr:col>28</xdr:col>
      <xdr:colOff>1257300</xdr:colOff>
      <xdr:row>43</xdr:row>
      <xdr:rowOff>512165</xdr:rowOff>
    </xdr:to>
    <xdr:pic>
      <xdr:nvPicPr>
        <xdr:cNvPr id="56" name="Picture 5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22060535"/>
          <a:ext cx="4871720" cy="1568450"/>
        </a:xfrm>
        <a:prstGeom prst="rect">
          <a:avLst/>
        </a:prstGeom>
      </xdr:spPr>
    </xdr:pic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oneCellAnchor>
    <xdr:from>
      <xdr:col>25</xdr:col>
      <xdr:colOff>1197013</xdr:colOff>
      <xdr:row>59</xdr:row>
      <xdr:rowOff>10634</xdr:rowOff>
    </xdr:from>
    <xdr:ext cx="4843483" cy="1530231"/>
    <xdr:pic>
      <xdr:nvPicPr>
        <xdr:cNvPr id="67" name="Picture 6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31623635"/>
          <a:ext cx="4843145" cy="1530350"/>
        </a:xfrm>
        <a:prstGeom prst="rect">
          <a:avLst/>
        </a:prstGeom>
      </xdr:spPr>
    </xdr:pic>
    <xdr:clientData/>
  </xdr:one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800100</xdr:colOff>
      <xdr:row>36</xdr:row>
      <xdr:rowOff>285750</xdr:rowOff>
    </xdr:from>
    <xdr:to>
      <xdr:col>64</xdr:col>
      <xdr:colOff>785812</xdr:colOff>
      <xdr:row>36</xdr:row>
      <xdr:rowOff>500062</xdr:rowOff>
    </xdr:to>
    <xdr:cxnSp macro="">
      <xdr:nvCxnSpPr>
        <xdr:cNvPr id="91" name="Straight Arrow Connector 90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CxnSpPr/>
      </xdr:nvCxnSpPr>
      <xdr:spPr>
        <a:xfrm flipH="1">
          <a:off x="9949943588" y="20078700"/>
          <a:ext cx="1624012" cy="2143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877661</xdr:colOff>
      <xdr:row>15</xdr:row>
      <xdr:rowOff>292555</xdr:rowOff>
    </xdr:from>
    <xdr:to>
      <xdr:col>32</xdr:col>
      <xdr:colOff>1251854</xdr:colOff>
      <xdr:row>17</xdr:row>
      <xdr:rowOff>476253</xdr:rowOff>
    </xdr:to>
    <xdr:sp macro="" textlink="">
      <xdr:nvSpPr>
        <xdr:cNvPr id="2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06063BE-293D-4906-B0DB-489EA13C74EC}"/>
            </a:ext>
          </a:extLst>
        </xdr:cNvPr>
        <xdr:cNvSpPr/>
      </xdr:nvSpPr>
      <xdr:spPr>
        <a:xfrm rot="16200000">
          <a:off x="9768469207" y="3173870"/>
          <a:ext cx="1136198" cy="189819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</xdr:row>
          <xdr:rowOff>7620</xdr:rowOff>
        </xdr:from>
        <xdr:to>
          <xdr:col>4</xdr:col>
          <xdr:colOff>600075</xdr:colOff>
          <xdr:row>2</xdr:row>
          <xdr:rowOff>144780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9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3</xdr:row>
          <xdr:rowOff>22860</xdr:rowOff>
        </xdr:from>
        <xdr:to>
          <xdr:col>4</xdr:col>
          <xdr:colOff>600075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9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4</xdr:row>
          <xdr:rowOff>22860</xdr:rowOff>
        </xdr:from>
        <xdr:to>
          <xdr:col>4</xdr:col>
          <xdr:colOff>600075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9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7620</xdr:rowOff>
        </xdr:from>
        <xdr:to>
          <xdr:col>5</xdr:col>
          <xdr:colOff>0</xdr:colOff>
          <xdr:row>8</xdr:row>
          <xdr:rowOff>144780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9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7620</xdr:rowOff>
        </xdr:from>
        <xdr:to>
          <xdr:col>5</xdr:col>
          <xdr:colOff>0</xdr:colOff>
          <xdr:row>9</xdr:row>
          <xdr:rowOff>144780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9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22860</xdr:rowOff>
        </xdr:from>
        <xdr:to>
          <xdr:col>5</xdr:col>
          <xdr:colOff>0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9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22860</xdr:rowOff>
        </xdr:from>
        <xdr:to>
          <xdr:col>5</xdr:col>
          <xdr:colOff>0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9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7620</xdr:rowOff>
        </xdr:from>
        <xdr:to>
          <xdr:col>5</xdr:col>
          <xdr:colOff>0</xdr:colOff>
          <xdr:row>14</xdr:row>
          <xdr:rowOff>144780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9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22860</xdr:rowOff>
        </xdr:from>
        <xdr:to>
          <xdr:col>5</xdr:col>
          <xdr:colOff>0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9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26</xdr:row>
          <xdr:rowOff>22860</xdr:rowOff>
        </xdr:from>
        <xdr:to>
          <xdr:col>4</xdr:col>
          <xdr:colOff>600075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9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27</xdr:row>
          <xdr:rowOff>7620</xdr:rowOff>
        </xdr:from>
        <xdr:to>
          <xdr:col>4</xdr:col>
          <xdr:colOff>600075</xdr:colOff>
          <xdr:row>27</xdr:row>
          <xdr:rowOff>144780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9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28</xdr:row>
          <xdr:rowOff>7620</xdr:rowOff>
        </xdr:from>
        <xdr:to>
          <xdr:col>4</xdr:col>
          <xdr:colOff>600075</xdr:colOff>
          <xdr:row>28</xdr:row>
          <xdr:rowOff>144780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9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</xdr:colOff>
          <xdr:row>2</xdr:row>
          <xdr:rowOff>7620</xdr:rowOff>
        </xdr:from>
        <xdr:to>
          <xdr:col>8</xdr:col>
          <xdr:colOff>371475</xdr:colOff>
          <xdr:row>2</xdr:row>
          <xdr:rowOff>144780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9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7620</xdr:rowOff>
        </xdr:from>
        <xdr:to>
          <xdr:col>8</xdr:col>
          <xdr:colOff>257175</xdr:colOff>
          <xdr:row>14</xdr:row>
          <xdr:rowOff>144780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9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22860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9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29</xdr:row>
          <xdr:rowOff>7620</xdr:rowOff>
        </xdr:from>
        <xdr:to>
          <xdr:col>4</xdr:col>
          <xdr:colOff>600075</xdr:colOff>
          <xdr:row>29</xdr:row>
          <xdr:rowOff>144780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9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</xdr:row>
          <xdr:rowOff>7620</xdr:rowOff>
        </xdr:from>
        <xdr:to>
          <xdr:col>4</xdr:col>
          <xdr:colOff>600075</xdr:colOff>
          <xdr:row>2</xdr:row>
          <xdr:rowOff>144780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B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3</xdr:row>
          <xdr:rowOff>22860</xdr:rowOff>
        </xdr:from>
        <xdr:to>
          <xdr:col>4</xdr:col>
          <xdr:colOff>600075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B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4</xdr:row>
          <xdr:rowOff>22860</xdr:rowOff>
        </xdr:from>
        <xdr:to>
          <xdr:col>4</xdr:col>
          <xdr:colOff>600075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B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7620</xdr:rowOff>
        </xdr:from>
        <xdr:to>
          <xdr:col>5</xdr:col>
          <xdr:colOff>0</xdr:colOff>
          <xdr:row>8</xdr:row>
          <xdr:rowOff>144780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B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7620</xdr:rowOff>
        </xdr:from>
        <xdr:to>
          <xdr:col>5</xdr:col>
          <xdr:colOff>0</xdr:colOff>
          <xdr:row>9</xdr:row>
          <xdr:rowOff>144780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B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22860</xdr:rowOff>
        </xdr:from>
        <xdr:to>
          <xdr:col>5</xdr:col>
          <xdr:colOff>0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B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22860</xdr:rowOff>
        </xdr:from>
        <xdr:to>
          <xdr:col>5</xdr:col>
          <xdr:colOff>0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B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7620</xdr:rowOff>
        </xdr:from>
        <xdr:to>
          <xdr:col>5</xdr:col>
          <xdr:colOff>0</xdr:colOff>
          <xdr:row>14</xdr:row>
          <xdr:rowOff>144780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B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22860</xdr:rowOff>
        </xdr:from>
        <xdr:to>
          <xdr:col>5</xdr:col>
          <xdr:colOff>0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B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26</xdr:row>
          <xdr:rowOff>22860</xdr:rowOff>
        </xdr:from>
        <xdr:to>
          <xdr:col>4</xdr:col>
          <xdr:colOff>600075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id="{00000000-0008-0000-0B00-00000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27</xdr:row>
          <xdr:rowOff>7620</xdr:rowOff>
        </xdr:from>
        <xdr:to>
          <xdr:col>4</xdr:col>
          <xdr:colOff>600075</xdr:colOff>
          <xdr:row>27</xdr:row>
          <xdr:rowOff>144780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  <a:ext uri="{FF2B5EF4-FFF2-40B4-BE49-F238E27FC236}">
                  <a16:creationId xmlns:a16="http://schemas.microsoft.com/office/drawing/2014/main" id="{00000000-0008-0000-0B00-00000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28</xdr:row>
          <xdr:rowOff>7620</xdr:rowOff>
        </xdr:from>
        <xdr:to>
          <xdr:col>4</xdr:col>
          <xdr:colOff>600075</xdr:colOff>
          <xdr:row>28</xdr:row>
          <xdr:rowOff>144780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  <a:ext uri="{FF2B5EF4-FFF2-40B4-BE49-F238E27FC236}">
                  <a16:creationId xmlns:a16="http://schemas.microsoft.com/office/drawing/2014/main" id="{00000000-0008-0000-0B00-00000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</xdr:colOff>
          <xdr:row>2</xdr:row>
          <xdr:rowOff>7620</xdr:rowOff>
        </xdr:from>
        <xdr:to>
          <xdr:col>8</xdr:col>
          <xdr:colOff>371475</xdr:colOff>
          <xdr:row>2</xdr:row>
          <xdr:rowOff>144780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  <a:ext uri="{FF2B5EF4-FFF2-40B4-BE49-F238E27FC236}">
                  <a16:creationId xmlns:a16="http://schemas.microsoft.com/office/drawing/2014/main" id="{00000000-0008-0000-0B00-00000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7620</xdr:rowOff>
        </xdr:from>
        <xdr:to>
          <xdr:col>8</xdr:col>
          <xdr:colOff>257175</xdr:colOff>
          <xdr:row>14</xdr:row>
          <xdr:rowOff>144780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  <a:ext uri="{FF2B5EF4-FFF2-40B4-BE49-F238E27FC236}">
                  <a16:creationId xmlns:a16="http://schemas.microsoft.com/office/drawing/2014/main" id="{00000000-0008-0000-0B00-00000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22860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  <a:ext uri="{FF2B5EF4-FFF2-40B4-BE49-F238E27FC236}">
                  <a16:creationId xmlns:a16="http://schemas.microsoft.com/office/drawing/2014/main" id="{00000000-0008-0000-0B00-00000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29</xdr:row>
          <xdr:rowOff>7620</xdr:rowOff>
        </xdr:from>
        <xdr:to>
          <xdr:col>4</xdr:col>
          <xdr:colOff>600075</xdr:colOff>
          <xdr:row>29</xdr:row>
          <xdr:rowOff>144780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  <a:ext uri="{FF2B5EF4-FFF2-40B4-BE49-F238E27FC236}">
                  <a16:creationId xmlns:a16="http://schemas.microsoft.com/office/drawing/2014/main" id="{00000000-0008-0000-0B00-00001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:a16="http://schemas.microsoft.com/office/drawing/2014/main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:a16="http://schemas.microsoft.com/office/drawing/2014/main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:a16="http://schemas.microsoft.com/office/drawing/2014/main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:a16="http://schemas.microsoft.com/office/drawing/2014/main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:a16="http://schemas.microsoft.com/office/drawing/2014/main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:a16="http://schemas.microsoft.com/office/drawing/2014/main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:a16="http://schemas.microsoft.com/office/drawing/2014/main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:a16="http://schemas.microsoft.com/office/drawing/2014/main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:a16="http://schemas.microsoft.com/office/drawing/2014/main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:a16="http://schemas.microsoft.com/office/drawing/2014/main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:a16="http://schemas.microsoft.com/office/drawing/2014/main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:a16="http://schemas.microsoft.com/office/drawing/2014/main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:a16="http://schemas.microsoft.com/office/drawing/2014/main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:a16="http://schemas.microsoft.com/office/drawing/2014/main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:a16="http://schemas.microsoft.com/office/drawing/2014/main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:a16="http://schemas.microsoft.com/office/drawing/2014/main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:a16="http://schemas.microsoft.com/office/drawing/2014/main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:a16="http://schemas.microsoft.com/office/drawing/2014/main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:a16="http://schemas.microsoft.com/office/drawing/2014/main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:a16="http://schemas.microsoft.com/office/drawing/2014/main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:a16="http://schemas.microsoft.com/office/drawing/2014/main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:a16="http://schemas.microsoft.com/office/drawing/2014/main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:a16="http://schemas.microsoft.com/office/drawing/2014/main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:a16="http://schemas.microsoft.com/office/drawing/2014/main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:a16="http://schemas.microsoft.com/office/drawing/2014/main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:a16="http://schemas.microsoft.com/office/drawing/2014/main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:a16="http://schemas.microsoft.com/office/drawing/2014/main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:a16="http://schemas.microsoft.com/office/drawing/2014/main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:a16="http://schemas.microsoft.com/office/drawing/2014/main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:a16="http://schemas.microsoft.com/office/drawing/2014/main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:a16="http://schemas.microsoft.com/office/drawing/2014/main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:a16="http://schemas.microsoft.com/office/drawing/2014/main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:a16="http://schemas.microsoft.com/office/drawing/2014/main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:a16="http://schemas.microsoft.com/office/drawing/2014/main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:a16="http://schemas.microsoft.com/office/drawing/2014/main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:a16="http://schemas.microsoft.com/office/drawing/2014/main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:a16="http://schemas.microsoft.com/office/drawing/2014/main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:a16="http://schemas.microsoft.com/office/drawing/2014/main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:a16="http://schemas.microsoft.com/office/drawing/2014/main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:a16="http://schemas.microsoft.com/office/drawing/2014/main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:a16="http://schemas.microsoft.com/office/drawing/2014/main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Z:\calculation%20sheet%208-9-2020\Royal%20pergola%208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  <sheetName val="Royal pergola 8m"/>
    </sheetNames>
    <definedNames/>
    <sheetDataSet>
      <sheetData sheetId="0">
        <row r="14">
          <cell r="L14">
            <v>12</v>
          </cell>
        </row>
      </sheetData>
      <sheetData sheetId="1"/>
      <sheetData sheetId="2">
        <row r="4">
          <cell r="H4">
            <v>2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0000000}" name="Table3" displayName="Table3" ref="A1:D7" totalsRowShown="0">
  <autoFilter ref="A1:D7" xr:uid="{00000000-0009-0000-0100-00000D000000}"/>
  <tableColumns count="4">
    <tableColumn id="1" xr3:uid="{00000000-0010-0000-0000-000001000000}" name="الارتفاع"/>
    <tableColumn id="3" xr3:uid="{00000000-0010-0000-0000-000003000000}" name="طريقة الدهان"/>
    <tableColumn id="5" xr3:uid="{00000000-0010-0000-0000-000005000000}" name="لون الالومنيوم"/>
    <tableColumn id="6" xr3:uid="{00000000-0010-0000-0000-000006000000}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7000000}" name="Table15" displayName="Table15" ref="A16:L27" totalsRowCount="1">
  <autoFilter ref="A16:L26" xr:uid="{00000000-0009-0000-0100-000004000000}"/>
  <tableColumns count="12">
    <tableColumn id="1" xr3:uid="{00000000-0010-0000-0700-000001000000}" name="م" totalsRowLabel="Total" dataDxfId="1420" totalsRowDxfId="1428"/>
    <tableColumn id="2" xr3:uid="{00000000-0010-0000-0700-000002000000}" name="عدد" dataDxfId="1422" totalsRowDxfId="1428"/>
    <tableColumn id="3" xr3:uid="{00000000-0010-0000-0700-000003000000}" name="بيان" totalsRowLabel="Total" dataDxfId="1420" totalsRowDxfId="1428"/>
    <tableColumn id="11" xr3:uid="{00000000-0010-0000-0700-00000B000000}" name="Column2" dataDxfId="1420" totalsRowDxfId="1428"/>
    <tableColumn id="10" xr3:uid="{00000000-0010-0000-0700-00000A000000}" name="Column1" dataDxfId="1420" totalsRowDxfId="1428"/>
    <tableColumn id="12" xr3:uid="{00000000-0010-0000-0700-00000C000000}" name="Column12" dataDxfId="1429" totalsRowDxfId="1430"/>
    <tableColumn id="4" xr3:uid="{00000000-0010-0000-0700-000004000000}" name="الوحده" dataDxfId="1420" totalsRowDxfId="1428"/>
    <tableColumn id="5" xr3:uid="{00000000-0010-0000-0700-000005000000}" name="الوزن" dataDxfId="1420" totalsRowDxfId="1428"/>
    <tableColumn id="6" xr3:uid="{00000000-0010-0000-0700-000006000000}" name="سعر الكيلو" dataDxfId="1420" totalsRowDxfId="1428"/>
    <tableColumn id="7" xr3:uid="{00000000-0010-0000-0700-000007000000}" name="سعر الشبك " dataDxfId="1423" totalsRowDxfId="89">
      <calculatedColumnFormula>Sheet2!B22</calculatedColumnFormula>
    </tableColumn>
    <tableColumn id="8" xr3:uid="{00000000-0010-0000-0700-000008000000}" name="اجمالي" totalsRowFunction="sum" dataDxfId="1425" totalsRowDxfId="87">
      <calculatedColumnFormula>B17*J17</calculatedColumnFormula>
    </tableColumn>
    <tableColumn id="9" xr3:uid="{00000000-0010-0000-0700-000009000000}" name="%" totalsRowFunction="custom" totalsRowDxfId="86">
      <calculatedColumnFormula>Table15[[#Totals],[اجمالي]]/$G$83</calculatedColumnFormula>
      <totalsRowFormula>Table15[[#Totals],[اجمالي]]/$G$83</totalsRowFormula>
    </tableColumn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9" xr:uid="{00000000-000C-0000-FFFF-FFFF61000000}" name="Table1588090" displayName="Table1588090" ref="BG5:BR11" totalsRowCount="1">
  <autoFilter ref="BG5:BR10" xr:uid="{00000000-0009-0000-0100-000059000000}"/>
  <tableColumns count="12">
    <tableColumn id="1" xr3:uid="{00000000-0010-0000-6100-000001000000}" name="م" dataDxfId="1420" totalsRowDxfId="1421"/>
    <tableColumn id="2" xr3:uid="{00000000-0010-0000-6100-000002000000}" name="عدد" dataDxfId="1420" totalsRowDxfId="1421"/>
    <tableColumn id="3" xr3:uid="{00000000-0010-0000-6100-000003000000}" name="بيان" totalsRowLabel="Total" dataDxfId="1420" totalsRowDxfId="1421"/>
    <tableColumn id="11" xr3:uid="{00000000-0010-0000-6100-00000B000000}" name="Column2" dataDxfId="1420" totalsRowDxfId="1421"/>
    <tableColumn id="10" xr3:uid="{00000000-0010-0000-6100-00000A000000}" name="Column1" dataDxfId="1420" totalsRowDxfId="1421"/>
    <tableColumn id="12" xr3:uid="{00000000-0010-0000-6100-00000C000000}" name="المسطح" totalsRowFunction="sum" dataDxfId="1429" totalsRowDxfId="1431">
      <calculatedColumnFormula>(Table1588090[[#This Row],[Column1]]+Table1588090[[#This Row],[Column2]])*12*Table1588090[[#This Row],[عدد]]</calculatedColumnFormula>
    </tableColumn>
    <tableColumn id="4" xr3:uid="{00000000-0010-0000-6100-000004000000}" name="الوحده" dataDxfId="1420" totalsRowDxfId="1421"/>
    <tableColumn id="5" xr3:uid="{00000000-0010-0000-6100-000005000000}" name="الوزن" totalsRowFunction="custom" totalsRowDxfId="1421">
      <totalsRowFormula>(BN6*BH6)+(BN7*BG7)+(BN8*BG8)+(BN9*BG9)</totalsRowFormula>
    </tableColumn>
    <tableColumn id="6" xr3:uid="{00000000-0010-0000-6100-000006000000}" name="اجمالي المسطح" totalsRowFunction="sum" dataDxfId="1422" totalsRowDxfId="1421">
      <calculatedColumnFormula>Table1588090[[#This Row],[المسطح]]*Table1588090[[#This Row],[عدد]]</calculatedColumnFormula>
    </tableColumn>
    <tableColumn id="7" xr3:uid="{00000000-0010-0000-6100-000007000000}" name="سعر الشبك " dataDxfId="1455" totalsRowDxfId="1424">
      <calculatedColumnFormula>BN6*$S$2/1000</calculatedColumnFormula>
    </tableColumn>
    <tableColumn id="8" xr3:uid="{00000000-0010-0000-6100-000008000000}" name="اجمالي" totalsRowFunction="sum" dataDxfId="1425" totalsRowDxfId="1426">
      <calculatedColumnFormula>BH6*BP6</calculatedColumnFormula>
    </tableColumn>
    <tableColumn id="9" xr3:uid="{00000000-0010-0000-6100-000009000000}" name="%" totalsRowFunction="custom" totalsRowDxfId="1427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0" xr:uid="{00000000-000C-0000-FFFF-FFFF62000000}" name="Table8091" displayName="Table8091" ref="AV2:BA14" totalsRowCount="1">
  <autoFilter ref="AV2:BA13" xr:uid="{00000000-0009-0000-0100-00005A000000}"/>
  <tableColumns count="6">
    <tableColumn id="1" xr3:uid="{00000000-0010-0000-6200-000001000000}" name="Column1" totalsRowLabel="Total" dataDxfId="31" totalsRowDxfId="39"/>
    <tableColumn id="2" xr3:uid="{00000000-0010-0000-6200-000002000000}" name="عدد" totalsRowFunction="custom" totalsRowDxfId="38">
      <totalsRowFormula>(Table8091[[#Totals],[price]]*1.1)/(BA1*AY1/10000)</totalsRowFormula>
    </tableColumn>
    <tableColumn id="3" xr3:uid="{00000000-0010-0000-6200-000003000000}" name="طول" dataDxfId="1466" totalsRowDxfId="30"/>
    <tableColumn id="4" xr3:uid="{00000000-0010-0000-6200-000004000000}" name="Column2" dataDxfId="1466" totalsRowDxfId="1467"/>
    <tableColumn id="5" xr3:uid="{00000000-0010-0000-6200-000005000000}" name="wt/m" dataDxfId="1466" totalsRowDxfId="1467"/>
    <tableColumn id="6" xr3:uid="{00000000-0010-0000-6200-000006000000}" name="price" totalsRowFunction="sum" dataDxfId="1466" totalsRowDxfId="1467">
      <calculatedColumnFormula>AZ3*AX3</calculatedColumnFormula>
    </tableColumn>
  </tableColumns>
  <tableStyleInfo name="TableStyleLight17" showFirstColumn="0" showLastColumn="0" showRowStripes="1" showColumnStripes="0"/>
</table>
</file>

<file path=xl/tables/table10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2" xr:uid="{00000000-000C-0000-FFFF-FFFF63000000}" name="Table13597192103" displayName="Table13597192103" ref="BG97:BR113" totalsRowCount="1">
  <autoFilter ref="BG97:BR112" xr:uid="{00000000-0009-0000-0100-000066000000}"/>
  <tableColumns count="12">
    <tableColumn id="1" xr3:uid="{00000000-0010-0000-6300-000001000000}" name="م" totalsRowLabel="Total" dataDxfId="1420" totalsRowDxfId="1421"/>
    <tableColumn id="2" xr3:uid="{00000000-0010-0000-6300-000002000000}" name="عدد" dataDxfId="1422" totalsRowDxfId="1421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xr3:uid="{00000000-0010-0000-6300-000003000000}" name="بيان" totalsRowLabel="Total" dataDxfId="1420" totalsRowDxfId="1421"/>
    <tableColumn id="11" xr3:uid="{00000000-0010-0000-6300-00000B000000}" name="Column2" dataDxfId="1420" totalsRowDxfId="1421"/>
    <tableColumn id="10" xr3:uid="{00000000-0010-0000-6300-00000A000000}" name="Column1" dataDxfId="1420" totalsRowDxfId="1421"/>
    <tableColumn id="12" xr3:uid="{00000000-0010-0000-6300-00000C000000}" name="Column12" dataDxfId="1420" totalsRowDxfId="1421"/>
    <tableColumn id="4" xr3:uid="{00000000-0010-0000-6300-000004000000}" name="الوحده" totalsRowLabel="total" dataDxfId="1420" totalsRowDxfId="1421"/>
    <tableColumn id="5" xr3:uid="{00000000-0010-0000-6300-000005000000}" name="الوزن" dataDxfId="1420" totalsRowDxfId="1421"/>
    <tableColumn id="6" xr3:uid="{00000000-0010-0000-6300-000006000000}" name="سعر الكيلو" dataDxfId="1420" totalsRowDxfId="1421"/>
    <tableColumn id="7" xr3:uid="{00000000-0010-0000-6300-000007000000}" name="سعر الشبك " dataDxfId="1423" totalsRowDxfId="1424">
      <calculatedColumnFormula>BP28</calculatedColumnFormula>
    </tableColumn>
    <tableColumn id="8" xr3:uid="{00000000-0010-0000-6300-000008000000}" name="اجمالي" totalsRowFunction="sum" dataDxfId="1425" totalsRowDxfId="1426">
      <calculatedColumnFormula>BH98*BP99</calculatedColumnFormula>
    </tableColumn>
    <tableColumn id="9" xr3:uid="{00000000-0010-0000-6300-000009000000}" name="%" totalsRowFunction="custom" totalsRowDxfId="1427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3" xr:uid="{00000000-000C-0000-FFFF-FFFF64000000}" name="Table15617293104" displayName="Table15617293104" ref="BG83:BR89" totalsRowCount="1">
  <autoFilter ref="BG83:BR88" xr:uid="{00000000-0009-0000-0100-000067000000}"/>
  <tableColumns count="12">
    <tableColumn id="1" xr3:uid="{00000000-0010-0000-6400-000001000000}" name="م" totalsRowLabel="Total" dataDxfId="1420" totalsRowDxfId="1421"/>
    <tableColumn id="2" xr3:uid="{00000000-0010-0000-6400-000002000000}" name="عدد" dataDxfId="1422" totalsRowDxfId="1421">
      <calculatedColumnFormula>IF((#REF!="بالتات"),0,4)</calculatedColumnFormula>
    </tableColumn>
    <tableColumn id="3" xr3:uid="{00000000-0010-0000-6400-000003000000}" name="بيان" totalsRowLabel="Total" dataDxfId="1420" totalsRowDxfId="1421"/>
    <tableColumn id="11" xr3:uid="{00000000-0010-0000-6400-00000B000000}" name="Column2" dataDxfId="1420" totalsRowDxfId="1421"/>
    <tableColumn id="10" xr3:uid="{00000000-0010-0000-6400-00000A000000}" name="Column1" dataDxfId="1420" totalsRowDxfId="1421"/>
    <tableColumn id="12" xr3:uid="{00000000-0010-0000-6400-00000C000000}" name="Column12" dataDxfId="1429" totalsRowDxfId="1431"/>
    <tableColumn id="4" xr3:uid="{00000000-0010-0000-6400-000004000000}" name="الوحده" dataDxfId="1420" totalsRowDxfId="1421"/>
    <tableColumn id="5" xr3:uid="{00000000-0010-0000-6400-000005000000}" name="الوزن" dataDxfId="1420" totalsRowDxfId="1421"/>
    <tableColumn id="6" xr3:uid="{00000000-0010-0000-6400-000006000000}" name="سعر الكيلو" dataDxfId="1420" totalsRowDxfId="1421"/>
    <tableColumn id="7" xr3:uid="{00000000-0010-0000-6400-000007000000}" name="سعر الشبك " dataDxfId="1446" totalsRowDxfId="1424">
      <calculatedColumnFormula>Sheet2!AW26</calculatedColumnFormula>
    </tableColumn>
    <tableColumn id="8" xr3:uid="{00000000-0010-0000-6400-000008000000}" name="اجمالي" totalsRowFunction="sum" dataDxfId="1425" totalsRowDxfId="1426">
      <calculatedColumnFormula>BH84*BP84</calculatedColumnFormula>
    </tableColumn>
    <tableColumn id="9" xr3:uid="{00000000-0010-0000-6400-000009000000}" name="%" totalsRowFunction="custom" totalsRowDxfId="1427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4" xr:uid="{00000000-000C-0000-FFFF-FFFF65000000}" name="Table16627394105" displayName="Table16627394105" ref="BG91:BR95" totalsRowCount="1">
  <autoFilter ref="BG91:BR94" xr:uid="{00000000-0009-0000-0100-000068000000}"/>
  <tableColumns count="12">
    <tableColumn id="1" xr3:uid="{00000000-0010-0000-6500-000001000000}" name="م" totalsRowLabel="Total" dataDxfId="1420"/>
    <tableColumn id="2" xr3:uid="{00000000-0010-0000-6500-000002000000}" name="عدد" totalsRowFunction="sum" dataDxfId="1420">
      <calculatedColumnFormula>BH90*4</calculatedColumnFormula>
    </tableColumn>
    <tableColumn id="3" xr3:uid="{00000000-0010-0000-6500-000003000000}" name="بيان" totalsRowLabel="Total" dataDxfId="1420"/>
    <tableColumn id="11" xr3:uid="{00000000-0010-0000-6500-00000B000000}" name="Column2" dataDxfId="1420"/>
    <tableColumn id="10" xr3:uid="{00000000-0010-0000-6500-00000A000000}" name="Column1" dataDxfId="1420"/>
    <tableColumn id="12" xr3:uid="{00000000-0010-0000-6500-00000C000000}" name="Column12" totalsRowFunction="sum" dataDxfId="1429">
      <calculatedColumnFormula>(Table16627394105[[#This Row],[Column1]]*Table16627394105[[#This Row],[Column2]])*Table16627394105[[#This Row],[عدد]]</calculatedColumnFormula>
    </tableColumn>
    <tableColumn id="4" xr3:uid="{00000000-0010-0000-6500-000004000000}" name="الوحده" dataDxfId="1420"/>
    <tableColumn id="5" xr3:uid="{00000000-0010-0000-6500-000005000000}" name="الوزن" totalsRowFunction="custom">
      <totalsRowFormula>(BN93*BH93)+(BH94*BN94)</totalsRowFormula>
    </tableColumn>
    <tableColumn id="6" xr3:uid="{00000000-0010-0000-6500-000006000000}" name="سعر الكيلو" dataDxfId="1422"/>
    <tableColumn id="7" xr3:uid="{00000000-0010-0000-6500-000007000000}" name="سعر الشبك " dataDxfId="1423">
      <calculatedColumnFormula>BN92*$S$2/1000</calculatedColumnFormula>
    </tableColumn>
    <tableColumn id="8" xr3:uid="{00000000-0010-0000-6500-000008000000}" name="اجمالي" totalsRowFunction="sum" dataDxfId="1425">
      <calculatedColumnFormula>BH92*BP92</calculatedColumnFormula>
    </tableColumn>
    <tableColumn id="9" xr3:uid="{00000000-0010-0000-6500-000009000000}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5" xr:uid="{00000000-000C-0000-FFFF-FFFF66000000}" name="Table6637495106" displayName="Table6637495106" ref="CE78:CH89" totalsRowShown="0">
  <autoFilter ref="CE78:CH89" xr:uid="{00000000-0009-0000-0100-000069000000}"/>
  <tableColumns count="4">
    <tableColumn id="1" xr3:uid="{00000000-0010-0000-6600-000001000000}" name="المادة" dataDxfId="1432"/>
    <tableColumn id="2" xr3:uid="{00000000-0010-0000-6600-000002000000}" name="المعدل" dataDxfId="1432"/>
    <tableColumn id="3" xr3:uid="{00000000-0010-0000-6600-000003000000}" name="الوحدة" dataDxfId="1432"/>
    <tableColumn id="4" xr3:uid="{00000000-0010-0000-6600-000004000000}" name="Column4" dataDxfId="1442"/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6" xr:uid="{00000000-000C-0000-FFFF-FFFF67000000}" name="Table7647596107" displayName="Table7647596107" ref="CJ78:CN93" totalsRowShown="0">
  <autoFilter ref="CJ78:CN93" xr:uid="{00000000-0009-0000-0100-00006A000000}"/>
  <tableColumns count="5">
    <tableColumn id="1" xr3:uid="{00000000-0010-0000-6700-000001000000}" name="Column1" dataDxfId="1432"/>
    <tableColumn id="2" xr3:uid="{00000000-0010-0000-6700-000002000000}" name="Column2" dataDxfId="1442"/>
    <tableColumn id="3" xr3:uid="{00000000-0010-0000-6700-000003000000}" name="Column3" dataDxfId="1432"/>
    <tableColumn id="4" xr3:uid="{00000000-0010-0000-6700-000004000000}" name="Column4" dataDxfId="1432"/>
    <tableColumn id="5" xr3:uid="{00000000-0010-0000-6700-000005000000}" name="Column5" dataDxfId="1432"/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7" xr:uid="{00000000-000C-0000-FFFF-FFFF68000000}" name="Table1612677697108" displayName="Table1612677697108" ref="BG121:BR135" totalsRowCount="1">
  <autoFilter ref="BG121:BR134" xr:uid="{00000000-0009-0000-0100-00006B000000}"/>
  <tableColumns count="12">
    <tableColumn id="1" xr3:uid="{00000000-0010-0000-6800-000001000000}" name="م" totalsRowLabel="Total" dataDxfId="1420" totalsRowDxfId="1428"/>
    <tableColumn id="2" xr3:uid="{00000000-0010-0000-6800-000002000000}" name="عدد" dataDxfId="1441" totalsRowDxfId="1428">
      <calculatedColumnFormula>IF((تسعير!$AU$14="بالتات"),0,BH119-2)</calculatedColumnFormula>
    </tableColumn>
    <tableColumn id="3" xr3:uid="{00000000-0010-0000-6800-000003000000}" name="بيان" totalsRowLabel="Total" dataDxfId="1438" totalsRowDxfId="1428"/>
    <tableColumn id="5" xr3:uid="{00000000-0010-0000-6800-000005000000}" name="اليومية / الاجرة" dataDxfId="1438" totalsRowDxfId="1428"/>
    <tableColumn id="6" xr3:uid="{00000000-0010-0000-6800-000006000000}" name="بدل الوجبة" dataDxfId="1439" totalsRowDxfId="1428"/>
    <tableColumn id="11" xr3:uid="{00000000-0010-0000-6800-00000B000000}" name="موقع العمل" dataDxfId="1433" totalsRowDxfId="1428">
      <calculatedColumnFormula>تسعير!$BE$44</calculatedColumnFormula>
    </tableColumn>
    <tableColumn id="10" xr3:uid="{00000000-0010-0000-6800-00000A000000}" name="شيفت العمل" dataDxfId="1420" totalsRowDxfId="1428"/>
    <tableColumn id="12" xr3:uid="{00000000-0010-0000-6800-00000C000000}" name="Column12" totalsRowFunction="sum" dataDxfId="1429" totalsRowDxfId="1430">
      <calculatedColumnFormula>SUMIF(Table17697899110[Column1],Table1612677697108[[#This Row],[موقع العمل]],$AE$2:$AE$8)</calculatedColumnFormula>
    </tableColumn>
    <tableColumn id="4" xr3:uid="{00000000-0010-0000-6800-000004000000}" name="عدد الايام" dataDxfId="1447" totalsRowDxfId="1428"/>
    <tableColumn id="7" xr3:uid="{00000000-0010-0000-6800-000007000000}" name="اجمالي التكلفة للعامل" dataDxfId="1448" totalsRowDxfId="1435">
      <calculatedColumnFormula>Table1612677697108[[#This Row],[Column12]]</calculatedColumnFormula>
    </tableColumn>
    <tableColumn id="8" xr3:uid="{00000000-0010-0000-6800-000008000000}" name="اجمالي" totalsRowFunction="sum" dataDxfId="1425" totalsRowDxfId="1436">
      <calculatedColumnFormula>BH122*BP122</calculatedColumnFormula>
    </tableColumn>
    <tableColumn id="9" xr3:uid="{00000000-0010-0000-6800-000009000000}" name="%" totalsRowFunction="custom" totalsRowDxfId="1437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8" xr:uid="{00000000-000C-0000-FFFF-FFFF69000000}" name="Table1613687798109" displayName="Table1613687798109" ref="BG116:BR119" totalsRowCount="1">
  <autoFilter ref="BG116:BR118" xr:uid="{00000000-0009-0000-0100-00006C000000}"/>
  <tableColumns count="12">
    <tableColumn id="1" xr3:uid="{00000000-0010-0000-6900-000001000000}" name="م" totalsRowLabel="Total" dataDxfId="1433"/>
    <tableColumn id="2" xr3:uid="{00000000-0010-0000-6900-000002000000}" name="عدد" dataDxfId="1441">
      <calculatedColumnFormula>IF((BL133="الاسكندرية"),0.25,0.1)</calculatedColumnFormula>
    </tableColumn>
    <tableColumn id="3" xr3:uid="{00000000-0010-0000-6900-000003000000}" name="بيان" totalsRowLabel="Total" dataDxfId="1433"/>
    <tableColumn id="11" xr3:uid="{00000000-0010-0000-6900-00000B000000}" name="Column2" dataDxfId="1433"/>
    <tableColumn id="10" xr3:uid="{00000000-0010-0000-6900-00000A000000}" name="Column1" dataDxfId="1433"/>
    <tableColumn id="12" xr3:uid="{00000000-0010-0000-6900-00000C000000}" name="Column12" totalsRowFunction="sum" dataDxfId="1452"/>
    <tableColumn id="4" xr3:uid="{00000000-0010-0000-6900-000004000000}" name="الوحده" dataDxfId="1434"/>
    <tableColumn id="5" xr3:uid="{00000000-0010-0000-6900-000005000000}" name="الوزن" dataDxfId="1433"/>
    <tableColumn id="6" xr3:uid="{00000000-0010-0000-6900-000006000000}" name="سعر الكيلو" dataDxfId="1433"/>
    <tableColumn id="7" xr3:uid="{00000000-0010-0000-6900-000007000000}" name="سعر الشبك " dataDxfId="1446">
      <calculatedColumnFormula>BQ116</calculatedColumnFormula>
    </tableColumn>
    <tableColumn id="8" xr3:uid="{00000000-0010-0000-6900-000008000000}" name="اجمالي" totalsRowFunction="sum" dataDxfId="1425">
      <calculatedColumnFormula>BH117*Table1613687798109[[#This Row],[سعر الشبك ]]</calculatedColumnFormula>
    </tableColumn>
    <tableColumn id="9" xr3:uid="{00000000-0010-0000-6900-000009000000}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9" xr:uid="{00000000-000C-0000-FFFF-FFFF6A000000}" name="Table17697899110" displayName="Table17697899110" ref="BT75:BZ102" totalsRowShown="0">
  <autoFilter ref="BT75:BZ102" xr:uid="{00000000-0009-0000-0100-00006D000000}"/>
  <tableColumns count="7">
    <tableColumn id="1" xr3:uid="{00000000-0010-0000-6A00-000001000000}" name="Column1" dataDxfId="1432"/>
    <tableColumn id="2" xr3:uid="{00000000-0010-0000-6A00-000002000000}" name="خارجي" dataDxfId="1432"/>
    <tableColumn id="3" xr3:uid="{00000000-0010-0000-6A00-000003000000}" name="داخلي" dataDxfId="1432"/>
    <tableColumn id="4" xr3:uid="{00000000-0010-0000-6A00-000004000000}" name="بدل الوجبة" dataDxfId="1432"/>
    <tableColumn id="5" xr3:uid="{00000000-0010-0000-6A00-000005000000}" name="دبابة" dataDxfId="1432"/>
    <tableColumn id="6" xr3:uid="{00000000-0010-0000-6A00-000006000000}" name="جامبو" dataDxfId="1432"/>
    <tableColumn id="7" xr3:uid="{00000000-0010-0000-6A00-000007000000}" name="الاقامة" dataDxfId="1432"/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8000000}" name="Table16" displayName="Table16" ref="A29:L32" totalsRowCount="1">
  <autoFilter ref="A29:L31" xr:uid="{00000000-0009-0000-0100-000005000000}"/>
  <tableColumns count="12">
    <tableColumn id="1" xr3:uid="{00000000-0010-0000-0800-000001000000}" name="م" totalsRowLabel="Total" dataDxfId="1420" totalsRowDxfId="1421"/>
    <tableColumn id="2" xr3:uid="{00000000-0010-0000-0800-000002000000}" name="عدد" totalsRowFunction="count" dataDxfId="1420" totalsRowDxfId="1421">
      <calculatedColumnFormula>B29*4</calculatedColumnFormula>
    </tableColumn>
    <tableColumn id="3" xr3:uid="{00000000-0010-0000-0800-000003000000}" name="بيان" totalsRowLabel="Total" dataDxfId="1420" totalsRowDxfId="1421"/>
    <tableColumn id="11" xr3:uid="{00000000-0010-0000-0800-00000B000000}" name="Column2" dataDxfId="1420" totalsRowDxfId="1421"/>
    <tableColumn id="10" xr3:uid="{00000000-0010-0000-0800-00000A000000}" name="Column1" dataDxfId="1420" totalsRowDxfId="1421"/>
    <tableColumn id="12" xr3:uid="{00000000-0010-0000-0800-00000C000000}" name="Column12" totalsRowFunction="sum" dataDxfId="1429" totalsRowDxfId="1431">
      <calculatedColumnFormula>(Table16[[#This Row],[Column1]]*Table16[[#This Row],[Column2]])*Table16[[#This Row],[عدد]]</calculatedColumnFormula>
    </tableColumn>
    <tableColumn id="4" xr3:uid="{00000000-0010-0000-0800-000004000000}" name="الوحده" dataDxfId="1420" totalsRowDxfId="1421"/>
    <tableColumn id="5" xr3:uid="{00000000-0010-0000-0800-000005000000}" name="الوزن" totalsRowFunction="custom" totalsRowDxfId="1421">
      <totalsRowFormula>H30*B30+H31*B31</totalsRowFormula>
    </tableColumn>
    <tableColumn id="6" xr3:uid="{00000000-0010-0000-0800-000006000000}" name="Column3" dataDxfId="1422" totalsRowDxfId="1421"/>
    <tableColumn id="7" xr3:uid="{00000000-0010-0000-0800-000007000000}" name="سعر الشبك " dataDxfId="1423" totalsRowDxfId="1424">
      <calculatedColumnFormula>H30*$H$2/1000</calculatedColumnFormula>
    </tableColumn>
    <tableColumn id="8" xr3:uid="{00000000-0010-0000-0800-000008000000}" name="اجمالي" totalsRowFunction="sum" dataDxfId="1425" totalsRowDxfId="1426">
      <calculatedColumnFormula>B30*J30</calculatedColumnFormula>
    </tableColumn>
    <tableColumn id="9" xr3:uid="{00000000-0010-0000-0800-000009000000}" name="%" totalsRowFunction="custom" totalsRowDxfId="1427">
      <calculatedColumnFormula>Table16[[#Totals],[اجمالي]]/$G$83</calculatedColumnFormula>
      <totalsRowFormula>Table16[[#Totals],[اجمالي]]/$G$83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0" xr:uid="{00000000-000C-0000-FFFF-FFFF6B000000}" name="Table187079100111" displayName="Table187079100111" ref="BI137:BM139" totalsRowShown="0">
  <autoFilter ref="BI137:BM139" xr:uid="{00000000-0009-0000-0100-00006E000000}"/>
  <tableColumns count="5">
    <tableColumn id="1" xr3:uid="{00000000-0010-0000-6B00-000001000000}" name="Column1" dataDxfId="1433"/>
    <tableColumn id="4" xr3:uid="{00000000-0010-0000-6B00-000004000000}" name="Column22" dataDxfId="1433"/>
    <tableColumn id="5" xr3:uid="{00000000-0010-0000-6B00-000005000000}" name="Column23" dataDxfId="1433"/>
    <tableColumn id="3" xr3:uid="{00000000-0010-0000-6B00-000003000000}" name="Column3" dataDxfId="1449">
      <calculatedColumnFormula>IF((BL133="المقطم"),0.3,IF((BL133="التجمع"),0.3,IF((BL133="الشيخ زايد"),0.3,IF((BL133="الاسكندرية"),0.5,0.35))))</calculatedColumnFormula>
    </tableColumn>
    <tableColumn id="2" xr3:uid="{00000000-0010-0000-6B00-000002000000}" name="Column2" dataDxfId="1441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1" xr:uid="{00000000-000C-0000-FFFF-FFFF6C000000}" name="Table15880101112" displayName="Table15880101112" ref="BG75:BR81" totalsRowCount="1">
  <autoFilter ref="BG75:BR80" xr:uid="{00000000-0009-0000-0100-00006F000000}"/>
  <tableColumns count="12">
    <tableColumn id="1" xr3:uid="{00000000-0010-0000-6C00-000001000000}" name="م" dataDxfId="1420" totalsRowDxfId="1421"/>
    <tableColumn id="2" xr3:uid="{00000000-0010-0000-6C00-000002000000}" name="عدد" dataDxfId="1420" totalsRowDxfId="1421">
      <calculatedColumnFormula>IF(OR((BI69="B11"),(BI69="B12"),(BI69="B21"),(BI69="B22"),(BI69="B31"),(BI69="B32")),3,0)</calculatedColumnFormula>
    </tableColumn>
    <tableColumn id="3" xr3:uid="{00000000-0010-0000-6C00-000003000000}" name="بيان" totalsRowLabel="Total" dataDxfId="1420" totalsRowDxfId="1421"/>
    <tableColumn id="11" xr3:uid="{00000000-0010-0000-6C00-00000B000000}" name="Column2" dataDxfId="1420" totalsRowDxfId="1421"/>
    <tableColumn id="10" xr3:uid="{00000000-0010-0000-6C00-00000A000000}" name="Column1" dataDxfId="1420" totalsRowDxfId="1421"/>
    <tableColumn id="12" xr3:uid="{00000000-0010-0000-6C00-00000C000000}" name="المسطح" totalsRowFunction="sum" dataDxfId="1429" totalsRowDxfId="1431">
      <calculatedColumnFormula>(Table15880101112[[#This Row],[Column1]]+Table15880101112[[#This Row],[Column2]])*12*Table15880101112[[#This Row],[عدد]]</calculatedColumnFormula>
    </tableColumn>
    <tableColumn id="4" xr3:uid="{00000000-0010-0000-6C00-000004000000}" name="الوحده" dataDxfId="1420" totalsRowDxfId="1421"/>
    <tableColumn id="5" xr3:uid="{00000000-0010-0000-6C00-000005000000}" name="الوزن" totalsRowFunction="custom" totalsRowDxfId="1421">
      <totalsRowFormula>(BN76*BH76)+(BN77*BH77)+(BN78*BH78)+(BN79*BH79)</totalsRowFormula>
    </tableColumn>
    <tableColumn id="6" xr3:uid="{00000000-0010-0000-6C00-000006000000}" name="اجمالي المسطح" totalsRowFunction="sum" dataDxfId="1422" totalsRowDxfId="1421">
      <calculatedColumnFormula>Table15880101112[[#This Row],[المسطح]]*Table15880101112[[#This Row],[عدد]]</calculatedColumnFormula>
    </tableColumn>
    <tableColumn id="7" xr3:uid="{00000000-0010-0000-6C00-000007000000}" name="سعر الشبك " dataDxfId="1455" totalsRowDxfId="1424">
      <calculatedColumnFormula>BN76*$S$2/1000</calculatedColumnFormula>
    </tableColumn>
    <tableColumn id="8" xr3:uid="{00000000-0010-0000-6C00-000008000000}" name="اجمالي" totalsRowFunction="sum" dataDxfId="1425" totalsRowDxfId="1426">
      <calculatedColumnFormula>BH76*BP76</calculatedColumnFormula>
    </tableColumn>
    <tableColumn id="9" xr3:uid="{00000000-0010-0000-6C00-000009000000}" name="%" totalsRowFunction="custom" totalsRowDxfId="1427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2" xr:uid="{00000000-000C-0000-FFFF-FFFF6D000000}" name="Table80102113" displayName="Table80102113" ref="AV73:BA85" totalsRowCount="1">
  <autoFilter ref="AV73:BA84" xr:uid="{00000000-0009-0000-0100-000070000000}"/>
  <tableColumns count="6">
    <tableColumn id="1" xr3:uid="{00000000-0010-0000-6D00-000001000000}" name="Column1" totalsRowLabel="Total" dataDxfId="1466" totalsRowDxfId="1468"/>
    <tableColumn id="2" xr3:uid="{00000000-0010-0000-6D00-000002000000}" name="عدد" totalsRowFunction="custom" totalsRowDxfId="1469">
      <totalsRowFormula>(Table80102113[[#Totals],[price]]*1.1)/(BA72*AY72/10000)</totalsRowFormula>
    </tableColumn>
    <tableColumn id="3" xr3:uid="{00000000-0010-0000-6D00-000003000000}" name="طول" dataDxfId="1466" totalsRowDxfId="1467"/>
    <tableColumn id="4" xr3:uid="{00000000-0010-0000-6D00-000004000000}" name="Column2" dataDxfId="1466" totalsRowDxfId="1467"/>
    <tableColumn id="5" xr3:uid="{00000000-0010-0000-6D00-000005000000}" name="wt/m" dataDxfId="1466" totalsRowDxfId="1467"/>
    <tableColumn id="6" xr3:uid="{00000000-0010-0000-6D00-000006000000}" name="price" totalsRowFunction="sum" dataDxfId="1466" totalsRowDxfId="1467">
      <calculatedColumnFormula>AZ74*AX74</calculatedColumnFormula>
    </tableColumn>
  </tableColumns>
  <tableStyleInfo name="TableStyleLight17" showFirstColumn="0" showLastColumn="0" showRowStripes="1" showColumnStripes="0"/>
</table>
</file>

<file path=xl/tables/table1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3" xr:uid="{00000000-000C-0000-FFFF-FFFF6E000000}" name="Table80102114" displayName="Table80102114" ref="A2:F24" totalsRowCount="1" headerRowDxfId="14" dataDxfId="1" totalsRowDxfId="12">
  <autoFilter ref="A2:F23" xr:uid="{00000000-0009-0000-0100-000071000000}"/>
  <tableColumns count="6">
    <tableColumn id="1" xr3:uid="{00000000-0010-0000-6E00-000001000000}" name="Column1" totalsRowLabel="Total" dataDxfId="1470" totalsRowDxfId="10"/>
    <tableColumn id="2" xr3:uid="{00000000-0010-0000-6E00-000002000000}" name="عدد" totalsRowFunction="custom" dataDxfId="1470" totalsRowDxfId="8">
      <totalsRowFormula>(Table80102114[[#Totals],[price]]*1.1)/(F1*D1/10000)</totalsRowFormula>
    </tableColumn>
    <tableColumn id="3" xr3:uid="{00000000-0010-0000-6E00-000003000000}" name="طول" dataDxfId="1470" totalsRowDxfId="0"/>
    <tableColumn id="4" xr3:uid="{00000000-0010-0000-6E00-000004000000}" name="Column2" dataDxfId="1470" totalsRowDxfId="1471"/>
    <tableColumn id="5" xr3:uid="{00000000-0010-0000-6E00-000005000000}" name="wt/m" dataDxfId="1470" totalsRowDxfId="1471"/>
    <tableColumn id="6" xr3:uid="{00000000-0010-0000-6E00-000006000000}" name="price" totalsRowFunction="sum" dataDxfId="1470" totalsRowDxfId="1471"/>
  </tableColumns>
  <tableStyleInfo name="TableStyleLight17" showFirstColumn="0" showLastColumn="0" showRowStripes="1" showColumnStripes="0"/>
</table>
</file>

<file path=xl/tables/table1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4" xr:uid="{00000000-000C-0000-FFFF-FFFF6F000000}" name="Table80102114115" displayName="Table80102114115" ref="A75:F97" totalsRowCount="1" headerRowDxfId="1472" dataDxfId="1470" totalsRowDxfId="1473">
  <autoFilter ref="A75:F96" xr:uid="{00000000-0009-0000-0100-000072000000}"/>
  <tableColumns count="6">
    <tableColumn id="1" xr3:uid="{00000000-0010-0000-6F00-000001000000}" name="Column1" totalsRowLabel="Total" dataDxfId="1470" totalsRowDxfId="1474"/>
    <tableColumn id="2" xr3:uid="{00000000-0010-0000-6F00-000002000000}" name="عدد" totalsRowFunction="custom" dataDxfId="1470" totalsRowDxfId="1475">
      <totalsRowFormula>(Table80102114115[[#Totals],[price]]*1.1)/(F74*D74/10000)</totalsRowFormula>
    </tableColumn>
    <tableColumn id="3" xr3:uid="{00000000-0010-0000-6F00-000003000000}" name="طول" dataDxfId="1470" totalsRowDxfId="1471"/>
    <tableColumn id="4" xr3:uid="{00000000-0010-0000-6F00-000004000000}" name="Column2" dataDxfId="1470" totalsRowDxfId="1471"/>
    <tableColumn id="5" xr3:uid="{00000000-0010-0000-6F00-000005000000}" name="wt/m" dataDxfId="1470" totalsRowDxfId="1471"/>
    <tableColumn id="6" xr3:uid="{00000000-0010-0000-6F00-000006000000}" name="price" totalsRowFunction="sum" dataDxfId="1470" totalsRowDxfId="1471"/>
  </tableColumns>
  <tableStyleInfo name="TableStyleLight17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9000000}" name="Table6" displayName="Table6" ref="V4:Y13" totalsRowShown="0">
  <autoFilter ref="V4:Y13" xr:uid="{00000000-0009-0000-0100-000006000000}"/>
  <tableColumns count="4">
    <tableColumn id="1" xr3:uid="{00000000-0010-0000-0900-000001000000}" name="المادة" dataDxfId="68"/>
    <tableColumn id="2" xr3:uid="{00000000-0010-0000-0900-000002000000}" name="المعدل" dataDxfId="1432"/>
    <tableColumn id="3" xr3:uid="{00000000-0010-0000-0900-000003000000}" name="الوحدة" dataDxfId="1432"/>
    <tableColumn id="4" xr3:uid="{00000000-0010-0000-0900-000004000000}" name="Column4" dataDxfId="112"/>
  </tableColumns>
  <tableStyleInfo name="TableStyleLight16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A000000}" name="Table1610" displayName="Table1610" ref="A52:L55" totalsRowCount="1">
  <autoFilter ref="A52:L54" xr:uid="{00000000-0009-0000-0100-000009000000}"/>
  <sortState xmlns:xlrd2="http://schemas.microsoft.com/office/spreadsheetml/2017/richdata2" ref="A54:L56">
    <sortCondition ref="A128:A140"/>
  </sortState>
  <tableColumns count="12">
    <tableColumn id="1" xr3:uid="{00000000-0010-0000-0A00-000001000000}" name="م" totalsRowLabel="Total" dataDxfId="1420"/>
    <tableColumn id="2" xr3:uid="{00000000-0010-0000-0A00-000002000000}" name="عدد" dataDxfId="1274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xr3:uid="{00000000-0010-0000-0A00-000003000000}" name="بيان" totalsRowLabel="Total" dataDxfId="65"/>
    <tableColumn id="11" xr3:uid="{00000000-0010-0000-0A00-00000B000000}" name="Column2" dataDxfId="1433"/>
    <tableColumn id="10" xr3:uid="{00000000-0010-0000-0A00-00000A000000}" name="Column1" dataDxfId="79"/>
    <tableColumn id="12" xr3:uid="{00000000-0010-0000-0A00-00000C000000}" name="Column12" totalsRowFunction="sum" dataDxfId="1095"/>
    <tableColumn id="4" xr3:uid="{00000000-0010-0000-0A00-000004000000}" name="الوحده" dataDxfId="1094"/>
    <tableColumn id="5" xr3:uid="{00000000-0010-0000-0A00-000005000000}" name="الوزن" dataDxfId="1093"/>
    <tableColumn id="6" xr3:uid="{00000000-0010-0000-0A00-000006000000}" name="سعر الكيلو" dataDxfId="1434"/>
    <tableColumn id="7" xr3:uid="{00000000-0010-0000-0A00-000007000000}" name="سعر الشبك " dataDxfId="76">
      <calculatedColumnFormula>Sheet2!B31</calculatedColumnFormula>
    </tableColumn>
    <tableColumn id="8" xr3:uid="{00000000-0010-0000-0A00-000008000000}" name="اجمالي" totalsRowFunction="sum" dataDxfId="1425">
      <calculatedColumnFormula>B53*J53</calculatedColumnFormula>
    </tableColumn>
    <tableColumn id="9" xr3:uid="{00000000-0010-0000-0A00-000009000000}" name="%" totalsRowFunction="custom">
      <calculatedColumnFormula>Table1610[[#Totals],[اجمالي]]/$G$83</calculatedColumnFormula>
      <totalsRowFormula>Table1610[[#Totals],[اجمالي]]/$G$83</totalsRowFormula>
    </tableColumn>
  </tableColumns>
  <tableStyleInfo name="TableStyleLight16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B000000}" name="Table1611" displayName="Table1611" ref="A57:L61" totalsRowCount="1">
  <autoFilter ref="A57:L60" xr:uid="{00000000-0009-0000-0100-00000A000000}"/>
  <tableColumns count="12">
    <tableColumn id="1" xr3:uid="{00000000-0010-0000-0B00-000001000000}" name="م" totalsRowLabel="Total" dataDxfId="1420" totalsRowDxfId="1428"/>
    <tableColumn id="2" xr3:uid="{00000000-0010-0000-0B00-000002000000}" name="عدد" dataDxfId="1420" totalsRowDxfId="1428">
      <calculatedColumnFormula>IF((F78="الاسكندرية"),0.25,0.1)</calculatedColumnFormula>
    </tableColumn>
    <tableColumn id="3" xr3:uid="{00000000-0010-0000-0B00-000003000000}" name="بيان برجولا رويال" totalsRowLabel="Total" dataDxfId="1420" totalsRowDxfId="1428"/>
    <tableColumn id="12" xr3:uid="{00000000-0010-0000-0B00-00000C000000}" name="Column12" totalsRowFunction="sum" dataDxfId="1429" totalsRowDxfId="1430"/>
    <tableColumn id="5" xr3:uid="{00000000-0010-0000-0B00-000005000000}" name="Column1" dataDxfId="1420" totalsRowDxfId="1428"/>
    <tableColumn id="11" xr3:uid="{00000000-0010-0000-0B00-00000B000000}" name="العرض" dataDxfId="1433" totalsRowDxfId="1428"/>
    <tableColumn id="10" xr3:uid="{00000000-0010-0000-0B00-00000A000000}" name="الامتداد" dataDxfId="1422" totalsRowDxfId="1428"/>
    <tableColumn id="4" xr3:uid="{00000000-0010-0000-0B00-000004000000}" name="سعر المتر" dataDxfId="1434" totalsRowDxfId="1428"/>
    <tableColumn id="6" xr3:uid="{00000000-0010-0000-0B00-000006000000}" name="Column2" dataDxfId="100" totalsRowDxfId="1428"/>
    <tableColumn id="7" xr3:uid="{00000000-0010-0000-0B00-000007000000}" name="سعر البرجولا كاملة" dataDxfId="1423" totalsRowDxfId="1435">
      <calculatedColumnFormula>(K57)</calculatedColumnFormula>
    </tableColumn>
    <tableColumn id="8" xr3:uid="{00000000-0010-0000-0B00-000008000000}" name="اجمالي" totalsRowFunction="sum" dataDxfId="1425" totalsRowDxfId="1436">
      <calculatedColumnFormula>B58*Table1611[[#This Row],[سعر البرجولا كاملة]]</calculatedColumnFormula>
    </tableColumn>
    <tableColumn id="9" xr3:uid="{00000000-0010-0000-0B00-000009000000}" name="%" totalsRowFunction="custom" totalsRowDxfId="1437">
      <calculatedColumnFormula>(K58)/$G$83</calculatedColumnFormula>
      <totalsRowFormula>Table1611[[#Totals],[اجمالي]]/$G$83</totalsRowFormula>
    </tableColumn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C000000}" name="Table1612" displayName="Table1612" ref="A66:L80" totalsRowCount="1">
  <autoFilter ref="A66:L79" xr:uid="{00000000-0009-0000-0100-00000B000000}"/>
  <tableColumns count="12">
    <tableColumn id="1" xr3:uid="{00000000-0010-0000-0C00-000001000000}" name="م" totalsRowLabel="Total" dataDxfId="1420" totalsRowDxfId="1428"/>
    <tableColumn id="2" xr3:uid="{00000000-0010-0000-0C00-000002000000}" name="عدد" dataDxfId="63" totalsRowDxfId="1428">
      <calculatedColumnFormula>B61</calculatedColumnFormula>
    </tableColumn>
    <tableColumn id="3" xr3:uid="{00000000-0010-0000-0C00-000003000000}" name="بيان" totalsRowLabel="Total" dataDxfId="102" totalsRowDxfId="1428"/>
    <tableColumn id="5" xr3:uid="{00000000-0010-0000-0C00-000005000000}" name="اليومية / الاجرة" dataDxfId="1438" totalsRowDxfId="1428"/>
    <tableColumn id="6" xr3:uid="{00000000-0010-0000-0C00-000006000000}" name="بدل الوجبة" dataDxfId="1439" totalsRowDxfId="1428"/>
    <tableColumn id="11" xr3:uid="{00000000-0010-0000-0C00-00000B000000}" name="موقع العمل" dataDxfId="1433" totalsRowDxfId="1428">
      <calculatedColumnFormula>تسعير!$T$4</calculatedColumnFormula>
    </tableColumn>
    <tableColumn id="10" xr3:uid="{00000000-0010-0000-0C00-00000A000000}" name="شيفت العمل" dataDxfId="1420" totalsRowDxfId="1428"/>
    <tableColumn id="12" xr3:uid="{00000000-0010-0000-0C00-00000C000000}" name="Column12" totalsRowFunction="sum" dataDxfId="1429" totalsRowDxfId="1430">
      <calculatedColumnFormula>SUMIF(Table17[Column1],Table1612[[#This Row],[موقع العمل]],$T$2:$T$20)</calculatedColumnFormula>
    </tableColumn>
    <tableColumn id="4" xr3:uid="{00000000-0010-0000-0C00-000004000000}" name="عدد الايام" dataDxfId="92" totalsRowDxfId="1428"/>
    <tableColumn id="7" xr3:uid="{00000000-0010-0000-0C00-000007000000}" name="اجمالي التكلفة للعامل" dataDxfId="90" totalsRowDxfId="1435">
      <calculatedColumnFormula>Table1612[[#This Row],[Column12]]</calculatedColumnFormula>
    </tableColumn>
    <tableColumn id="8" xr3:uid="{00000000-0010-0000-0C00-000008000000}" name="اجمالي" totalsRowFunction="sum" dataDxfId="1425" totalsRowDxfId="1436">
      <calculatedColumnFormula>B67*J67</calculatedColumnFormula>
    </tableColumn>
    <tableColumn id="9" xr3:uid="{00000000-0010-0000-0C00-000009000000}" name="%" totalsRowFunction="custom" totalsRowDxfId="1437">
      <calculatedColumnFormula>(K67)/$G$83</calculatedColumnFormula>
      <totalsRowFormula>Table1612[[#Totals],[اجمالي]]/$G$83</totalsRowFormula>
    </tableColumn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Table17" displayName="Table17" ref="N1:T20" totalsRowShown="0">
  <autoFilter ref="N1:T20" xr:uid="{00000000-0009-0000-0100-00000E000000}"/>
  <tableColumns count="7">
    <tableColumn id="1" xr3:uid="{00000000-0010-0000-0D00-000001000000}" name="Column1" dataDxfId="691"/>
    <tableColumn id="2" xr3:uid="{00000000-0010-0000-0D00-000002000000}" name="خارجي" dataDxfId="748"/>
    <tableColumn id="3" xr3:uid="{00000000-0010-0000-0D00-000003000000}" name="داخلي" dataDxfId="1440"/>
    <tableColumn id="4" xr3:uid="{00000000-0010-0000-0D00-000004000000}" name="بدل الوجبة" dataDxfId="1440"/>
    <tableColumn id="5" xr3:uid="{00000000-0010-0000-0D00-000005000000}" name="دبابة" dataDxfId="1440"/>
    <tableColumn id="6" xr3:uid="{00000000-0010-0000-0D00-000006000000}" name="جامبو" dataDxfId="1440"/>
    <tableColumn id="7" xr3:uid="{00000000-0010-0000-0D00-000007000000}" name="الاقامة" dataDxfId="1440"/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Table18" displayName="Table18" ref="C82:G84" totalsRowShown="0">
  <autoFilter ref="C82:G84" xr:uid="{00000000-0009-0000-0100-00000F000000}"/>
  <tableColumns count="5">
    <tableColumn id="1" xr3:uid="{00000000-0010-0000-0E00-000001000000}" name="Column1" dataDxfId="1433"/>
    <tableColumn id="4" xr3:uid="{00000000-0010-0000-0E00-000004000000}" name="Column22" dataDxfId="1433"/>
    <tableColumn id="5" xr3:uid="{00000000-0010-0000-0E00-000005000000}" name="Column23" dataDxfId="1433"/>
    <tableColumn id="3" xr3:uid="{00000000-0010-0000-0E00-000003000000}" name="Column3" dataDxfId="64">
      <calculatedColumnFormula>IF((F78="المقطم"),0.3,IF((F78="التجمع"),0.3,IF((F78="الشيخ زايد"),0.3,IF((F78="الاسكندرية"),0.5,IF((F78="الساحل"),0.5,0.35)))))</calculatedColumnFormula>
    </tableColumn>
    <tableColumn id="2" xr3:uid="{00000000-0010-0000-0E00-000002000000}" name="Column2" dataDxfId="1441">
      <calculatedColumnFormula>G82*(1+Table18[[#This Row],[Column3]])</calculatedColumn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F000000}" name="Table118" displayName="Table118" ref="A5:L10" totalsRowCount="1">
  <autoFilter ref="A5:L9" xr:uid="{00000000-0009-0000-0100-000011000000}"/>
  <tableColumns count="12">
    <tableColumn id="1" xr3:uid="{00000000-0010-0000-0F00-000001000000}" name="م" dataDxfId="1420" totalsRowDxfId="1421"/>
    <tableColumn id="2" xr3:uid="{00000000-0010-0000-0F00-000002000000}" name="عدد" dataDxfId="1420" totalsRowDxfId="1421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xr3:uid="{00000000-0010-0000-0F00-000003000000}" name="بيان" totalsRowLabel="Total" dataDxfId="1420" totalsRowDxfId="1421"/>
    <tableColumn id="11" xr3:uid="{00000000-0010-0000-0F00-00000B000000}" name="Column2" dataDxfId="1420" totalsRowDxfId="1421"/>
    <tableColumn id="10" xr3:uid="{00000000-0010-0000-0F00-00000A000000}" name="Column1" dataDxfId="1420" totalsRowDxfId="1421"/>
    <tableColumn id="12" xr3:uid="{00000000-0010-0000-0F00-00000C000000}" name="المسطح" totalsRowFunction="sum" dataDxfId="1429" totalsRowDxfId="1431">
      <calculatedColumnFormula>(Table118[[#This Row],[Column1]]+Table118[[#This Row],[Column2]])*12*Table118[[#This Row],[عدد]]</calculatedColumnFormula>
    </tableColumn>
    <tableColumn id="4" xr3:uid="{00000000-0010-0000-0F00-000004000000}" name="الوحده" dataDxfId="1420" totalsRowDxfId="1421"/>
    <tableColumn id="5" xr3:uid="{00000000-0010-0000-0F00-000005000000}" name="الوزن" totalsRowFunction="custom" dataDxfId="1420" totalsRowDxfId="1421">
      <totalsRowFormula>H9*B9+H8*B8+H7*B7</totalsRowFormula>
    </tableColumn>
    <tableColumn id="6" xr3:uid="{00000000-0010-0000-0F00-000006000000}" name="اجمالي الميزان" totalsRowFunction="sum" dataDxfId="1422" totalsRowDxfId="1421">
      <calculatedColumnFormula>Table118[[#This Row],[الوزن]]*Table118[[#This Row],[عدد]]</calculatedColumnFormula>
    </tableColumn>
    <tableColumn id="7" xr3:uid="{00000000-0010-0000-0F00-000007000000}" name="سعر الشبك " dataDxfId="1423" totalsRowDxfId="1424">
      <calculatedColumnFormula>H6*$H$2/1000</calculatedColumnFormula>
    </tableColumn>
    <tableColumn id="8" xr3:uid="{00000000-0010-0000-0F00-000008000000}" name="اجمالي" totalsRowFunction="sum" dataDxfId="1425" totalsRowDxfId="1426">
      <calculatedColumnFormula>B6*J6</calculatedColumnFormula>
    </tableColumn>
    <tableColumn id="9" xr3:uid="{00000000-0010-0000-0F00-000009000000}" name="%" totalsRowFunction="custom" totalsRowDxfId="1427">
      <calculatedColumnFormula>Table118[[#Totals],[اجمالي]]/$G$85</calculatedColumnFormula>
      <totalsRowFormula>Table118[[#Totals],[اجمالي]]/$G$85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0000000}" name="Table1319" displayName="Table1319" ref="A35:L50" totalsRowCount="1">
  <autoFilter ref="A35:L49" xr:uid="{00000000-0009-0000-0100-000012000000}"/>
  <tableColumns count="12">
    <tableColumn id="1" xr3:uid="{00000000-0010-0000-1000-000001000000}" name="م" totalsRowLabel="Total" dataDxfId="1420" totalsRowDxfId="1421"/>
    <tableColumn id="2" xr3:uid="{00000000-0010-0000-1000-000002000000}" name="عدد" dataDxfId="1422" totalsRowDxfId="1421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xr3:uid="{00000000-0010-0000-1000-000003000000}" name="بيان" totalsRowLabel="Total" dataDxfId="1420" totalsRowDxfId="1421"/>
    <tableColumn id="11" xr3:uid="{00000000-0010-0000-1000-00000B000000}" name="Column2" dataDxfId="1420" totalsRowDxfId="1421"/>
    <tableColumn id="10" xr3:uid="{00000000-0010-0000-1000-00000A000000}" name="Column1" dataDxfId="1420" totalsRowDxfId="1421"/>
    <tableColumn id="12" xr3:uid="{00000000-0010-0000-1000-00000C000000}" name="Column12" dataDxfId="1420" totalsRowDxfId="1421"/>
    <tableColumn id="4" xr3:uid="{00000000-0010-0000-1000-000004000000}" name="الوحده" totalsRowLabel="total" dataDxfId="1420" totalsRowDxfId="1421"/>
    <tableColumn id="5" xr3:uid="{00000000-0010-0000-1000-000005000000}" name="الوزن" dataDxfId="1422" totalsRowDxfId="1421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xr3:uid="{00000000-0010-0000-1000-000006000000}" name="سعر الكيلو" dataDxfId="1420" totalsRowDxfId="1421">
      <calculatedColumnFormula>Sheet2!B7</calculatedColumnFormula>
    </tableColumn>
    <tableColumn id="7" xr3:uid="{00000000-0010-0000-1000-000007000000}" name="سعر الشبك " dataDxfId="1423" totalsRowDxfId="1424"/>
    <tableColumn id="8" xr3:uid="{00000000-0010-0000-1000-000008000000}" name="اجمالي" totalsRowFunction="sum" dataDxfId="1425" totalsRowDxfId="1426">
      <calculatedColumnFormula>B36*Table1319[[#This Row],[سعر الكيلو]]</calculatedColumnFormula>
    </tableColumn>
    <tableColumn id="9" xr3:uid="{00000000-0010-0000-1000-000009000000}" name="%" totalsRowFunction="custom" totalsRowDxfId="1427">
      <calculatedColumnFormula>Table1319[[#Totals],[اجمالي]]/$G$85</calculatedColumnFormula>
      <totalsRowFormula>Table1319[[#Totals],[اجمالي]]/$G$85</totalsRow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1000000}" name="Table20" displayName="Table20" ref="G2:I3" totalsRowShown="0">
  <autoFilter ref="G2:I3" xr:uid="{00000000-0009-0000-0100-000010000000}"/>
  <tableColumns count="3">
    <tableColumn id="1" xr3:uid="{00000000-0010-0000-0100-000001000000}" name="Column1">
      <calculatedColumnFormula>IF(AND((تسعير!U14=D2),(تسعير!X8&lt;801)),"A",IF(AND((تسعير!U14=D3),(تسعير!X8&lt;801)),"B",IF(AND(,(تسعير!U14=D2),(تسعير!X8&gt;800)),"C",IF(AND((تسعير!U14=D3),(تسعير!X8&gt;800)),"D","no"))))</calculatedColumnFormula>
    </tableColumn>
    <tableColumn id="2" xr3:uid="{00000000-0010-0000-0100-000002000000}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xr3:uid="{00000000-0010-0000-0100-000003000000}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1000000}" name="Table1421" displayName="Table1421" ref="A12:L15" totalsRowCount="1">
  <autoFilter ref="A12:L14" xr:uid="{00000000-0009-0000-0100-000014000000}"/>
  <tableColumns count="12">
    <tableColumn id="1" xr3:uid="{00000000-0010-0000-1100-000001000000}" name="م" totalsRowLabel="Total" dataDxfId="1420" totalsRowDxfId="1421"/>
    <tableColumn id="2" xr3:uid="{00000000-0010-0000-1100-000002000000}" name="عدد" dataDxfId="1420" totalsRowDxfId="1421">
      <calculatedColumnFormula>IF((تسعير!X30&lt;800),0,IF(AND((تسعير!X30&gt;800),(600&gt;=تسعير!AA32)),1,0))</calculatedColumnFormula>
    </tableColumn>
    <tableColumn id="3" xr3:uid="{00000000-0010-0000-1100-000003000000}" name="بيان" totalsRowLabel="Total" dataDxfId="1420" totalsRowDxfId="1421"/>
    <tableColumn id="11" xr3:uid="{00000000-0010-0000-1100-00000B000000}" name="Column2" dataDxfId="1420" totalsRowDxfId="1421"/>
    <tableColumn id="10" xr3:uid="{00000000-0010-0000-1100-00000A000000}" name="Column1" dataDxfId="1420" totalsRowDxfId="1421"/>
    <tableColumn id="12" xr3:uid="{00000000-0010-0000-1100-00000C000000}" name="Column12" totalsRowFunction="sum" dataDxfId="1422" totalsRowDxfId="1421">
      <calculatedColumnFormula>(Table1421[[#This Row],[Column1]]+Table1421[[#This Row],[Column2]])*12*Table1421[[#This Row],[عدد]]</calculatedColumnFormula>
    </tableColumn>
    <tableColumn id="4" xr3:uid="{00000000-0010-0000-1100-000004000000}" name="الوحده" dataDxfId="1420" totalsRowDxfId="1421"/>
    <tableColumn id="5" xr3:uid="{00000000-0010-0000-1100-000005000000}" name="الوزن" totalsRowFunction="custom" dataDxfId="1420" totalsRowDxfId="1421">
      <totalsRowFormula>H13*B13+H14*B14</totalsRowFormula>
    </tableColumn>
    <tableColumn id="6" xr3:uid="{00000000-0010-0000-1100-000006000000}" name="سعر الكيلو" totalsRowFunction="sum" dataDxfId="1422" totalsRowDxfId="1421">
      <calculatedColumnFormula>Table1421[[#This Row],[الوزن]]*Table1421[[#This Row],[عدد]]</calculatedColumnFormula>
    </tableColumn>
    <tableColumn id="7" xr3:uid="{00000000-0010-0000-1100-000007000000}" name="سعر الشبك " dataDxfId="1423" totalsRowDxfId="1141">
      <calculatedColumnFormula>H13*$I$2/1000</calculatedColumnFormula>
    </tableColumn>
    <tableColumn id="8" xr3:uid="{00000000-0010-0000-1100-000008000000}" name="اجمالي" totalsRowFunction="sum" dataDxfId="1425" totalsRowDxfId="1426">
      <calculatedColumnFormula>B13*J13</calculatedColumnFormula>
    </tableColumn>
    <tableColumn id="9" xr3:uid="{00000000-0010-0000-1100-000009000000}" name="%" totalsRowFunction="custom" totalsRowDxfId="1427">
      <calculatedColumnFormula>Table1421[[#Totals],[اجمالي]]/$G$85</calculatedColumnFormula>
      <totalsRowFormula>Table1421[[#Totals],[اجمالي]]/$G$85</totalsRow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2000000}" name="Table1522" displayName="Table1522" ref="A17:L28" totalsRowCount="1">
  <autoFilter ref="A17:L27" xr:uid="{00000000-0009-0000-0100-000015000000}"/>
  <tableColumns count="12">
    <tableColumn id="1" xr3:uid="{00000000-0010-0000-1200-000001000000}" name="م" totalsRowLabel="Total" dataDxfId="1420" totalsRowDxfId="1428"/>
    <tableColumn id="2" xr3:uid="{00000000-0010-0000-1200-000002000000}" name="عدد" dataDxfId="1422" totalsRowDxfId="1428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xr3:uid="{00000000-0010-0000-1200-000003000000}" name="بيان" totalsRowLabel="Total" dataDxfId="1420" totalsRowDxfId="1428"/>
    <tableColumn id="11" xr3:uid="{00000000-0010-0000-1200-00000B000000}" name="Column2" dataDxfId="1420" totalsRowDxfId="1428"/>
    <tableColumn id="10" xr3:uid="{00000000-0010-0000-1200-00000A000000}" name="Column1" dataDxfId="1420" totalsRowDxfId="1428"/>
    <tableColumn id="12" xr3:uid="{00000000-0010-0000-1200-00000C000000}" name="Column12" dataDxfId="1429" totalsRowDxfId="1430"/>
    <tableColumn id="4" xr3:uid="{00000000-0010-0000-1200-000004000000}" name="الوحده" dataDxfId="1420" totalsRowDxfId="1428"/>
    <tableColumn id="5" xr3:uid="{00000000-0010-0000-1200-000005000000}" name="الوزن" dataDxfId="1420" totalsRowDxfId="1428"/>
    <tableColumn id="6" xr3:uid="{00000000-0010-0000-1200-000006000000}" name="سعر الكيلو" dataDxfId="1420" totalsRowDxfId="1428"/>
    <tableColumn id="7" xr3:uid="{00000000-0010-0000-1200-000007000000}" name="سعر الشبك " dataDxfId="1423" totalsRowDxfId="1435">
      <calculatedColumnFormula>Sheet2!B22</calculatedColumnFormula>
    </tableColumn>
    <tableColumn id="8" xr3:uid="{00000000-0010-0000-1200-000008000000}" name="اجمالي" totalsRowFunction="sum" dataDxfId="1425" totalsRowDxfId="1436">
      <calculatedColumnFormula>B18*J18</calculatedColumnFormula>
    </tableColumn>
    <tableColumn id="9" xr3:uid="{00000000-0010-0000-1200-000009000000}" name="%" totalsRowFunction="custom" totalsRowDxfId="1437">
      <calculatedColumnFormula>Table1522[[#Totals],[اجمالي]]/$G$85</calculatedColumnFormula>
      <totalsRowFormula>Table1522[[#Totals],[اجمالي]]/$G$85</totalsRowFormula>
    </tableColumn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3000000}" name="Table1624" displayName="Table1624" ref="A30:L33" totalsRowCount="1">
  <autoFilter ref="A30:L32" xr:uid="{00000000-0009-0000-0100-000017000000}"/>
  <tableColumns count="12">
    <tableColumn id="1" xr3:uid="{00000000-0010-0000-1300-000001000000}" name="م" totalsRowLabel="Total" dataDxfId="1420"/>
    <tableColumn id="2" xr3:uid="{00000000-0010-0000-1300-000002000000}" name="عدد" totalsRowFunction="count" dataDxfId="1422">
      <calculatedColumnFormula>B30*4</calculatedColumnFormula>
    </tableColumn>
    <tableColumn id="3" xr3:uid="{00000000-0010-0000-1300-000003000000}" name="بيان" totalsRowLabel="Total" dataDxfId="1420"/>
    <tableColumn id="11" xr3:uid="{00000000-0010-0000-1300-00000B000000}" name="Column2" dataDxfId="1420"/>
    <tableColumn id="10" xr3:uid="{00000000-0010-0000-1300-00000A000000}" name="Column1" dataDxfId="1420"/>
    <tableColumn id="12" xr3:uid="{00000000-0010-0000-1300-00000C000000}" name="Column12" totalsRowFunction="sum" dataDxfId="1429">
      <calculatedColumnFormula>(Table1624[[#This Row],[Column1]]*Table1624[[#This Row],[Column2]])*Table1624[[#This Row],[عدد]]</calculatedColumnFormula>
    </tableColumn>
    <tableColumn id="4" xr3:uid="{00000000-0010-0000-1300-000004000000}" name="الوحده" dataDxfId="1420"/>
    <tableColumn id="5" xr3:uid="{00000000-0010-0000-1300-000005000000}" name="الوزن" totalsRowFunction="custom">
      <totalsRowFormula>H31*B31+H32*B32</totalsRowFormula>
    </tableColumn>
    <tableColumn id="6" xr3:uid="{00000000-0010-0000-1300-000006000000}" name="سعر الكيلو" dataDxfId="1422">
      <calculatedColumnFormula>$H$2/1000</calculatedColumnFormula>
    </tableColumn>
    <tableColumn id="7" xr3:uid="{00000000-0010-0000-1300-000007000000}" name="سعر الشبك " dataDxfId="1423">
      <calculatedColumnFormula>H31*$H$2/1000</calculatedColumnFormula>
    </tableColumn>
    <tableColumn id="8" xr3:uid="{00000000-0010-0000-1300-000008000000}" name="اجمالي" totalsRowFunction="sum" dataDxfId="1425">
      <calculatedColumnFormula>B31*J31</calculatedColumnFormula>
    </tableColumn>
    <tableColumn id="9" xr3:uid="{00000000-0010-0000-1300-000009000000}" name="%" totalsRowFunction="custom">
      <calculatedColumnFormula>Table1624[[#Totals],[اجمالي]]/$G$85</calculatedColumnFormula>
      <totalsRowFormula>Table1624[[#Totals],[اجمالي]]/$G$85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4000000}" name="Table625" displayName="Table625" ref="Y4:AB18" totalsRowShown="0">
  <autoFilter ref="Y4:AB18" xr:uid="{00000000-0009-0000-0100-000018000000}"/>
  <tableColumns count="4">
    <tableColumn id="1" xr3:uid="{00000000-0010-0000-1400-000001000000}" name="المادة" dataDxfId="1432"/>
    <tableColumn id="2" xr3:uid="{00000000-0010-0000-1400-000002000000}" name="المعدل" dataDxfId="1432"/>
    <tableColumn id="3" xr3:uid="{00000000-0010-0000-1400-000003000000}" name="الوحدة" dataDxfId="1432"/>
    <tableColumn id="4" xr3:uid="{00000000-0010-0000-1400-000004000000}" name="Column4" dataDxfId="1442"/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5000000}" name="Table161027" displayName="Table161027" ref="A53:L56" totalsRowCount="1">
  <autoFilter ref="A53:L55" xr:uid="{00000000-0009-0000-0100-00001A000000}"/>
  <tableColumns count="12">
    <tableColumn id="1" xr3:uid="{00000000-0010-0000-1500-000001000000}" name="م" totalsRowLabel="Total" dataDxfId="1420"/>
    <tableColumn id="2" xr3:uid="{00000000-0010-0000-1500-000002000000}" name="عدد" dataDxfId="1099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xr3:uid="{00000000-0010-0000-1500-000003000000}" name="بيان" totalsRowLabel="Total" dataDxfId="1433"/>
    <tableColumn id="11" xr3:uid="{00000000-0010-0000-1500-00000B000000}" name="Column2" dataDxfId="1433"/>
    <tableColumn id="10" xr3:uid="{00000000-0010-0000-1500-00000A000000}" name="Column1" dataDxfId="1434"/>
    <tableColumn id="12" xr3:uid="{00000000-0010-0000-1500-00000C000000}" name="Column12" totalsRowFunction="sum" dataDxfId="1443"/>
    <tableColumn id="4" xr3:uid="{00000000-0010-0000-1500-000004000000}" name="الوحده" dataDxfId="1444"/>
    <tableColumn id="5" xr3:uid="{00000000-0010-0000-1500-000005000000}" name="الوزن" dataDxfId="1445"/>
    <tableColumn id="6" xr3:uid="{00000000-0010-0000-1500-000006000000}" name="سعر الكيلو" dataDxfId="1434"/>
    <tableColumn id="7" xr3:uid="{00000000-0010-0000-1500-000007000000}" name="سعر الشبك " dataDxfId="1446">
      <calculatedColumnFormula>Sheet2!B31</calculatedColumnFormula>
    </tableColumn>
    <tableColumn id="8" xr3:uid="{00000000-0010-0000-1500-000008000000}" name="اجمالي" totalsRowFunction="sum" dataDxfId="1425">
      <calculatedColumnFormula>B54*J54</calculatedColumnFormula>
    </tableColumn>
    <tableColumn id="9" xr3:uid="{00000000-0010-0000-1500-000009000000}" name="%" totalsRowFunction="custom">
      <calculatedColumnFormula>Table161027[[#Totals],[اجمالي]]/$G$85</calculatedColumnFormula>
      <totalsRowFormula>Table161027[[#Totals],[اجمالي]]/$G$85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6000000}" name="Table161128" displayName="Table161128" ref="A58:L62" totalsRowCount="1">
  <autoFilter ref="A58:L61" xr:uid="{00000000-0009-0000-0100-00001B000000}"/>
  <tableColumns count="12">
    <tableColumn id="1" xr3:uid="{00000000-0010-0000-1600-000001000000}" name="م" totalsRowLabel="Total" dataDxfId="1420" totalsRowDxfId="1428"/>
    <tableColumn id="2" xr3:uid="{00000000-0010-0000-1600-000002000000}" name="عدد" dataDxfId="1420" totalsRowDxfId="1428">
      <calculatedColumnFormula>IF((F80="الاسكندرية"),0.25,0.1)</calculatedColumnFormula>
    </tableColumn>
    <tableColumn id="3" xr3:uid="{00000000-0010-0000-1600-000003000000}" name="بيان برجولا رويال" totalsRowLabel="Total" dataDxfId="1420" totalsRowDxfId="1428"/>
    <tableColumn id="12" xr3:uid="{00000000-0010-0000-1600-00000C000000}" name="Column12" totalsRowFunction="sum" dataDxfId="1429" totalsRowDxfId="1430"/>
    <tableColumn id="5" xr3:uid="{00000000-0010-0000-1600-000005000000}" name="Column1" dataDxfId="1420" totalsRowDxfId="1428"/>
    <tableColumn id="11" xr3:uid="{00000000-0010-0000-1600-00000B000000}" name="العرض" dataDxfId="1433" totalsRowDxfId="1428"/>
    <tableColumn id="10" xr3:uid="{00000000-0010-0000-1600-00000A000000}" name="الامتداد" dataDxfId="1422" totalsRowDxfId="1428"/>
    <tableColumn id="4" xr3:uid="{00000000-0010-0000-1600-000004000000}" name="سعر المتر" dataDxfId="1434" totalsRowDxfId="1428"/>
    <tableColumn id="6" xr3:uid="{00000000-0010-0000-1600-000006000000}" name="Column2" dataDxfId="1439" totalsRowDxfId="1428"/>
    <tableColumn id="7" xr3:uid="{00000000-0010-0000-1600-000007000000}" name="سعر البرجولا كاملة" dataDxfId="1423" totalsRowDxfId="1435">
      <calculatedColumnFormula>K58</calculatedColumnFormula>
    </tableColumn>
    <tableColumn id="8" xr3:uid="{00000000-0010-0000-1600-000008000000}" name="اجمالي" totalsRowFunction="sum" dataDxfId="1425" totalsRowDxfId="1436">
      <calculatedColumnFormula>Table161128[[#This Row],[عدد]]*Table161128[[#This Row],[سعر البرجولا كاملة]]</calculatedColumnFormula>
    </tableColumn>
    <tableColumn id="9" xr3:uid="{00000000-0010-0000-1600-000009000000}" name="%" totalsRowFunction="custom" totalsRowDxfId="1437">
      <calculatedColumnFormula>Table161128[[#Totals],[اجمالي]]/$G$85</calculatedColumnFormula>
      <totalsRowFormula>Table161128[[#Totals],[اجمالي]]/$G$85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7000000}" name="Table161229" displayName="Table161229" ref="A68:L82" totalsRowCount="1">
  <autoFilter ref="A68:L81" xr:uid="{00000000-0009-0000-0100-00001C000000}"/>
  <tableColumns count="12">
    <tableColumn id="1" xr3:uid="{00000000-0010-0000-1700-000001000000}" name="م" totalsRowLabel="Total" dataDxfId="1420" totalsRowDxfId="1428"/>
    <tableColumn id="2" xr3:uid="{00000000-0010-0000-1700-000002000000}" name="عدد" dataDxfId="1441" totalsRowDxfId="1428">
      <calculatedColumnFormula>B66</calculatedColumnFormula>
    </tableColumn>
    <tableColumn id="3" xr3:uid="{00000000-0010-0000-1700-000003000000}" name="بيان" totalsRowLabel="Total" dataDxfId="1438" totalsRowDxfId="1428"/>
    <tableColumn id="5" xr3:uid="{00000000-0010-0000-1700-000005000000}" name="اليومية / الاجرة" dataDxfId="1438" totalsRowDxfId="1428"/>
    <tableColumn id="6" xr3:uid="{00000000-0010-0000-1700-000006000000}" name="بدل الوجبة" dataDxfId="1439" totalsRowDxfId="1428"/>
    <tableColumn id="11" xr3:uid="{00000000-0010-0000-1700-00000B000000}" name="موقع العمل" dataDxfId="1433" totalsRowDxfId="1428">
      <calculatedColumnFormula>تسعير!$T$24</calculatedColumnFormula>
    </tableColumn>
    <tableColumn id="10" xr3:uid="{00000000-0010-0000-1700-00000A000000}" name="شيفت العمل" dataDxfId="1420" totalsRowDxfId="1428"/>
    <tableColumn id="12" xr3:uid="{00000000-0010-0000-1700-00000C000000}" name="Column12" totalsRowFunction="sum" dataDxfId="1429" totalsRowDxfId="1430">
      <calculatedColumnFormula>SUMIF(Table1731[Column1],Table161229[[#This Row],[موقع العمل]],$T$2:$T$26)</calculatedColumnFormula>
    </tableColumn>
    <tableColumn id="4" xr3:uid="{00000000-0010-0000-1700-000004000000}" name="عدد الايام" dataDxfId="1447" totalsRowDxfId="1428"/>
    <tableColumn id="7" xr3:uid="{00000000-0010-0000-1700-000007000000}" name="اجمالي التكلفة للعامل" dataDxfId="1448" totalsRowDxfId="1435">
      <calculatedColumnFormula>Table161229[[#This Row],[Column12]]</calculatedColumnFormula>
    </tableColumn>
    <tableColumn id="8" xr3:uid="{00000000-0010-0000-1700-000008000000}" name="اجمالي" totalsRowFunction="sum" dataDxfId="1425" totalsRowDxfId="1436">
      <calculatedColumnFormula>B69*J69</calculatedColumnFormula>
    </tableColumn>
    <tableColumn id="9" xr3:uid="{00000000-0010-0000-1700-000009000000}" name="%" totalsRowFunction="custom" totalsRowDxfId="1437">
      <calculatedColumnFormula>Table161229[[#Totals],[اجمالي]]/$G$85</calculatedColumnFormula>
      <totalsRowFormula>Table161229[[#Totals],[اجمالي]]/$G$85</totalsRowFormula>
    </tableColumn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8000000}" name="Table161330" displayName="Table161330" ref="A64:L66" totalsRowCount="1">
  <autoFilter ref="A64:L65" xr:uid="{00000000-0009-0000-0100-00001D000000}"/>
  <tableColumns count="12">
    <tableColumn id="1" xr3:uid="{00000000-0010-0000-1800-000001000000}" name="م" totalsRowLabel="Total" dataDxfId="1433" totalsRowDxfId="1421"/>
    <tableColumn id="2" xr3:uid="{00000000-0010-0000-1800-000002000000}" name="عدد" dataDxfId="1441" totalsRowDxfId="1421">
      <calculatedColumnFormula>IF((تسعير!T25="جلفنة و جوتن"),(Table118[[#Totals],[اجمالي الميزان]]+Table1624[[#Totals],[الوزن]]+Table1421[[#Totals],[الوزن]]),0)</calculatedColumnFormula>
    </tableColumn>
    <tableColumn id="3" xr3:uid="{00000000-0010-0000-1800-000003000000}" name="بيان" totalsRowLabel="Total" dataDxfId="1433" totalsRowDxfId="1421"/>
    <tableColumn id="11" xr3:uid="{00000000-0010-0000-1800-00000B000000}" name="Column2" dataDxfId="1433" totalsRowDxfId="1421"/>
    <tableColumn id="10" xr3:uid="{00000000-0010-0000-1800-00000A000000}" name="Column1" dataDxfId="1433" totalsRowDxfId="1421"/>
    <tableColumn id="12" xr3:uid="{00000000-0010-0000-1800-00000C000000}" name="Column12" totalsRowFunction="sum" dataDxfId="80" totalsRowDxfId="1431"/>
    <tableColumn id="4" xr3:uid="{00000000-0010-0000-1800-000004000000}" name="الوحده" dataDxfId="1434" totalsRowDxfId="1421"/>
    <tableColumn id="5" xr3:uid="{00000000-0010-0000-1800-000005000000}" name="الوزن" dataDxfId="1433" totalsRowDxfId="1421"/>
    <tableColumn id="6" xr3:uid="{00000000-0010-0000-1800-000006000000}" name="سعر الكيلو" dataDxfId="1433" totalsRowDxfId="1421"/>
    <tableColumn id="7" xr3:uid="{00000000-0010-0000-1800-000007000000}" name="سعر الشبك " dataDxfId="1446" totalsRowDxfId="1424"/>
    <tableColumn id="8" xr3:uid="{00000000-0010-0000-1800-000008000000}" name="اجمالي" totalsRowFunction="sum" dataDxfId="1425" totalsRowDxfId="1426">
      <calculatedColumnFormula>B65*Table161330[[#This Row],[سعر الشبك ]]</calculatedColumnFormula>
    </tableColumn>
    <tableColumn id="9" xr3:uid="{00000000-0010-0000-1800-000009000000}" name="%" totalsRowFunction="custom" totalsRowDxfId="1021" dataCellStyle="Percent">
      <calculatedColumnFormula>Table161330[[#Totals],[اجمالي]]/$G$85</calculatedColumnFormula>
      <totalsRowFormula>Table161330[[#Totals],[اجمالي]]/$G$85</totalsRow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9000000}" name="Table1731" displayName="Table1731" ref="N1:T20" totalsRowShown="0">
  <autoFilter ref="N1:T20" xr:uid="{00000000-0009-0000-0100-00001E000000}"/>
  <tableColumns count="7">
    <tableColumn id="1" xr3:uid="{00000000-0010-0000-1900-000001000000}" name="Column1" dataDxfId="1432"/>
    <tableColumn id="2" xr3:uid="{00000000-0010-0000-1900-000002000000}" name="خارجي" dataDxfId="1440"/>
    <tableColumn id="3" xr3:uid="{00000000-0010-0000-1900-000003000000}" name="داخلي" dataDxfId="1440"/>
    <tableColumn id="4" xr3:uid="{00000000-0010-0000-1900-000004000000}" name="بدل الوجبة" dataDxfId="1440"/>
    <tableColumn id="5" xr3:uid="{00000000-0010-0000-1900-000005000000}" name="دبابة" dataDxfId="1440"/>
    <tableColumn id="6" xr3:uid="{00000000-0010-0000-1900-000006000000}" name="جامبو" dataDxfId="1440"/>
    <tableColumn id="7" xr3:uid="{00000000-0010-0000-1900-000007000000}" name="الاقامة" dataDxfId="1440"/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A000000}" name="Table1832" displayName="Table1832" ref="C84:G86" totalsRowShown="0">
  <autoFilter ref="C84:G86" xr:uid="{00000000-0009-0000-0100-00001F000000}"/>
  <tableColumns count="5">
    <tableColumn id="1" xr3:uid="{00000000-0010-0000-1A00-000001000000}" name="Column1" dataDxfId="1433"/>
    <tableColumn id="4" xr3:uid="{00000000-0010-0000-1A00-000004000000}" name="Column22" dataDxfId="1433"/>
    <tableColumn id="5" xr3:uid="{00000000-0010-0000-1A00-000005000000}" name="Column23" dataDxfId="1433"/>
    <tableColumn id="3" xr3:uid="{00000000-0010-0000-1A00-000003000000}" name="Column3" dataDxfId="1449">
      <calculatedColumnFormula>IF((F80="المقطم"),0.3,IF((F80="التجمع"),0.3,IF((F80="الشيخ زايد"),0.3,IF((F80="الاسكندرية"),0.5,IF((F74="الساحل"),0.5,0.35)))))</calculatedColumnFormula>
    </tableColumn>
    <tableColumn id="2" xr3:uid="{00000000-0010-0000-1A00-000002000000}" name="Column2" dataDxfId="1441">
      <calculatedColumnFormula>G84*(1+Table1832[[#This Row],[Column3]])</calculatedColumn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2000000}" name="Table2020" displayName="Table2020" ref="G5:I6" totalsRowShown="0">
  <autoFilter ref="G5:I6" xr:uid="{00000000-0009-0000-0100-000013000000}"/>
  <tableColumns count="3">
    <tableColumn id="1" xr3:uid="{00000000-0010-0000-0200-000001000000}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xr3:uid="{00000000-0010-0000-0200-000002000000}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xr3:uid="{00000000-0010-0000-0200-000003000000}" name="Column3" dataDxfId="636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1B000000}" name="Table8" displayName="Table8" ref="A2:J15" totalsRowCount="1">
  <autoFilter ref="A2:J14" xr:uid="{00000000-0009-0000-0100-000008000000}"/>
  <tableColumns count="10">
    <tableColumn id="7" xr3:uid="{00000000-0010-0000-1B00-000007000000}" name="Column7" totalsRowLabel="Total" dataDxfId="1450" totalsRowDxfId="850"/>
    <tableColumn id="6" xr3:uid="{00000000-0010-0000-1B00-000006000000}" name="الطول بالمتر" dataDxfId="1450" totalsRowDxfId="1451"/>
    <tableColumn id="5" xr3:uid="{00000000-0010-0000-1B00-000005000000}" name="وزن المتر " dataDxfId="1450" totalsRowDxfId="1451"/>
    <tableColumn id="4" xr3:uid="{00000000-0010-0000-1B00-000004000000}" name="سعر الكيلو" dataDxfId="1450" totalsRowDxfId="1451"/>
    <tableColumn id="3" xr3:uid="{00000000-0010-0000-1B00-000003000000}" name="اجمالي عدد " totalsRowFunction="custom" totalsRowDxfId="1451">
      <totalsRowFormula>Table8[[#Totals],[اجمالي التكلفة]]/B1</totalsRowFormula>
    </tableColumn>
    <tableColumn id="2" xr3:uid="{00000000-0010-0000-1B00-000002000000}" name="اجمالي التكلفة" totalsRowFunction="sum" dataDxfId="859" totalsRowDxfId="858">
      <calculatedColumnFormula>B3*D3</calculatedColumnFormula>
    </tableColumn>
    <tableColumn id="9" xr3:uid="{00000000-0010-0000-1B00-000009000000}" name="Column1" dataDxfId="1450" totalsRowDxfId="1451"/>
    <tableColumn id="10" xr3:uid="{00000000-0010-0000-1B00-00000A000000}" name="Column2" dataDxfId="1450" totalsRowDxfId="1451"/>
    <tableColumn id="11" xr3:uid="{00000000-0010-0000-1B00-00000B000000}" name="Column3" dataDxfId="1450" totalsRowDxfId="1451"/>
    <tableColumn id="12" xr3:uid="{00000000-0010-0000-1B00-00000C000000}" name="Column4" dataDxfId="1450" totalsRowDxfId="1451"/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00000000-000C-0000-FFFF-FFFF1C000000}" name="Table1359" displayName="Table1359" ref="L25:W45" totalsRowCount="1">
  <autoFilter ref="L25:W44" xr:uid="{00000000-0009-0000-0100-00003A000000}"/>
  <tableColumns count="12">
    <tableColumn id="1" xr3:uid="{00000000-0010-0000-1C00-000001000000}" name="م" totalsRowLabel="Total" dataDxfId="1420" totalsRowDxfId="1421"/>
    <tableColumn id="2" xr3:uid="{00000000-0010-0000-1C00-000002000000}" name="عدد" dataDxfId="1422" totalsRowDxfId="1421"/>
    <tableColumn id="3" xr3:uid="{00000000-0010-0000-1C00-000003000000}" name="بيان" totalsRowLabel="Total" dataDxfId="1420" totalsRowDxfId="1421"/>
    <tableColumn id="11" xr3:uid="{00000000-0010-0000-1C00-00000B000000}" name="Column2" dataDxfId="1420" totalsRowDxfId="1421"/>
    <tableColumn id="10" xr3:uid="{00000000-0010-0000-1C00-00000A000000}" name="Column1" dataDxfId="1420" totalsRowDxfId="1421"/>
    <tableColumn id="12" xr3:uid="{00000000-0010-0000-1C00-00000C000000}" name="Column12" dataDxfId="1420" totalsRowDxfId="1421"/>
    <tableColumn id="4" xr3:uid="{00000000-0010-0000-1C00-000004000000}" name="الوحده" totalsRowLabel="total" dataDxfId="1420" totalsRowDxfId="1421"/>
    <tableColumn id="5" xr3:uid="{00000000-0010-0000-1C00-000005000000}" name="الوزن" dataDxfId="1420" totalsRowDxfId="1421"/>
    <tableColumn id="6" xr3:uid="{00000000-0010-0000-1C00-000006000000}" name="سعر الكيلو" dataDxfId="1420" totalsRowDxfId="1421"/>
    <tableColumn id="7" xr3:uid="{00000000-0010-0000-1C00-000007000000}" name="سعر الشبك " dataDxfId="1423" totalsRowDxfId="1424">
      <calculatedColumnFormula>Sheet2!B2</calculatedColumnFormula>
    </tableColumn>
    <tableColumn id="8" xr3:uid="{00000000-0010-0000-1C00-000008000000}" name="اجمالي" totalsRowFunction="sum" dataDxfId="1425" totalsRowDxfId="1426">
      <calculatedColumnFormula>M26*U26</calculatedColumnFormula>
    </tableColumn>
    <tableColumn id="9" xr3:uid="{00000000-0010-0000-1C00-000009000000}" name="%" totalsRowFunction="custom" totalsRowDxfId="1427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00000000-000C-0000-FFFF-FFFF1D000000}" name="Table1561" displayName="Table1561" ref="L10:W18" totalsRowCount="1">
  <autoFilter ref="L10:W17" xr:uid="{00000000-0009-0000-0100-00003C000000}"/>
  <sortState xmlns:xlrd2="http://schemas.microsoft.com/office/spreadsheetml/2017/richdata2" ref="L10:W17">
    <sortCondition ref="L10:L27"/>
  </sortState>
  <tableColumns count="12">
    <tableColumn id="1" xr3:uid="{00000000-0010-0000-1D00-000001000000}" name="م" totalsRowLabel="Total" dataDxfId="1420" totalsRowDxfId="1421"/>
    <tableColumn id="2" xr3:uid="{00000000-0010-0000-1D00-000002000000}" name="عدد" dataDxfId="1422" totalsRowDxfId="1421"/>
    <tableColumn id="3" xr3:uid="{00000000-0010-0000-1D00-000003000000}" name="بيان" totalsRowLabel="Total" dataDxfId="1420" totalsRowDxfId="1421"/>
    <tableColumn id="11" xr3:uid="{00000000-0010-0000-1D00-00000B000000}" name="Column2" dataDxfId="1420" totalsRowDxfId="1421"/>
    <tableColumn id="10" xr3:uid="{00000000-0010-0000-1D00-00000A000000}" name="Column1" dataDxfId="1420" totalsRowDxfId="1421"/>
    <tableColumn id="12" xr3:uid="{00000000-0010-0000-1D00-00000C000000}" name="Column12" dataDxfId="1429" totalsRowDxfId="1431"/>
    <tableColumn id="4" xr3:uid="{00000000-0010-0000-1D00-000004000000}" name="الوحده" dataDxfId="1420" totalsRowDxfId="1421"/>
    <tableColumn id="5" xr3:uid="{00000000-0010-0000-1D00-000005000000}" name="الوزن" dataDxfId="1420" totalsRowDxfId="1421"/>
    <tableColumn id="6" xr3:uid="{00000000-0010-0000-1D00-000006000000}" name="سعر الكيلو" dataDxfId="1420" totalsRowDxfId="1421"/>
    <tableColumn id="7" xr3:uid="{00000000-0010-0000-1D00-000007000000}" name="سعر الشبك " dataDxfId="1423" totalsRowDxfId="1424">
      <calculatedColumnFormula>Sheet2!B24</calculatedColumnFormula>
    </tableColumn>
    <tableColumn id="8" xr3:uid="{00000000-0010-0000-1D00-000008000000}" name="اجمالي" totalsRowFunction="sum" dataDxfId="1425" totalsRowDxfId="1426">
      <calculatedColumnFormula>M11*U11</calculatedColumnFormula>
    </tableColumn>
    <tableColumn id="9" xr3:uid="{00000000-0010-0000-1D00-000009000000}" name="%" totalsRowFunction="custom" totalsRowDxfId="1427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00000000-000C-0000-FFFF-FFFF1E000000}" name="Table1662" displayName="Table1662" ref="L20:W23" totalsRowCount="1">
  <autoFilter ref="L20:W22" xr:uid="{00000000-0009-0000-0100-00003D000000}"/>
  <tableColumns count="12">
    <tableColumn id="1" xr3:uid="{00000000-0010-0000-1E00-000001000000}" name="م" totalsRowLabel="Total" dataDxfId="1420"/>
    <tableColumn id="2" xr3:uid="{00000000-0010-0000-1E00-000002000000}" name="عدد" totalsRowFunction="count" dataDxfId="1420">
      <calculatedColumnFormula>M20*4</calculatedColumnFormula>
    </tableColumn>
    <tableColumn id="3" xr3:uid="{00000000-0010-0000-1E00-000003000000}" name="بيان" totalsRowLabel="Total" dataDxfId="1420"/>
    <tableColumn id="11" xr3:uid="{00000000-0010-0000-1E00-00000B000000}" name="Column2" dataDxfId="1420"/>
    <tableColumn id="10" xr3:uid="{00000000-0010-0000-1E00-00000A000000}" name="Column1" dataDxfId="1420"/>
    <tableColumn id="12" xr3:uid="{00000000-0010-0000-1E00-00000C000000}" name="Column12" totalsRowFunction="sum" dataDxfId="1429">
      <calculatedColumnFormula>(Table1662[[#This Row],[Column1]]*Table1662[[#This Row],[Column2]])*Table1662[[#This Row],[عدد]]</calculatedColumnFormula>
    </tableColumn>
    <tableColumn id="4" xr3:uid="{00000000-0010-0000-1E00-000004000000}" name="الوحده" dataDxfId="1420"/>
    <tableColumn id="5" xr3:uid="{00000000-0010-0000-1E00-000005000000}" name="الوزن" totalsRowFunction="custom">
      <totalsRowFormula>(S21*M21)+(M22*S22)</totalsRowFormula>
    </tableColumn>
    <tableColumn id="6" xr3:uid="{00000000-0010-0000-1E00-000006000000}" name="سعر الكيلو" dataDxfId="1422"/>
    <tableColumn id="7" xr3:uid="{00000000-0010-0000-1E00-000007000000}" name="سعر الشبك " dataDxfId="1423">
      <calculatedColumnFormula>S21*$S$2/1000</calculatedColumnFormula>
    </tableColumn>
    <tableColumn id="8" xr3:uid="{00000000-0010-0000-1E00-000008000000}" name="اجمالي" totalsRowFunction="sum" dataDxfId="1425">
      <calculatedColumnFormula>M21*U21</calculatedColumnFormula>
    </tableColumn>
    <tableColumn id="9" xr3:uid="{00000000-0010-0000-1E00-000009000000}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00000000-000C-0000-FFFF-FFFF1F000000}" name="Table663" displayName="Table663" ref="AJ4:AM15" totalsRowShown="0">
  <autoFilter ref="AJ4:AM15" xr:uid="{00000000-0009-0000-0100-00003E000000}"/>
  <tableColumns count="4">
    <tableColumn id="1" xr3:uid="{00000000-0010-0000-1F00-000001000000}" name="المادة" dataDxfId="1432"/>
    <tableColumn id="2" xr3:uid="{00000000-0010-0000-1F00-000002000000}" name="المعدل" dataDxfId="1432"/>
    <tableColumn id="3" xr3:uid="{00000000-0010-0000-1F00-000003000000}" name="الوحدة" dataDxfId="1432"/>
    <tableColumn id="4" xr3:uid="{00000000-0010-0000-1F00-000004000000}" name="Column4" dataDxfId="1442"/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" xr:uid="{00000000-000C-0000-FFFF-FFFF20000000}" name="Table764" displayName="Table764" ref="AO4:AS19" totalsRowShown="0">
  <autoFilter ref="AO4:AS19" xr:uid="{00000000-0009-0000-0100-00003F000000}"/>
  <tableColumns count="5">
    <tableColumn id="1" xr3:uid="{00000000-0010-0000-2000-000001000000}" name="Column1" dataDxfId="1432"/>
    <tableColumn id="2" xr3:uid="{00000000-0010-0000-2000-000002000000}" name="Column2" dataDxfId="1442"/>
    <tableColumn id="3" xr3:uid="{00000000-0010-0000-2000-000003000000}" name="Column3" dataDxfId="1432"/>
    <tableColumn id="4" xr3:uid="{00000000-0010-0000-2000-000004000000}" name="Column4" dataDxfId="1432"/>
    <tableColumn id="5" xr3:uid="{00000000-0010-0000-2000-000005000000}" name="Column5" dataDxfId="1432"/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6" xr:uid="{00000000-000C-0000-FFFF-FFFF21000000}" name="Table161267" displayName="Table161267" ref="L54:W68" totalsRowCount="1">
  <autoFilter ref="L54:W67" xr:uid="{00000000-0009-0000-0100-000042000000}"/>
  <tableColumns count="12">
    <tableColumn id="1" xr3:uid="{00000000-0010-0000-2100-000001000000}" name="م" totalsRowLabel="Total" dataDxfId="1420" totalsRowDxfId="1428"/>
    <tableColumn id="2" xr3:uid="{00000000-0010-0000-2100-000002000000}" name="عدد" dataDxfId="1441" totalsRowDxfId="1428">
      <calculatedColumnFormula>IF((تسعير!$AU$14="بالتات"),0,M52-2)</calculatedColumnFormula>
    </tableColumn>
    <tableColumn id="3" xr3:uid="{00000000-0010-0000-2100-000003000000}" name="بيان" totalsRowLabel="Total" dataDxfId="1438" totalsRowDxfId="1428"/>
    <tableColumn id="5" xr3:uid="{00000000-0010-0000-2100-000005000000}" name="اليومية / الاجرة" dataDxfId="1438" totalsRowDxfId="1428"/>
    <tableColumn id="6" xr3:uid="{00000000-0010-0000-2100-000006000000}" name="بدل الوجبة" dataDxfId="1439" totalsRowDxfId="1428"/>
    <tableColumn id="11" xr3:uid="{00000000-0010-0000-2100-00000B000000}" name="موقع العمل" dataDxfId="1433" totalsRowDxfId="1428">
      <calculatedColumnFormula>تسعير!$AT$4</calculatedColumnFormula>
    </tableColumn>
    <tableColumn id="10" xr3:uid="{00000000-0010-0000-2100-00000A000000}" name="شيفت العمل" dataDxfId="1420" totalsRowDxfId="1428"/>
    <tableColumn id="12" xr3:uid="{00000000-0010-0000-2100-00000C000000}" name="Column12" totalsRowFunction="sum" dataDxfId="1429" totalsRowDxfId="1430">
      <calculatedColumnFormula>SUMIF(Table1769[Column1],Table161267[[#This Row],[موقع العمل]],$AE$2:$AE$8)</calculatedColumnFormula>
    </tableColumn>
    <tableColumn id="4" xr3:uid="{00000000-0010-0000-2100-000004000000}" name="عدد الايام" dataDxfId="1447" totalsRowDxfId="1428"/>
    <tableColumn id="7" xr3:uid="{00000000-0010-0000-2100-000007000000}" name="اجمالي التكلفة للعامل" dataDxfId="1448" totalsRowDxfId="1435">
      <calculatedColumnFormula>Table161267[[#This Row],[Column12]]</calculatedColumnFormula>
    </tableColumn>
    <tableColumn id="8" xr3:uid="{00000000-0010-0000-2100-000008000000}" name="اجمالي" totalsRowFunction="sum" dataDxfId="1425" totalsRowDxfId="1436">
      <calculatedColumnFormula>M55*U55</calculatedColumnFormula>
    </tableColumn>
    <tableColumn id="9" xr3:uid="{00000000-0010-0000-2100-000009000000}" name="%" totalsRowFunction="custom" totalsRowDxfId="1437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7" xr:uid="{00000000-000C-0000-FFFF-FFFF22000000}" name="Table161368" displayName="Table161368" ref="L48:W52" totalsRowCount="1">
  <autoFilter ref="L48:W51" xr:uid="{00000000-0009-0000-0100-000043000000}"/>
  <tableColumns count="12">
    <tableColumn id="1" xr3:uid="{00000000-0010-0000-2200-000001000000}" name="م" totalsRowLabel="Total" dataDxfId="1433"/>
    <tableColumn id="2" xr3:uid="{00000000-0010-0000-2200-000002000000}" name="عدد" dataDxfId="1441">
      <calculatedColumnFormula>IF((Q65="الاسكندرية"),0.25,0.1)</calculatedColumnFormula>
    </tableColumn>
    <tableColumn id="3" xr3:uid="{00000000-0010-0000-2200-000003000000}" name="بيان" totalsRowLabel="Total" dataDxfId="1433"/>
    <tableColumn id="11" xr3:uid="{00000000-0010-0000-2200-00000B000000}" name="Column2" dataDxfId="1433"/>
    <tableColumn id="10" xr3:uid="{00000000-0010-0000-2200-00000A000000}" name="Column1" dataDxfId="1433"/>
    <tableColumn id="12" xr3:uid="{00000000-0010-0000-2200-00000C000000}" name="Column12" totalsRowFunction="sum" dataDxfId="1452"/>
    <tableColumn id="4" xr3:uid="{00000000-0010-0000-2200-000004000000}" name="الوحده" dataDxfId="1434"/>
    <tableColumn id="5" xr3:uid="{00000000-0010-0000-2200-000005000000}" name="الوزن" dataDxfId="1433"/>
    <tableColumn id="6" xr3:uid="{00000000-0010-0000-2200-000006000000}" name="سعر الكيلو" dataDxfId="1433"/>
    <tableColumn id="7" xr3:uid="{00000000-0010-0000-2200-000007000000}" name="سعر الشبك " dataDxfId="1446">
      <calculatedColumnFormula>V48</calculatedColumnFormula>
    </tableColumn>
    <tableColumn id="8" xr3:uid="{00000000-0010-0000-2200-000008000000}" name="اجمالي" totalsRowFunction="sum" dataDxfId="1425">
      <calculatedColumnFormula>M49*Table161368[[#This Row],[سعر الشبك ]]</calculatedColumnFormula>
    </tableColumn>
    <tableColumn id="9" xr3:uid="{00000000-0010-0000-2200-000009000000}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8" xr:uid="{00000000-000C-0000-FFFF-FFFF23000000}" name="Table1769" displayName="Table1769" ref="Y1:AE28" totalsRowShown="0">
  <autoFilter ref="Y1:AE28" xr:uid="{00000000-0009-0000-0100-000044000000}"/>
  <tableColumns count="7">
    <tableColumn id="1" xr3:uid="{00000000-0010-0000-2300-000001000000}" name="Column1" dataDxfId="1432"/>
    <tableColumn id="2" xr3:uid="{00000000-0010-0000-2300-000002000000}" name="خارجي" dataDxfId="1432"/>
    <tableColumn id="3" xr3:uid="{00000000-0010-0000-2300-000003000000}" name="داخلي" dataDxfId="1432"/>
    <tableColumn id="4" xr3:uid="{00000000-0010-0000-2300-000004000000}" name="بدل الوجبة" dataDxfId="1432"/>
    <tableColumn id="5" xr3:uid="{00000000-0010-0000-2300-000005000000}" name="دبابة" dataDxfId="1432"/>
    <tableColumn id="6" xr3:uid="{00000000-0010-0000-2300-000006000000}" name="جامبو" dataDxfId="1432"/>
    <tableColumn id="7" xr3:uid="{00000000-0010-0000-2300-000007000000}" name="الاقامة" dataDxfId="1432"/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9" xr:uid="{00000000-000C-0000-FFFF-FFFF24000000}" name="Table1870" displayName="Table1870" ref="N70:R72" totalsRowShown="0">
  <autoFilter ref="N70:R72" xr:uid="{00000000-0009-0000-0100-000045000000}"/>
  <tableColumns count="5">
    <tableColumn id="1" xr3:uid="{00000000-0010-0000-2400-000001000000}" name="Column1" dataDxfId="1433"/>
    <tableColumn id="4" xr3:uid="{00000000-0010-0000-2400-000004000000}" name="Column22" dataDxfId="1433"/>
    <tableColumn id="5" xr3:uid="{00000000-0010-0000-2400-000005000000}" name="Column23" dataDxfId="1433"/>
    <tableColumn id="3" xr3:uid="{00000000-0010-0000-2400-000003000000}" name="Column3" dataDxfId="1449">
      <calculatedColumnFormula>IF((Q66="المقطم"),0.3,IF((Q66="التجمع"),0.3,IF((Q66="الشيخ زايد"),0.3,IF((Q66="الاسكندرية"),0.5,0.35))))</calculatedColumnFormula>
    </tableColumn>
    <tableColumn id="2" xr3:uid="{00000000-0010-0000-2400-000002000000}" name="Column2" dataDxfId="1441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3000000}" name="Table7" displayName="Table7" ref="A11:B58">
  <autoFilter ref="A11:B58" xr:uid="{00000000-0009-0000-0100-000007000000}"/>
  <tableColumns count="2">
    <tableColumn id="1" xr3:uid="{00000000-0010-0000-0300-000001000000}" name="الخامة" totalsRowLabel="Total"/>
    <tableColumn id="2" xr3:uid="{00000000-0010-0000-0300-000002000000}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00000000-000C-0000-FFFF-FFFF25000000}" name="Table158" displayName="Table158" ref="L5:W8" totalsRowCount="1">
  <autoFilter ref="L5:W7" xr:uid="{00000000-0009-0000-0100-000039000000}"/>
  <sortState xmlns:xlrd2="http://schemas.microsoft.com/office/spreadsheetml/2017/richdata2" ref="L5:W7">
    <sortCondition ref="L5:L33"/>
  </sortState>
  <tableColumns count="12">
    <tableColumn id="1" xr3:uid="{00000000-0010-0000-2500-000001000000}" name="م" dataDxfId="1420"/>
    <tableColumn id="2" xr3:uid="{00000000-0010-0000-2500-000002000000}" name="عدد" dataDxfId="1420">
      <calculatedColumnFormula>IF((N2="A1"),2,IF((N2="A2"),3,IF((N2="B1"),2.5,IF((N2="B2"),3,0))))</calculatedColumnFormula>
    </tableColumn>
    <tableColumn id="3" xr3:uid="{00000000-0010-0000-2500-000003000000}" name="بيان" totalsRowLabel="Total" dataDxfId="1420"/>
    <tableColumn id="11" xr3:uid="{00000000-0010-0000-2500-00000B000000}" name="Column2" dataDxfId="1420"/>
    <tableColumn id="10" xr3:uid="{00000000-0010-0000-2500-00000A000000}" name="Column1" dataDxfId="1420"/>
    <tableColumn id="12" xr3:uid="{00000000-0010-0000-2500-00000C000000}" name="المسطح" totalsRowFunction="sum" dataDxfId="1429">
      <calculatedColumnFormula>(Table158[[#This Row],[Column1]]+Table158[[#This Row],[Column2]])*12*Table158[[#This Row],[عدد]]</calculatedColumnFormula>
    </tableColumn>
    <tableColumn id="4" xr3:uid="{00000000-0010-0000-2500-000004000000}" name="الوحده" dataDxfId="1420"/>
    <tableColumn id="5" xr3:uid="{00000000-0010-0000-2500-000005000000}" name="الوزن" totalsRowFunction="custom">
      <totalsRowFormula>(S7*M7)</totalsRowFormula>
    </tableColumn>
    <tableColumn id="6" xr3:uid="{00000000-0010-0000-2500-000006000000}" name="سعر الكيلو" totalsRowFunction="sum" dataDxfId="1422">
      <calculatedColumnFormula>Table158[[#This Row],[المسطح]]*Table158[[#This Row],[عدد]]</calculatedColumnFormula>
    </tableColumn>
    <tableColumn id="7" xr3:uid="{00000000-0010-0000-2500-000007000000}" name="سعر الشبك " dataDxfId="45">
      <calculatedColumnFormula>S6*$S$2/1000</calculatedColumnFormula>
    </tableColumn>
    <tableColumn id="8" xr3:uid="{00000000-0010-0000-2500-000008000000}" name="اجمالي" totalsRowFunction="sum" dataDxfId="1425">
      <calculatedColumnFormula>M6*U6</calculatedColumnFormula>
    </tableColumn>
    <tableColumn id="9" xr3:uid="{00000000-0010-0000-2500-000009000000}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26000000}" name="Table823" displayName="Table823" ref="A2:J17" totalsRowCount="1">
  <autoFilter ref="A2:J16" xr:uid="{00000000-0009-0000-0100-000016000000}"/>
  <tableColumns count="10">
    <tableColumn id="7" xr3:uid="{00000000-0010-0000-2600-000007000000}" name="Column7" totalsRowLabel="Total" dataDxfId="1450" totalsRowDxfId="1451"/>
    <tableColumn id="6" xr3:uid="{00000000-0010-0000-2600-000006000000}" name="الطول بالمتر" dataDxfId="1450" totalsRowDxfId="1451"/>
    <tableColumn id="5" xr3:uid="{00000000-0010-0000-2600-000005000000}" name="وزن المتر " dataDxfId="1450" totalsRowDxfId="1451"/>
    <tableColumn id="4" xr3:uid="{00000000-0010-0000-2600-000004000000}" name="سعر الكيلو" dataDxfId="1450" totalsRowDxfId="1451"/>
    <tableColumn id="3" xr3:uid="{00000000-0010-0000-2600-000003000000}" name="اجمالي عدد " totalsRowFunction="custom" totalsRowDxfId="1451">
      <totalsRowFormula>Table823[[#Totals],[اجمالي التكلفة]]/B1</totalsRowFormula>
    </tableColumn>
    <tableColumn id="2" xr3:uid="{00000000-0010-0000-2600-000002000000}" name="اجمالي التكلفة" totalsRowFunction="sum" dataDxfId="1453" totalsRowDxfId="1454"/>
    <tableColumn id="9" xr3:uid="{00000000-0010-0000-2600-000009000000}" name="Column1" dataDxfId="1450" totalsRowDxfId="1451"/>
    <tableColumn id="10" xr3:uid="{00000000-0010-0000-2600-00000A000000}" name="Column2" dataDxfId="1450" totalsRowDxfId="1451"/>
    <tableColumn id="11" xr3:uid="{00000000-0010-0000-2600-00000B000000}" name="Column3" dataDxfId="1450" totalsRowDxfId="1451"/>
    <tableColumn id="12" xr3:uid="{00000000-0010-0000-2600-00000C000000}" name="Column4" dataDxfId="1450" totalsRowDxfId="1451"/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27000000}" name="Table135926" displayName="Table135926" ref="L25:W45" totalsRowCount="1">
  <autoFilter ref="L25:W44" xr:uid="{00000000-0009-0000-0100-000019000000}"/>
  <tableColumns count="12">
    <tableColumn id="1" xr3:uid="{00000000-0010-0000-2700-000001000000}" name="م" totalsRowLabel="Total" dataDxfId="1420" totalsRowDxfId="1421"/>
    <tableColumn id="2" xr3:uid="{00000000-0010-0000-2700-000002000000}" name="عدد" dataDxfId="1422" totalsRowDxfId="1421"/>
    <tableColumn id="3" xr3:uid="{00000000-0010-0000-2700-000003000000}" name="بيان" totalsRowLabel="Total" dataDxfId="1420" totalsRowDxfId="1421"/>
    <tableColumn id="11" xr3:uid="{00000000-0010-0000-2700-00000B000000}" name="Column2" dataDxfId="1420" totalsRowDxfId="1421"/>
    <tableColumn id="10" xr3:uid="{00000000-0010-0000-2700-00000A000000}" name="Column1" dataDxfId="1420" totalsRowDxfId="1421"/>
    <tableColumn id="12" xr3:uid="{00000000-0010-0000-2700-00000C000000}" name="Column12" dataDxfId="1420" totalsRowDxfId="1421"/>
    <tableColumn id="4" xr3:uid="{00000000-0010-0000-2700-000004000000}" name="الوحده" totalsRowLabel="total" dataDxfId="1420" totalsRowDxfId="1421"/>
    <tableColumn id="5" xr3:uid="{00000000-0010-0000-2700-000005000000}" name="الوزن" dataDxfId="1420" totalsRowDxfId="1421"/>
    <tableColumn id="6" xr3:uid="{00000000-0010-0000-2700-000006000000}" name="سعر الكيلو" dataDxfId="1420" totalsRowDxfId="1421"/>
    <tableColumn id="7" xr3:uid="{00000000-0010-0000-2700-000007000000}" name="سعر الشبك " dataDxfId="1423" totalsRowDxfId="1424">
      <calculatedColumnFormula>Sheet2!B2</calculatedColumnFormula>
    </tableColumn>
    <tableColumn id="8" xr3:uid="{00000000-0010-0000-2700-000008000000}" name="اجمالي" totalsRowFunction="sum" dataDxfId="1425" totalsRowDxfId="1426">
      <calculatedColumnFormula>M26*U26</calculatedColumnFormula>
    </tableColumn>
    <tableColumn id="9" xr3:uid="{00000000-0010-0000-2700-000009000000}" name="%" totalsRowFunction="custom" totalsRowDxfId="1427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00000000-000C-0000-FFFF-FFFF28000000}" name="Table156140" displayName="Table156140" ref="L10:W18" totalsRowCount="1">
  <autoFilter ref="L10:W17" xr:uid="{00000000-0009-0000-0100-000027000000}"/>
  <sortState xmlns:xlrd2="http://schemas.microsoft.com/office/spreadsheetml/2017/richdata2" ref="L10:W17">
    <sortCondition ref="L10:L27"/>
  </sortState>
  <tableColumns count="12">
    <tableColumn id="1" xr3:uid="{00000000-0010-0000-2800-000001000000}" name="م" totalsRowLabel="Total" dataDxfId="1420" totalsRowDxfId="1421"/>
    <tableColumn id="2" xr3:uid="{00000000-0010-0000-2800-000002000000}" name="عدد" dataDxfId="1422" totalsRowDxfId="1421"/>
    <tableColumn id="3" xr3:uid="{00000000-0010-0000-2800-000003000000}" name="بيان" totalsRowLabel="Total" dataDxfId="1420" totalsRowDxfId="1421"/>
    <tableColumn id="11" xr3:uid="{00000000-0010-0000-2800-00000B000000}" name="Column2" dataDxfId="1420" totalsRowDxfId="1421"/>
    <tableColumn id="10" xr3:uid="{00000000-0010-0000-2800-00000A000000}" name="Column1" dataDxfId="1420" totalsRowDxfId="1421"/>
    <tableColumn id="12" xr3:uid="{00000000-0010-0000-2800-00000C000000}" name="Column12" dataDxfId="1429" totalsRowDxfId="1431"/>
    <tableColumn id="4" xr3:uid="{00000000-0010-0000-2800-000004000000}" name="الوحده" dataDxfId="1420" totalsRowDxfId="1421"/>
    <tableColumn id="5" xr3:uid="{00000000-0010-0000-2800-000005000000}" name="الوزن" dataDxfId="1420" totalsRowDxfId="1421"/>
    <tableColumn id="6" xr3:uid="{00000000-0010-0000-2800-000006000000}" name="سعر الكيلو" dataDxfId="1420" totalsRowDxfId="1421"/>
    <tableColumn id="7" xr3:uid="{00000000-0010-0000-2800-000007000000}" name="سعر الشبك " dataDxfId="1423" totalsRowDxfId="1424">
      <calculatedColumnFormula>Sheet2!B24</calculatedColumnFormula>
    </tableColumn>
    <tableColumn id="8" xr3:uid="{00000000-0010-0000-2800-000008000000}" name="اجمالي" totalsRowFunction="sum" dataDxfId="1425" totalsRowDxfId="1426">
      <calculatedColumnFormula>M11*U11</calculatedColumnFormula>
    </tableColumn>
    <tableColumn id="9" xr3:uid="{00000000-0010-0000-2800-000009000000}" name="%" totalsRowFunction="custom" totalsRowDxfId="1427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00000000-000C-0000-FFFF-FFFF29000000}" name="Table166241" displayName="Table166241" ref="L20:W23" totalsRowCount="1">
  <autoFilter ref="L20:W22" xr:uid="{00000000-0009-0000-0100-000028000000}"/>
  <tableColumns count="12">
    <tableColumn id="1" xr3:uid="{00000000-0010-0000-2900-000001000000}" name="م" totalsRowLabel="Total" dataDxfId="1420"/>
    <tableColumn id="2" xr3:uid="{00000000-0010-0000-2900-000002000000}" name="عدد" totalsRowFunction="count" dataDxfId="1420">
      <calculatedColumnFormula>M20*4</calculatedColumnFormula>
    </tableColumn>
    <tableColumn id="3" xr3:uid="{00000000-0010-0000-2900-000003000000}" name="بيان" totalsRowLabel="Total" dataDxfId="1420"/>
    <tableColumn id="11" xr3:uid="{00000000-0010-0000-2900-00000B000000}" name="Column2" dataDxfId="1420"/>
    <tableColumn id="10" xr3:uid="{00000000-0010-0000-2900-00000A000000}" name="Column1" dataDxfId="1420"/>
    <tableColumn id="12" xr3:uid="{00000000-0010-0000-2900-00000C000000}" name="Column12" totalsRowFunction="sum" dataDxfId="1429">
      <calculatedColumnFormula>(Table166241[[#This Row],[Column1]]*Table166241[[#This Row],[Column2]])*Table166241[[#This Row],[عدد]]</calculatedColumnFormula>
    </tableColumn>
    <tableColumn id="4" xr3:uid="{00000000-0010-0000-2900-000004000000}" name="الوحده" dataDxfId="1420"/>
    <tableColumn id="5" xr3:uid="{00000000-0010-0000-2900-000005000000}" name="الوزن" totalsRowFunction="custom">
      <totalsRowFormula>(S21*M21)+(M22*S22)</totalsRowFormula>
    </tableColumn>
    <tableColumn id="6" xr3:uid="{00000000-0010-0000-2900-000006000000}" name="سعر الكيلو" dataDxfId="1422"/>
    <tableColumn id="7" xr3:uid="{00000000-0010-0000-2900-000007000000}" name="سعر الشبك " dataDxfId="1423">
      <calculatedColumnFormula>S21*$S$2/1000</calculatedColumnFormula>
    </tableColumn>
    <tableColumn id="8" xr3:uid="{00000000-0010-0000-2900-000008000000}" name="اجمالي" totalsRowFunction="sum" dataDxfId="1425">
      <calculatedColumnFormula>M21*U21</calculatedColumnFormula>
    </tableColumn>
    <tableColumn id="9" xr3:uid="{00000000-0010-0000-2900-000009000000}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00000000-000C-0000-FFFF-FFFF2A000000}" name="Table66342" displayName="Table66342" ref="AJ4:AM18" totalsRowShown="0">
  <autoFilter ref="AJ4:AM18" xr:uid="{00000000-0009-0000-0100-000029000000}"/>
  <tableColumns count="4">
    <tableColumn id="1" xr3:uid="{00000000-0010-0000-2A00-000001000000}" name="المادة" dataDxfId="1432"/>
    <tableColumn id="2" xr3:uid="{00000000-0010-0000-2A00-000002000000}" name="المعدل" dataDxfId="1432"/>
    <tableColumn id="3" xr3:uid="{00000000-0010-0000-2A00-000003000000}" name="الوحدة" dataDxfId="1432"/>
    <tableColumn id="4" xr3:uid="{00000000-0010-0000-2A00-000004000000}" name="Column4" dataDxfId="1442"/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00000000-000C-0000-FFFF-FFFF2B000000}" name="Table16126744" displayName="Table16126744" ref="L54:W68" totalsRowCount="1">
  <autoFilter ref="L54:W67" xr:uid="{00000000-0009-0000-0100-00002B000000}"/>
  <tableColumns count="12">
    <tableColumn id="1" xr3:uid="{00000000-0010-0000-2B00-000001000000}" name="م" totalsRowLabel="Total" dataDxfId="1420" totalsRowDxfId="1428"/>
    <tableColumn id="2" xr3:uid="{00000000-0010-0000-2B00-000002000000}" name="عدد" dataDxfId="1441" totalsRowDxfId="1428">
      <calculatedColumnFormula>IF((تسعير!$BF$14="بالتات"),0,M52-2)</calculatedColumnFormula>
    </tableColumn>
    <tableColumn id="3" xr3:uid="{00000000-0010-0000-2B00-000003000000}" name="بيان" totalsRowLabel="Total" dataDxfId="1438" totalsRowDxfId="1428"/>
    <tableColumn id="5" xr3:uid="{00000000-0010-0000-2B00-000005000000}" name="اليومية / الاجرة" dataDxfId="1438" totalsRowDxfId="1428"/>
    <tableColumn id="6" xr3:uid="{00000000-0010-0000-2B00-000006000000}" name="بدل الوجبة" dataDxfId="1439" totalsRowDxfId="1428"/>
    <tableColumn id="11" xr3:uid="{00000000-0010-0000-2B00-00000B000000}" name="موقع العمل" dataDxfId="1433" totalsRowDxfId="1428">
      <calculatedColumnFormula>تسعير!$BE$4</calculatedColumnFormula>
    </tableColumn>
    <tableColumn id="10" xr3:uid="{00000000-0010-0000-2B00-00000A000000}" name="شيفت العمل" dataDxfId="1420" totalsRowDxfId="1428"/>
    <tableColumn id="12" xr3:uid="{00000000-0010-0000-2B00-00000C000000}" name="Column12" totalsRowFunction="sum" dataDxfId="1429" totalsRowDxfId="1430"/>
    <tableColumn id="4" xr3:uid="{00000000-0010-0000-2B00-000004000000}" name="عدد الايام" dataDxfId="1447" totalsRowDxfId="1428"/>
    <tableColumn id="7" xr3:uid="{00000000-0010-0000-2B00-000007000000}" name="اجمالي التكلفة للعامل" dataDxfId="1448" totalsRowDxfId="1435">
      <calculatedColumnFormula>Table16126744[[#This Row],[Column12]]</calculatedColumnFormula>
    </tableColumn>
    <tableColumn id="8" xr3:uid="{00000000-0010-0000-2B00-000008000000}" name="اجمالي" totalsRowFunction="sum" dataDxfId="1425" totalsRowDxfId="1436">
      <calculatedColumnFormula>M55*U55</calculatedColumnFormula>
    </tableColumn>
    <tableColumn id="9" xr3:uid="{00000000-0010-0000-2B00-000009000000}" name="%" totalsRowFunction="custom" totalsRowDxfId="1437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00000000-000C-0000-FFFF-FFFF2C000000}" name="Table16136845" displayName="Table16136845" ref="L48:W52" totalsRowCount="1">
  <autoFilter ref="L48:W51" xr:uid="{00000000-0009-0000-0100-00002C000000}"/>
  <tableColumns count="12">
    <tableColumn id="1" xr3:uid="{00000000-0010-0000-2C00-000001000000}" name="م" totalsRowLabel="Total" dataDxfId="1433"/>
    <tableColumn id="2" xr3:uid="{00000000-0010-0000-2C00-000002000000}" name="عدد" dataDxfId="1441">
      <calculatedColumnFormula>IF((Q65="الاسكندرية"),0.25,0.1)</calculatedColumnFormula>
    </tableColumn>
    <tableColumn id="3" xr3:uid="{00000000-0010-0000-2C00-000003000000}" name="بيان" totalsRowLabel="Total" dataDxfId="1433"/>
    <tableColumn id="11" xr3:uid="{00000000-0010-0000-2C00-00000B000000}" name="Column2" dataDxfId="1433"/>
    <tableColumn id="10" xr3:uid="{00000000-0010-0000-2C00-00000A000000}" name="Column1" dataDxfId="1433"/>
    <tableColumn id="12" xr3:uid="{00000000-0010-0000-2C00-00000C000000}" name="Column12" totalsRowFunction="sum" dataDxfId="1452"/>
    <tableColumn id="4" xr3:uid="{00000000-0010-0000-2C00-000004000000}" name="الوحده" dataDxfId="1434"/>
    <tableColumn id="5" xr3:uid="{00000000-0010-0000-2C00-000005000000}" name="الوزن" dataDxfId="1433"/>
    <tableColumn id="6" xr3:uid="{00000000-0010-0000-2C00-000006000000}" name="سعر الكيلو" dataDxfId="1433"/>
    <tableColumn id="7" xr3:uid="{00000000-0010-0000-2C00-000007000000}" name="سعر الشبك " dataDxfId="1446">
      <calculatedColumnFormula>V48</calculatedColumnFormula>
    </tableColumn>
    <tableColumn id="8" xr3:uid="{00000000-0010-0000-2C00-000008000000}" name="اجمالي" totalsRowFunction="sum" dataDxfId="1425">
      <calculatedColumnFormula>M49*Table16136845[[#This Row],[سعر الشبك ]]</calculatedColumnFormula>
    </tableColumn>
    <tableColumn id="9" xr3:uid="{00000000-0010-0000-2C00-000009000000}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00000000-000C-0000-FFFF-FFFF2D000000}" name="Table176946" displayName="Table176946" ref="Y1:AE20" totalsRowShown="0" dataDxfId="1440">
  <autoFilter ref="Y1:AE20" xr:uid="{00000000-0009-0000-0100-00002D000000}"/>
  <tableColumns count="7">
    <tableColumn id="1" xr3:uid="{00000000-0010-0000-2D00-000001000000}" name="Column1" dataDxfId="1440"/>
    <tableColumn id="2" xr3:uid="{00000000-0010-0000-2D00-000002000000}" name="خارجي" dataDxfId="1440"/>
    <tableColumn id="3" xr3:uid="{00000000-0010-0000-2D00-000003000000}" name="داخلي" dataDxfId="1440"/>
    <tableColumn id="4" xr3:uid="{00000000-0010-0000-2D00-000004000000}" name="بدل الوجبة" dataDxfId="1440"/>
    <tableColumn id="5" xr3:uid="{00000000-0010-0000-2D00-000005000000}" name="دبابة" dataDxfId="1440"/>
    <tableColumn id="6" xr3:uid="{00000000-0010-0000-2D00-000006000000}" name="جامبو" dataDxfId="1440"/>
    <tableColumn id="7" xr3:uid="{00000000-0010-0000-2D00-000007000000}" name="الاقامة" dataDxfId="1440"/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00000000-000C-0000-FFFF-FFFF2E000000}" name="Table187054" displayName="Table187054" ref="N70:R72" totalsRowShown="0">
  <autoFilter ref="N70:R72" xr:uid="{00000000-0009-0000-0100-000035000000}"/>
  <tableColumns count="5">
    <tableColumn id="1" xr3:uid="{00000000-0010-0000-2E00-000001000000}" name="Column1" dataDxfId="1433"/>
    <tableColumn id="4" xr3:uid="{00000000-0010-0000-2E00-000004000000}" name="Column22" dataDxfId="1433"/>
    <tableColumn id="5" xr3:uid="{00000000-0010-0000-2E00-000005000000}" name="Column23" dataDxfId="1433"/>
    <tableColumn id="3" xr3:uid="{00000000-0010-0000-2E00-000003000000}" name="Column3" dataDxfId="1449">
      <calculatedColumnFormula>IF((Q66="المقطم"),0.3,IF((Q66="التجمع"),0.3,IF((Q66="الشيخ زايد"),0.3,IF((Q66="الاسكندرية"),0.5,0.35))))</calculatedColumnFormula>
    </tableColumn>
    <tableColumn id="2" xr3:uid="{00000000-0010-0000-2E00-000002000000}" name="Column2" dataDxfId="1441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0" xr:uid="{7BE833DC-B154-46A0-9FF7-9D2C976EEBFB}" name="Table1381" displayName="Table1381" ref="A2:H22" totalsRowCount="1" headerRowDxfId="1402">
  <autoFilter ref="A2:H21" xr:uid="{00000000-0009-0000-0100-000001000000}"/>
  <tableColumns count="8">
    <tableColumn id="9" xr3:uid="{00000000-0010-0000-0000-000009000000}" name="الخامة"/>
    <tableColumn id="2" xr3:uid="{00000000-0010-0000-0000-000002000000}" name="القطاع"/>
    <tableColumn id="3" xr3:uid="{00000000-0010-0000-0000-000003000000}" name="الشركة المنتجة"/>
    <tableColumn id="4" xr3:uid="{00000000-0010-0000-0000-000004000000}" name="وزن المتر"/>
    <tableColumn id="5" xr3:uid="{00000000-0010-0000-0000-000005000000}" name="الطول"/>
    <tableColumn id="6" xr3:uid="{00000000-0010-0000-0000-000006000000}" name="الوزن">
      <calculatedColumnFormula>Table1381[[#This Row],[الطول]]*Table1381[[#This Row],[وزن المتر]]</calculatedColumnFormula>
    </tableColumn>
    <tableColumn id="7" xr3:uid="{00000000-0010-0000-0000-000007000000}" name="السعر"/>
    <tableColumn id="8" xr3:uid="{00000000-0010-0000-0000-000008000000}" name="التكلفة" totalsRowFunction="sum" totalsRowDxfId="1399">
      <calculatedColumnFormula>Table1381[[#This Row],[السعر]]*Table1381[[#This Row],[الوزن]]</calculatedColumnFormula>
    </tableColumn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00000000-000C-0000-FFFF-FFFF2F000000}" name="Table15855" displayName="Table15855" ref="L5:W8" totalsRowCount="1">
  <autoFilter ref="L5:W7" xr:uid="{00000000-0009-0000-0100-000036000000}"/>
  <sortState xmlns:xlrd2="http://schemas.microsoft.com/office/spreadsheetml/2017/richdata2" ref="L5:W7">
    <sortCondition ref="L5:L33"/>
  </sortState>
  <tableColumns count="12">
    <tableColumn id="1" xr3:uid="{00000000-0010-0000-2F00-000001000000}" name="م" dataDxfId="1420"/>
    <tableColumn id="2" xr3:uid="{00000000-0010-0000-2F00-000002000000}" name="عدد" dataDxfId="1420">
      <calculatedColumnFormula>IF((N2="c1"),3,IF((N2="c2"),4,IF((N2="d1"),4,IF((N2="d2"),5,0))))</calculatedColumnFormula>
    </tableColumn>
    <tableColumn id="3" xr3:uid="{00000000-0010-0000-2F00-000003000000}" name="بيان" totalsRowLabel="Total" dataDxfId="1420"/>
    <tableColumn id="11" xr3:uid="{00000000-0010-0000-2F00-00000B000000}" name="Column2" dataDxfId="1420"/>
    <tableColumn id="10" xr3:uid="{00000000-0010-0000-2F00-00000A000000}" name="Column1" dataDxfId="1420"/>
    <tableColumn id="12" xr3:uid="{00000000-0010-0000-2F00-00000C000000}" name="المسطح" totalsRowFunction="sum" dataDxfId="1429">
      <calculatedColumnFormula>(Table15855[[#This Row],[Column1]]+Table15855[[#This Row],[Column2]])*12*Table15855[[#This Row],[عدد]]</calculatedColumnFormula>
    </tableColumn>
    <tableColumn id="4" xr3:uid="{00000000-0010-0000-2F00-000004000000}" name="الوحده" dataDxfId="1420"/>
    <tableColumn id="5" xr3:uid="{00000000-0010-0000-2F00-000005000000}" name="الوزن" totalsRowFunction="custom">
      <totalsRowFormula>(S7*M7)</totalsRowFormula>
    </tableColumn>
    <tableColumn id="6" xr3:uid="{00000000-0010-0000-2F00-000006000000}" name="سعر الكيلو" dataDxfId="1422"/>
    <tableColumn id="7" xr3:uid="{00000000-0010-0000-2F00-000007000000}" name="سعر الشبك " dataDxfId="1455">
      <calculatedColumnFormula>S6*$S$2/1000</calculatedColumnFormula>
    </tableColumn>
    <tableColumn id="8" xr3:uid="{00000000-0010-0000-2F00-000008000000}" name="اجمالي" totalsRowFunction="sum" dataDxfId="1425">
      <calculatedColumnFormula>M6*U6</calculatedColumnFormula>
    </tableColumn>
    <tableColumn id="9" xr3:uid="{00000000-0010-0000-2F00-000009000000}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30000000}" name="Table133" displayName="Table133" ref="A2:C10" totalsRowShown="0">
  <autoFilter ref="A2:C10" xr:uid="{00000000-0009-0000-0100-000020000000}"/>
  <tableColumns count="3">
    <tableColumn id="1" xr3:uid="{00000000-0010-0000-3000-000001000000}" name="شكل" dataDxfId="732"/>
    <tableColumn id="2" xr3:uid="{00000000-0010-0000-3000-000002000000}" name="المقاس" dataDxfId="1450"/>
    <tableColumn id="4" xr3:uid="{00000000-0010-0000-3000-000004000000}" name="ميزان" dataDxfId="707"/>
  </tableColumns>
  <tableStyleInfo name="TableStyleLight16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00000000-000C-0000-FFFF-FFFF31000000}" name="Table334" displayName="Table334" ref="E2:F6" totalsRowShown="0">
  <autoFilter ref="E2:F6" xr:uid="{00000000-0009-0000-0100-000021000000}"/>
  <tableColumns count="2">
    <tableColumn id="1" xr3:uid="{00000000-0010-0000-3100-000001000000}" name="Column1" dataDxfId="706"/>
    <tableColumn id="2" xr3:uid="{00000000-0010-0000-3100-000002000000}" name="Column2" dataDxfId="1450"/>
  </tableColumns>
  <tableStyleInfo name="TableStyleLight17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00000000-000C-0000-FFFF-FFFF32000000}" name="Table4" displayName="Table4" ref="H2:K13" totalsRowCount="1">
  <autoFilter ref="H2:K12" xr:uid="{00000000-0009-0000-0100-000022000000}"/>
  <tableColumns count="4">
    <tableColumn id="1" xr3:uid="{00000000-0010-0000-3200-000001000000}" name="Column1" totalsRowLabel="Total" dataDxfId="1450" totalsRowDxfId="726"/>
    <tableColumn id="2" xr3:uid="{00000000-0010-0000-3200-000002000000}" name="عدد/الشمسية" dataDxfId="702" totalsRowDxfId="722"/>
    <tableColumn id="3" xr3:uid="{00000000-0010-0000-3200-000003000000}" name="سعر الوحدة" dataDxfId="1450" totalsRowDxfId="1456"/>
    <tableColumn id="4" xr3:uid="{00000000-0010-0000-3200-000004000000}" name="قيمة" totalsRowFunction="sum" dataDxfId="1450" totalsRowDxfId="720"/>
  </tableColumns>
  <tableStyleInfo name="TableStyleLight18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00000000-000C-0000-FFFF-FFFF33000000}" name="Table1636" displayName="Table1636" ref="H15:K23" totalsRowShown="0">
  <autoFilter ref="H15:K23" xr:uid="{00000000-0009-0000-0100-000023000000}"/>
  <tableColumns count="4">
    <tableColumn id="1" xr3:uid="{00000000-0010-0000-3300-000001000000}" name="المقاس" dataDxfId="1450"/>
    <tableColumn id="2" xr3:uid="{00000000-0010-0000-3300-000002000000}" name="امتار عادية" dataDxfId="1450"/>
    <tableColumn id="4" xr3:uid="{00000000-0010-0000-3300-000004000000}" name="امتار single" dataDxfId="1450"/>
    <tableColumn id="6" xr3:uid="{00000000-0010-0000-3300-000006000000}" name="امتار douple" dataDxfId="1450"/>
  </tableColumns>
  <tableStyleInfo name="TableStyleLight16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00000000-000C-0000-FFFF-FFFF34000000}" name="Table637" displayName="Table637" ref="E7:F10" totalsRowShown="0">
  <autoFilter ref="E7:F10" xr:uid="{00000000-0009-0000-0100-000024000000}"/>
  <tableColumns count="2">
    <tableColumn id="1" xr3:uid="{00000000-0010-0000-3400-000001000000}" name="Column1" dataDxfId="1450"/>
    <tableColumn id="2" xr3:uid="{00000000-0010-0000-3400-000002000000}" name="Column2" dataDxfId="1450">
      <calculatedColumnFormula>W9</calculatedColumnFormula>
    </tableColumn>
  </tableColumns>
  <tableStyleInfo name="TableStyleLight17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00000000-000C-0000-FFFF-FFFF35000000}" name="Table738" displayName="Table738" ref="E16:F20" totalsRowShown="0">
  <autoFilter ref="E16:F20" xr:uid="{00000000-0009-0000-0100-000025000000}"/>
  <tableColumns count="2">
    <tableColumn id="1" xr3:uid="{00000000-0010-0000-3500-000001000000}" name="Column1"/>
    <tableColumn id="2" xr3:uid="{00000000-0010-0000-3500-000002000000}" name="Column2"/>
  </tableColumns>
  <tableStyleInfo name="TableStyleLight17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00000000-000C-0000-FFFF-FFFF36000000}" name="Table2" displayName="Table2" ref="M2:O16" totalsRowShown="0">
  <autoFilter ref="M2:O16" xr:uid="{00000000-0009-0000-0100-000026000000}"/>
  <tableColumns count="3">
    <tableColumn id="1" xr3:uid="{00000000-0010-0000-3600-000001000000}" name="البيان" dataDxfId="709"/>
    <tableColumn id="2" xr3:uid="{00000000-0010-0000-3600-000002000000}" name="الناتج" dataDxfId="710"/>
    <tableColumn id="3" xr3:uid="{00000000-0010-0000-3600-000003000000}" name="Column1" dataDxfId="1457"/>
  </tableColumns>
  <tableStyleInfo name="TableStyleMedium2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00000000-000C-0000-FFFF-FFFF37000000}" name="Table122" displayName="Table122" ref="S2:T4" totalsRowShown="0">
  <autoFilter ref="S2:T4" xr:uid="{00000000-0009-0000-0100-00002E000000}"/>
  <tableColumns count="2">
    <tableColumn id="2" xr3:uid="{00000000-0010-0000-3700-000002000000}" name="المقاس" dataDxfId="708"/>
    <tableColumn id="4" xr3:uid="{00000000-0010-0000-3700-000004000000}" name="ميزان" dataDxfId="1458"/>
  </tableColumns>
  <tableStyleInfo name="TableStyleLight16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00000000-000C-0000-FFFF-FFFF38000000}" name="Table323" displayName="Table323" ref="V2:W6" totalsRowShown="0">
  <autoFilter ref="V2:W6" xr:uid="{00000000-0009-0000-0100-00002F000000}"/>
  <tableColumns count="2">
    <tableColumn id="1" xr3:uid="{00000000-0010-0000-3800-000001000000}" name="Column1" dataDxfId="1459"/>
    <tableColumn id="2" xr3:uid="{00000000-0010-0000-3800-000002000000}" name="Column2" dataDxfId="1450"/>
  </tableColumns>
  <tableStyleInfo name="TableStyleLight17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1" xr:uid="{BC60BA97-1AA4-4A04-A314-EDA3FFC35F18}" name="Table1102" displayName="Table1102" ref="O3:W22" totalsRowCount="1">
  <autoFilter ref="O3:W21" xr:uid="{BC60BA97-1AA4-4A04-A314-EDA3FFC35F18}"/>
  <tableColumns count="9">
    <tableColumn id="1" xr3:uid="{07109B11-8AA1-414B-9EF2-0E53B92B6740}" name="م" totalsRowLabel="Total" dataDxfId="1389" totalsRowDxfId="1396"/>
    <tableColumn id="2" xr3:uid="{BFD71D91-82BE-4E36-ABA2-D621CC74A72F}" name="الصنف" dataDxfId="1417" totalsRowDxfId="1392"/>
    <tableColumn id="3" xr3:uid="{FA2200A0-4790-4626-B4EF-26AF375E7D08}" name="الوحده" dataDxfId="1417" totalsRowDxfId="1418"/>
    <tableColumn id="13" xr3:uid="{1B9DE2C2-E66F-49FF-BF0C-4005C087BC2A}" name="متطلبات انتاج الشمسيه 2.5" dataDxfId="1391" totalsRowDxfId="1388"/>
    <tableColumn id="4" xr3:uid="{A25EDD6F-7BF8-4633-A44E-9AA34FABA3E5}" name="متطلبات انتاج الشمسيه 3" dataDxfId="1417" totalsRowDxfId="1419"/>
    <tableColumn id="9" xr3:uid="{F8C4B6ED-C6D0-4793-8425-4DB2E6AEB8C7}" name="حهة التصنيع" dataDxfId="1387" totalsRowDxfId="1386"/>
    <tableColumn id="10" xr3:uid="{07E26081-B66A-4CF4-A6F3-959C28FB1681}" name="سعر" dataDxfId="1385" totalsRowDxfId="1384"/>
    <tableColumn id="11" xr3:uid="{533F2344-E7A1-4D72-BD1C-8B42EA41C0CA}" name="3" totalsRowFunction="sum" dataDxfId="1383" totalsRowDxfId="91">
      <calculatedColumnFormula>U4*S4</calculatedColumnFormula>
    </tableColumn>
    <tableColumn id="12" xr3:uid="{D07D845E-2930-453E-8278-6592A65F5FE9}" name="2.5" totalsRowFunction="sum" dataDxfId="1381" totalsRowDxfId="93">
      <calculatedColumnFormula>Table1102[[#This Row],[متطلبات انتاج الشمسيه 2.5]]*Table1102[[#This Row],[سعر]]</calculatedColumnFormula>
    </tableColumn>
  </tableColumns>
  <tableStyleInfo name="TableStyleLight17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00000000-000C-0000-FFFF-FFFF39000000}" name="Table424" displayName="Table424" ref="Y2:AB15" totalsRowCount="1">
  <autoFilter ref="Y2:AB14" xr:uid="{00000000-0009-0000-0100-000030000000}"/>
  <tableColumns count="4">
    <tableColumn id="1" xr3:uid="{00000000-0010-0000-3900-000001000000}" name="Column1" totalsRowLabel="Total" dataDxfId="1450" totalsRowDxfId="1431"/>
    <tableColumn id="2" xr3:uid="{00000000-0010-0000-3900-000002000000}" name="عدد/الشمسية" dataDxfId="1460" totalsRowDxfId="1431"/>
    <tableColumn id="3" xr3:uid="{00000000-0010-0000-3900-000003000000}" name="سعر الوحدة" dataDxfId="1450" totalsRowDxfId="1431"/>
    <tableColumn id="4" xr3:uid="{00000000-0010-0000-3900-000004000000}" name="قيمة" totalsRowFunction="sum" dataDxfId="1450" totalsRowDxfId="1431"/>
  </tableColumns>
  <tableStyleInfo name="TableStyleLight18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00000000-000C-0000-FFFF-FFFF3A000000}" name="Table1625" displayName="Table1625" ref="Y17:AB19" totalsRowShown="0">
  <autoFilter ref="Y17:AB19" xr:uid="{00000000-0009-0000-0100-000031000000}"/>
  <tableColumns count="4">
    <tableColumn id="1" xr3:uid="{00000000-0010-0000-3A00-000001000000}" name="المقاس" dataDxfId="1450"/>
    <tableColumn id="2" xr3:uid="{00000000-0010-0000-3A00-000002000000}" name="امتار عادية" dataDxfId="1450"/>
    <tableColumn id="4" xr3:uid="{00000000-0010-0000-3A00-000004000000}" name="امتار single" dataDxfId="1450"/>
    <tableColumn id="6" xr3:uid="{00000000-0010-0000-3A00-000006000000}" name="امتار douple" dataDxfId="1450"/>
  </tableColumns>
  <tableStyleInfo name="TableStyleLight16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00000000-000C-0000-FFFF-FFFF3B000000}" name="Table626" displayName="Table626" ref="V7:W11" totalsRowShown="0">
  <autoFilter ref="V7:W11" xr:uid="{00000000-0009-0000-0100-000032000000}"/>
  <tableColumns count="2">
    <tableColumn id="1" xr3:uid="{00000000-0010-0000-3B00-000001000000}" name="Column1" dataDxfId="1450"/>
    <tableColumn id="2" xr3:uid="{00000000-0010-0000-3B00-000002000000}" name="Column2" dataDxfId="1450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00000000-000C-0000-FFFF-FFFF3C000000}" name="Table727" displayName="Table727" ref="V17:W20" totalsRowShown="0">
  <autoFilter ref="V17:W20" xr:uid="{00000000-0009-0000-0100-000033000000}"/>
  <tableColumns count="2">
    <tableColumn id="1" xr3:uid="{00000000-0010-0000-3C00-000001000000}" name="Column1" dataDxfId="686"/>
    <tableColumn id="2" xr3:uid="{00000000-0010-0000-3C00-000002000000}" name="Column2" dataDxfId="1461"/>
  </tableColumns>
  <tableStyleInfo name="TableStyleLight17" showFirstColumn="0" showLastColumn="0" showRowStripes="1" showColumnStripes="0"/>
</table>
</file>

<file path=xl/tables/table6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00000000-000C-0000-FFFF-FFFF3D000000}" name="Table221" displayName="Table221" ref="AD2:AF12" totalsRowShown="0">
  <autoFilter ref="AD2:AF12" xr:uid="{00000000-0009-0000-0100-000034000000}"/>
  <tableColumns count="3">
    <tableColumn id="1" xr3:uid="{00000000-0010-0000-3D00-000001000000}" name="البيان" dataDxfId="1461"/>
    <tableColumn id="2" xr3:uid="{00000000-0010-0000-3D00-000002000000}" name="الناتج" dataDxfId="687"/>
    <tableColumn id="3" xr3:uid="{00000000-0010-0000-3D00-000003000000}" name="Column1" dataDxfId="1461"/>
  </tableColumns>
  <tableStyleInfo name="TableStyleMedium2" showFirstColumn="0" showLastColumn="0" showRowStripes="1" showColumnStripes="0"/>
</table>
</file>

<file path=xl/tables/table6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3E000000}" name="Table12" displayName="Table12" ref="A27:G54" totalsRowCount="1">
  <autoFilter ref="A27:G53" xr:uid="{00000000-0009-0000-0100-00000C000000}"/>
  <tableColumns count="7">
    <tableColumn id="1" xr3:uid="{00000000-0010-0000-3E00-000001000000}" name="عدد" totalsRowLabel="Total" dataDxfId="646" totalsRowDxfId="645">
      <calculatedColumnFormula>ROUND((F4+F5)*0.4/3,0)</calculatedColumnFormula>
    </tableColumn>
    <tableColumn id="2" xr3:uid="{00000000-0010-0000-3E00-000002000000}" name="ميزان"/>
    <tableColumn id="3" xr3:uid="{00000000-0010-0000-3E00-000003000000}" name="بيان"/>
    <tableColumn id="4" xr3:uid="{00000000-0010-0000-3E00-000004000000}" name="سعر"/>
    <tableColumn id="5" xr3:uid="{00000000-0010-0000-3E00-000005000000}" name="Column5" totalsRowFunction="sum" totalsRowDxfId="1462">
      <calculatedColumnFormula>Table12[[#This Row],[سعر]]*Table12[[#This Row],[ميزان]]*Table12[[#This Row],[عدد]]</calculatedColumnFormula>
    </tableColumn>
    <tableColumn id="6" xr3:uid="{00000000-0010-0000-3E00-000006000000}" name="Column6" totalsRowFunction="custom" totalsRowDxfId="1462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xr3:uid="{00000000-0010-0000-3E00-000007000000}" name="Column7" totalsRowFunction="count"/>
  </tableColumns>
  <tableStyleInfo name="TableStyleLight17" showFirstColumn="0" showLastColumn="0" showRowStripes="1" showColumnStripes="0"/>
</table>
</file>

<file path=xl/tables/table6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00000000-000C-0000-FFFF-FFFF3F000000}" name="Table161243" displayName="Table161243" ref="I30:S44" totalsRowCount="1">
  <autoFilter ref="I30:S43" xr:uid="{00000000-0009-0000-0100-00002A000000}"/>
  <tableColumns count="11">
    <tableColumn id="2" xr3:uid="{00000000-0010-0000-3F00-000002000000}" name="الايام" dataDxfId="1441" totalsRowDxfId="1428">
      <calculatedColumnFormula>I28</calculatedColumnFormula>
    </tableColumn>
    <tableColumn id="3" xr3:uid="{00000000-0010-0000-3F00-000003000000}" name="بيان" totalsRowLabel="Total" dataDxfId="631" totalsRowDxfId="1428"/>
    <tableColumn id="5" xr3:uid="{00000000-0010-0000-3F00-000005000000}" name="اليومية / الاجرة" dataDxfId="1438" totalsRowDxfId="1428"/>
    <tableColumn id="6" xr3:uid="{00000000-0010-0000-3F00-000006000000}" name="بدل الوجبة" dataDxfId="1439" totalsRowDxfId="1428"/>
    <tableColumn id="11" xr3:uid="{00000000-0010-0000-3F00-00000B000000}" name="موقع العمل" dataDxfId="1433" totalsRowDxfId="1428">
      <calculatedColumnFormula>تسعير!$T$45</calculatedColumnFormula>
    </tableColumn>
    <tableColumn id="10" xr3:uid="{00000000-0010-0000-3F00-00000A000000}" name="شيفت العمل" dataDxfId="1420" totalsRowDxfId="1428"/>
    <tableColumn id="12" xr3:uid="{00000000-0010-0000-3F00-00000C000000}" name="Column12" totalsRowFunction="sum" dataDxfId="1429" totalsRowDxfId="1430">
      <calculatedColumnFormula>SUMIF(Table17[Column1],Table161243[[#This Row],[موقع العمل]],Table17[الاقامة])</calculatedColumnFormula>
    </tableColumn>
    <tableColumn id="4" xr3:uid="{00000000-0010-0000-3F00-000004000000}" name="عدد الايام" dataDxfId="1447" totalsRowDxfId="1428"/>
    <tableColumn id="7" xr3:uid="{00000000-0010-0000-3F00-000007000000}" name="اجمالي التكلفة للعامل" dataDxfId="1448" totalsRowDxfId="1435">
      <calculatedColumnFormula>Table161243[[#This Row],[Column12]]</calculatedColumnFormula>
    </tableColumn>
    <tableColumn id="8" xr3:uid="{00000000-0010-0000-3F00-000008000000}" name="اجمالي" totalsRowFunction="sum" dataDxfId="1425" totalsRowDxfId="1436">
      <calculatedColumnFormula>I31*Q31</calculatedColumnFormula>
    </tableColumn>
    <tableColumn id="9" xr3:uid="{00000000-0010-0000-3F00-000009000000}" name="%" totalsRowFunction="custom" totalsRowDxfId="1437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6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00000000-000C-0000-FFFF-FFFF40000000}" name="Table1856" displayName="Table1856" ref="J47:N51" totalsRowShown="0">
  <autoFilter ref="J47:N51" xr:uid="{00000000-0009-0000-0100-000037000000}"/>
  <tableColumns count="5">
    <tableColumn id="1" xr3:uid="{00000000-0010-0000-4000-000001000000}" name="Column1" dataDxfId="1433"/>
    <tableColumn id="4" xr3:uid="{00000000-0010-0000-4000-000004000000}" name="Column22" dataDxfId="1433"/>
    <tableColumn id="5" xr3:uid="{00000000-0010-0000-4000-000005000000}" name="Column23" dataDxfId="1433"/>
    <tableColumn id="3" xr3:uid="{00000000-0010-0000-4000-000003000000}" name="Column3" dataDxfId="1449">
      <calculatedColumnFormula>IF((M37="المقطم"),0.3,IF((M37="التجمع"),0.3,IF((M37="الشيخ زايد"),0.3,IF((M37="الاسكندرية"),0.5,IF((M37="الساحل"),0.5,0.35)))))</calculatedColumnFormula>
    </tableColumn>
    <tableColumn id="2" xr3:uid="{00000000-0010-0000-4000-000002000000}" name="Column2" dataDxfId="1441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6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00000000-000C-0000-FFFF-FFFF41000000}" name="Table1257" displayName="Table1257" ref="A60:G88" totalsRowCount="1">
  <autoFilter ref="A60:G87" xr:uid="{00000000-0009-0000-0100-000038000000}"/>
  <tableColumns count="7">
    <tableColumn id="1" xr3:uid="{00000000-0010-0000-4100-000001000000}" name="عدد" totalsRowLabel="Total" dataDxfId="1463" totalsRowDxfId="1464">
      <calculatedColumnFormula>ROUND((F36+F37)*0.4/3,0)</calculatedColumnFormula>
    </tableColumn>
    <tableColumn id="2" xr3:uid="{00000000-0010-0000-4100-000002000000}" name="ميزان"/>
    <tableColumn id="3" xr3:uid="{00000000-0010-0000-4100-000003000000}" name="بيان"/>
    <tableColumn id="4" xr3:uid="{00000000-0010-0000-4100-000004000000}" name="سعر"/>
    <tableColumn id="5" xr3:uid="{00000000-0010-0000-4100-000005000000}" name="Column5" totalsRowFunction="sum" totalsRowDxfId="1462">
      <calculatedColumnFormula>Table1257[[#This Row],[سعر]]*Table1257[[#This Row],[ميزان]]*Table1257[[#This Row],[عدد]]</calculatedColumnFormula>
    </tableColumn>
    <tableColumn id="6" xr3:uid="{00000000-0010-0000-4100-000006000000}" name="Column6" totalsRowFunction="custom" totalsRowDxfId="1462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xr3:uid="{00000000-0010-0000-4100-000007000000}" name="Column7" totalsRowFunction="count"/>
  </tableColumns>
  <tableStyleInfo name="TableStyleLight17" showFirstColumn="0" showLastColumn="0" showRowStripes="1" showColumnStripes="0"/>
</table>
</file>

<file path=xl/tables/table6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00000000-000C-0000-FFFF-FFFF42000000}" name="Table16124360" displayName="Table16124360" ref="I63:S77" totalsRowCount="1">
  <autoFilter ref="I63:S76" xr:uid="{00000000-0009-0000-0100-00003B000000}"/>
  <tableColumns count="11">
    <tableColumn id="2" xr3:uid="{00000000-0010-0000-4200-000002000000}" name="عدد" dataDxfId="1441" totalsRowDxfId="1428">
      <calculatedColumnFormula>I61</calculatedColumnFormula>
    </tableColumn>
    <tableColumn id="3" xr3:uid="{00000000-0010-0000-4200-000003000000}" name="بيان" totalsRowLabel="Total" dataDxfId="1465" totalsRowDxfId="1428"/>
    <tableColumn id="5" xr3:uid="{00000000-0010-0000-4200-000005000000}" name="اليومية / الاجرة" dataDxfId="1438" totalsRowDxfId="1428"/>
    <tableColumn id="6" xr3:uid="{00000000-0010-0000-4200-000006000000}" name="بدل الوجبة" dataDxfId="1439" totalsRowDxfId="1428"/>
    <tableColumn id="11" xr3:uid="{00000000-0010-0000-4200-00000B000000}" name="موقع العمل" dataDxfId="1433" totalsRowDxfId="1428">
      <calculatedColumnFormula>تسعير!$T$63</calculatedColumnFormula>
    </tableColumn>
    <tableColumn id="10" xr3:uid="{00000000-0010-0000-4200-00000A000000}" name="شيفت العمل" dataDxfId="1420" totalsRowDxfId="1428"/>
    <tableColumn id="12" xr3:uid="{00000000-0010-0000-4200-00000C000000}" name="Column12" totalsRowFunction="sum" dataDxfId="1429" totalsRowDxfId="1430">
      <calculatedColumnFormula>SUMIF(Table17[Column1],Table16124360[[#This Row],[موقع العمل]],Table17[الاقامة])</calculatedColumnFormula>
    </tableColumn>
    <tableColumn id="4" xr3:uid="{00000000-0010-0000-4200-000004000000}" name="عدد الايام" dataDxfId="1447" totalsRowDxfId="1428"/>
    <tableColumn id="7" xr3:uid="{00000000-0010-0000-4200-000007000000}" name="اجمالي التكلفة للعامل" dataDxfId="1448" totalsRowDxfId="1435">
      <calculatedColumnFormula>Table16124360[[#This Row],[Column12]]</calculatedColumnFormula>
    </tableColumn>
    <tableColumn id="8" xr3:uid="{00000000-0010-0000-4200-000008000000}" name="اجمالي" totalsRowFunction="sum" dataDxfId="1425" totalsRowDxfId="1436">
      <calculatedColumnFormula>I64*Q64</calculatedColumnFormula>
    </tableColumn>
    <tableColumn id="9" xr3:uid="{00000000-0010-0000-4200-000009000000}" name="%" totalsRowFunction="custom" totalsRowDxfId="1437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4000000}" name="Table1" displayName="Table1" ref="A5:L9" totalsRowCount="1">
  <autoFilter ref="A5:L8" xr:uid="{00000000-0009-0000-0100-000001000000}"/>
  <sortState xmlns:xlrd2="http://schemas.microsoft.com/office/spreadsheetml/2017/richdata2" ref="A5:L8">
    <sortCondition ref="A5:A33"/>
  </sortState>
  <tableColumns count="12">
    <tableColumn id="1" xr3:uid="{00000000-0010-0000-0400-000001000000}" name="م" dataDxfId="50" totalsRowDxfId="46"/>
    <tableColumn id="2" xr3:uid="{00000000-0010-0000-0400-000002000000}" name="عدد" dataDxfId="1420" totalsRowDxfId="1421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xr3:uid="{00000000-0010-0000-0400-000003000000}" name="بيان" totalsRowLabel="Total" dataDxfId="1420" totalsRowDxfId="1421"/>
    <tableColumn id="11" xr3:uid="{00000000-0010-0000-0400-00000B000000}" name="Column2" dataDxfId="1420" totalsRowDxfId="1421"/>
    <tableColumn id="10" xr3:uid="{00000000-0010-0000-0400-00000A000000}" name="Column1" dataDxfId="1420" totalsRowDxfId="1421"/>
    <tableColumn id="12" xr3:uid="{00000000-0010-0000-0400-00000C000000}" name="المسطح" totalsRowFunction="sum" dataDxfId="52" totalsRowDxfId="51">
      <calculatedColumnFormula>(Table1[[#This Row],[Column1]]+Table1[[#This Row],[Column2]])*12*Table1[[#This Row],[عدد]]</calculatedColumnFormula>
    </tableColumn>
    <tableColumn id="4" xr3:uid="{00000000-0010-0000-0400-000004000000}" name="الوحده" dataDxfId="1420" totalsRowDxfId="1421"/>
    <tableColumn id="5" xr3:uid="{00000000-0010-0000-0400-000005000000}" name="الوزن" totalsRowFunction="custom" totalsRowDxfId="1421">
      <totalsRowFormula>(H6*B6)+(H8*B8)+(H7*B7)</totalsRowFormula>
    </tableColumn>
    <tableColumn id="6" xr3:uid="{00000000-0010-0000-0400-000006000000}" name="مسطح" dataDxfId="47" totalsRowDxfId="1421"/>
    <tableColumn id="7" xr3:uid="{00000000-0010-0000-0400-000007000000}" name="سعر الشبك " dataDxfId="119" totalsRowDxfId="44">
      <calculatedColumnFormula>H6*$H$2/1000</calculatedColumnFormula>
    </tableColumn>
    <tableColumn id="8" xr3:uid="{00000000-0010-0000-0400-000008000000}" name="اجمالي" totalsRowFunction="sum" dataDxfId="43" totalsRowDxfId="42">
      <calculatedColumnFormula>B6*J6</calculatedColumnFormula>
    </tableColumn>
    <tableColumn id="9" xr3:uid="{00000000-0010-0000-0400-000009000000}" name="%" totalsRowFunction="custom" totalsRowDxfId="41">
      <calculatedColumnFormula>Table1[[#Totals],[اجمالي]]/$G$83</calculatedColumnFormula>
      <totalsRowFormula>Table1[[#Totals],[اجمالي]]/$G$83</totalsRow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4" xr:uid="{00000000-000C-0000-FFFF-FFFF43000000}" name="Table185665" displayName="Table185665" ref="J80:N84" totalsRowShown="0">
  <autoFilter ref="J80:N84" xr:uid="{00000000-0009-0000-0100-000040000000}"/>
  <tableColumns count="5">
    <tableColumn id="1" xr3:uid="{00000000-0010-0000-4300-000001000000}" name="Column1" dataDxfId="1433"/>
    <tableColumn id="4" xr3:uid="{00000000-0010-0000-4300-000004000000}" name="Column22" dataDxfId="1433"/>
    <tableColumn id="5" xr3:uid="{00000000-0010-0000-4300-000005000000}" name="Column23" dataDxfId="1433"/>
    <tableColumn id="3" xr3:uid="{00000000-0010-0000-4300-000003000000}" name="Column3" dataDxfId="1449">
      <calculatedColumnFormula>IF((M70="المقطم"),0.3,IF((M70="التجمع"),0.3,IF((M70="الشيخ زايد"),0.3,IF((M70="الاسكندرية"),0.5,IF((M70="الساحل"),0.5,0.35)))))</calculatedColumnFormula>
    </tableColumn>
    <tableColumn id="2" xr3:uid="{00000000-0010-0000-4300-000002000000}" name="Column2" dataDxfId="1441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0" xr:uid="{00000000-000C-0000-FFFF-FFFF44000000}" name="Table135971" displayName="Table135971" ref="L27:W43" totalsRowCount="1">
  <autoFilter ref="L27:W42" xr:uid="{00000000-0009-0000-0100-000046000000}"/>
  <tableColumns count="12">
    <tableColumn id="1" xr3:uid="{00000000-0010-0000-4400-000001000000}" name="م" totalsRowLabel="Total" dataDxfId="1420" totalsRowDxfId="1421"/>
    <tableColumn id="2" xr3:uid="{00000000-0010-0000-4400-000002000000}" name="عدد" dataDxfId="1422" totalsRowDxfId="1421"/>
    <tableColumn id="3" xr3:uid="{00000000-0010-0000-4400-000003000000}" name="بيان" totalsRowLabel="Total" dataDxfId="1420" totalsRowDxfId="1421"/>
    <tableColumn id="11" xr3:uid="{00000000-0010-0000-4400-00000B000000}" name="Column2" dataDxfId="1420" totalsRowDxfId="1421"/>
    <tableColumn id="10" xr3:uid="{00000000-0010-0000-4400-00000A000000}" name="Column1" dataDxfId="1420" totalsRowDxfId="1421"/>
    <tableColumn id="12" xr3:uid="{00000000-0010-0000-4400-00000C000000}" name="Column12" dataDxfId="1420" totalsRowDxfId="1421"/>
    <tableColumn id="4" xr3:uid="{00000000-0010-0000-4400-000004000000}" name="الوحده" totalsRowLabel="total" dataDxfId="1420" totalsRowDxfId="1421"/>
    <tableColumn id="5" xr3:uid="{00000000-0010-0000-4400-000005000000}" name="الوزن" dataDxfId="1420" totalsRowDxfId="1421"/>
    <tableColumn id="6" xr3:uid="{00000000-0010-0000-4400-000006000000}" name="سعر الكيلو" dataDxfId="1420" totalsRowDxfId="1421"/>
    <tableColumn id="7" xr3:uid="{00000000-0010-0000-4400-000007000000}" name="سعر الشبك " dataDxfId="1423" totalsRowDxfId="1424">
      <calculatedColumnFormula>Sheet2!B6</calculatedColumnFormula>
    </tableColumn>
    <tableColumn id="8" xr3:uid="{00000000-0010-0000-4400-000008000000}" name="اجمالي" totalsRowFunction="sum" dataDxfId="1425" totalsRowDxfId="1426">
      <calculatedColumnFormula>M28*U28</calculatedColumnFormula>
    </tableColumn>
    <tableColumn id="9" xr3:uid="{00000000-0010-0000-4400-000009000000}" name="%" totalsRowFunction="custom" totalsRowDxfId="1427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1" xr:uid="{00000000-000C-0000-FFFF-FFFF45000000}" name="Table156172" displayName="Table156172" ref="L13:W19" totalsRowCount="1">
  <autoFilter ref="L13:W18" xr:uid="{00000000-0009-0000-0100-000047000000}"/>
  <tableColumns count="12">
    <tableColumn id="1" xr3:uid="{00000000-0010-0000-4500-000001000000}" name="م" totalsRowLabel="Total" dataDxfId="1420" totalsRowDxfId="1421"/>
    <tableColumn id="2" xr3:uid="{00000000-0010-0000-4500-000002000000}" name="عدد" dataDxfId="1422" totalsRowDxfId="1421"/>
    <tableColumn id="3" xr3:uid="{00000000-0010-0000-4500-000003000000}" name="بيان" totalsRowLabel="Total" dataDxfId="1420" totalsRowDxfId="1421"/>
    <tableColumn id="11" xr3:uid="{00000000-0010-0000-4500-00000B000000}" name="Column2" dataDxfId="1420" totalsRowDxfId="1421"/>
    <tableColumn id="10" xr3:uid="{00000000-0010-0000-4500-00000A000000}" name="Column1" dataDxfId="1420" totalsRowDxfId="1421"/>
    <tableColumn id="12" xr3:uid="{00000000-0010-0000-4500-00000C000000}" name="Column12" dataDxfId="1429" totalsRowDxfId="1431"/>
    <tableColumn id="4" xr3:uid="{00000000-0010-0000-4500-000004000000}" name="الوحده" dataDxfId="1420" totalsRowDxfId="1421"/>
    <tableColumn id="5" xr3:uid="{00000000-0010-0000-4500-000005000000}" name="الوزن" dataDxfId="1420" totalsRowDxfId="1421"/>
    <tableColumn id="6" xr3:uid="{00000000-0010-0000-4500-000006000000}" name="سعر الكيلو" dataDxfId="1420" totalsRowDxfId="1421"/>
    <tableColumn id="7" xr3:uid="{00000000-0010-0000-4500-000007000000}" name="سعر الشبك " dataDxfId="1423" totalsRowDxfId="1424">
      <calculatedColumnFormula>Sheet2!B26</calculatedColumnFormula>
    </tableColumn>
    <tableColumn id="8" xr3:uid="{00000000-0010-0000-4500-000008000000}" name="اجمالي" totalsRowFunction="sum" dataDxfId="1425" totalsRowDxfId="1426">
      <calculatedColumnFormula>M14*U14</calculatedColumnFormula>
    </tableColumn>
    <tableColumn id="9" xr3:uid="{00000000-0010-0000-4500-000009000000}" name="%" totalsRowFunction="custom" totalsRowDxfId="1427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2" xr:uid="{00000000-000C-0000-FFFF-FFFF46000000}" name="Table166273" displayName="Table166273" ref="L21:W25" totalsRowCount="1">
  <autoFilter ref="L21:W24" xr:uid="{00000000-0009-0000-0100-000048000000}"/>
  <tableColumns count="12">
    <tableColumn id="1" xr3:uid="{00000000-0010-0000-4600-000001000000}" name="م" totalsRowLabel="Total" dataDxfId="1420"/>
    <tableColumn id="2" xr3:uid="{00000000-0010-0000-4600-000002000000}" name="عدد" totalsRowFunction="count" dataDxfId="1420">
      <calculatedColumnFormula>M20*4</calculatedColumnFormula>
    </tableColumn>
    <tableColumn id="3" xr3:uid="{00000000-0010-0000-4600-000003000000}" name="بيان" totalsRowLabel="Total" dataDxfId="1420"/>
    <tableColumn id="11" xr3:uid="{00000000-0010-0000-4600-00000B000000}" name="Column2" dataDxfId="1420"/>
    <tableColumn id="10" xr3:uid="{00000000-0010-0000-4600-00000A000000}" name="Column1" dataDxfId="1420"/>
    <tableColumn id="12" xr3:uid="{00000000-0010-0000-4600-00000C000000}" name="Column12" totalsRowFunction="sum" dataDxfId="1429">
      <calculatedColumnFormula>(Table166273[[#This Row],[Column1]]*Table166273[[#This Row],[Column2]])*Table166273[[#This Row],[عدد]]</calculatedColumnFormula>
    </tableColumn>
    <tableColumn id="4" xr3:uid="{00000000-0010-0000-4600-000004000000}" name="الوحده" dataDxfId="1420"/>
    <tableColumn id="5" xr3:uid="{00000000-0010-0000-4600-000005000000}" name="الوزن" totalsRowFunction="custom">
      <totalsRowFormula>(S23*M23)+(M24*S24)</totalsRowFormula>
    </tableColumn>
    <tableColumn id="6" xr3:uid="{00000000-0010-0000-4600-000006000000}" name="سعر الكيلو" dataDxfId="1422"/>
    <tableColumn id="7" xr3:uid="{00000000-0010-0000-4600-000007000000}" name="سعر الشبك " dataDxfId="1423">
      <calculatedColumnFormula>S22*$S$2/1000</calculatedColumnFormula>
    </tableColumn>
    <tableColumn id="8" xr3:uid="{00000000-0010-0000-4600-000008000000}" name="اجمالي" totalsRowFunction="sum" dataDxfId="1425">
      <calculatedColumnFormula>M22*U22</calculatedColumnFormula>
    </tableColumn>
    <tableColumn id="9" xr3:uid="{00000000-0010-0000-4600-000009000000}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3" xr:uid="{00000000-000C-0000-FFFF-FFFF47000000}" name="Table66374" displayName="Table66374" ref="AJ4:AM15" totalsRowShown="0">
  <autoFilter ref="AJ4:AM15" xr:uid="{00000000-0009-0000-0100-000049000000}"/>
  <tableColumns count="4">
    <tableColumn id="1" xr3:uid="{00000000-0010-0000-4700-000001000000}" name="المادة" dataDxfId="1432"/>
    <tableColumn id="2" xr3:uid="{00000000-0010-0000-4700-000002000000}" name="المعدل" dataDxfId="1432"/>
    <tableColumn id="3" xr3:uid="{00000000-0010-0000-4700-000003000000}" name="الوحدة" dataDxfId="1432"/>
    <tableColumn id="4" xr3:uid="{00000000-0010-0000-4700-000004000000}" name="Column4" dataDxfId="1442"/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4" xr:uid="{00000000-000C-0000-FFFF-FFFF48000000}" name="Table76475" displayName="Table76475" ref="AO4:AS19" totalsRowShown="0">
  <autoFilter ref="AO4:AS19" xr:uid="{00000000-0009-0000-0100-00004A000000}"/>
  <tableColumns count="5">
    <tableColumn id="1" xr3:uid="{00000000-0010-0000-4800-000001000000}" name="Column1" dataDxfId="1432"/>
    <tableColumn id="2" xr3:uid="{00000000-0010-0000-4800-000002000000}" name="Column2" dataDxfId="1442"/>
    <tableColumn id="3" xr3:uid="{00000000-0010-0000-4800-000003000000}" name="Column3" dataDxfId="1432"/>
    <tableColumn id="4" xr3:uid="{00000000-0010-0000-4800-000004000000}" name="Column4" dataDxfId="1432"/>
    <tableColumn id="5" xr3:uid="{00000000-0010-0000-4800-000005000000}" name="Column5" dataDxfId="1432"/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5" xr:uid="{00000000-000C-0000-FFFF-FFFF49000000}" name="Table16126776" displayName="Table16126776" ref="L51:W65" totalsRowCount="1">
  <autoFilter ref="L51:W64" xr:uid="{00000000-0009-0000-0100-00004B000000}"/>
  <tableColumns count="12">
    <tableColumn id="1" xr3:uid="{00000000-0010-0000-4900-000001000000}" name="م" totalsRowLabel="Total" dataDxfId="1420" totalsRowDxfId="1428"/>
    <tableColumn id="2" xr3:uid="{00000000-0010-0000-4900-000002000000}" name="عدد" dataDxfId="1441" totalsRowDxfId="1428">
      <calculatedColumnFormula>IF((تسعير!$AU$14="بالتات"),0,M49-2)</calculatedColumnFormula>
    </tableColumn>
    <tableColumn id="3" xr3:uid="{00000000-0010-0000-4900-000003000000}" name="بيان" totalsRowLabel="Total" dataDxfId="1438" totalsRowDxfId="1428"/>
    <tableColumn id="5" xr3:uid="{00000000-0010-0000-4900-000005000000}" name="اليومية / الاجرة" dataDxfId="1438" totalsRowDxfId="1428"/>
    <tableColumn id="6" xr3:uid="{00000000-0010-0000-4900-000006000000}" name="بدل الوجبة" dataDxfId="1439" totalsRowDxfId="1428"/>
    <tableColumn id="11" xr3:uid="{00000000-0010-0000-4900-00000B000000}" name="موقع العمل" dataDxfId="1433" totalsRowDxfId="1428">
      <calculatedColumnFormula>تسعير!$AT$24</calculatedColumnFormula>
    </tableColumn>
    <tableColumn id="10" xr3:uid="{00000000-0010-0000-4900-00000A000000}" name="شيفت العمل" dataDxfId="1420" totalsRowDxfId="1428"/>
    <tableColumn id="12" xr3:uid="{00000000-0010-0000-4900-00000C000000}" name="Column12" totalsRowFunction="sum" dataDxfId="1429" totalsRowDxfId="1430">
      <calculatedColumnFormula>SUMIF(Table176978[Column1],Table16126776[[#This Row],[موقع العمل]],$AE$2:$AE$8)</calculatedColumnFormula>
    </tableColumn>
    <tableColumn id="4" xr3:uid="{00000000-0010-0000-4900-000004000000}" name="عدد الايام" dataDxfId="1447" totalsRowDxfId="1428"/>
    <tableColumn id="7" xr3:uid="{00000000-0010-0000-4900-000007000000}" name="اجمالي التكلفة للعامل" dataDxfId="1448" totalsRowDxfId="1435">
      <calculatedColumnFormula>Table16126776[[#This Row],[Column12]]</calculatedColumnFormula>
    </tableColumn>
    <tableColumn id="8" xr3:uid="{00000000-0010-0000-4900-000008000000}" name="اجمالي" totalsRowFunction="sum" dataDxfId="1425" totalsRowDxfId="1436">
      <calculatedColumnFormula>M52*U52</calculatedColumnFormula>
    </tableColumn>
    <tableColumn id="9" xr3:uid="{00000000-0010-0000-4900-000009000000}" name="%" totalsRowFunction="custom" totalsRowDxfId="1437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6" xr:uid="{00000000-000C-0000-FFFF-FFFF4A000000}" name="Table16136877" displayName="Table16136877" ref="L46:W49" totalsRowCount="1">
  <autoFilter ref="L46:W48" xr:uid="{00000000-0009-0000-0100-00004C000000}"/>
  <tableColumns count="12">
    <tableColumn id="1" xr3:uid="{00000000-0010-0000-4A00-000001000000}" name="م" totalsRowLabel="Total" dataDxfId="1433" totalsRowDxfId="1421"/>
    <tableColumn id="2" xr3:uid="{00000000-0010-0000-4A00-000002000000}" name="عدد" dataDxfId="1441" totalsRowDxfId="1421">
      <calculatedColumnFormula>IF((Q63="الاسكندرية"),0.25,0.1)</calculatedColumnFormula>
    </tableColumn>
    <tableColumn id="3" xr3:uid="{00000000-0010-0000-4A00-000003000000}" name="بيان" totalsRowLabel="Total" dataDxfId="1433" totalsRowDxfId="1421"/>
    <tableColumn id="11" xr3:uid="{00000000-0010-0000-4A00-00000B000000}" name="Column2" dataDxfId="1433" totalsRowDxfId="1421"/>
    <tableColumn id="10" xr3:uid="{00000000-0010-0000-4A00-00000A000000}" name="Column1" dataDxfId="1433" totalsRowDxfId="1421"/>
    <tableColumn id="12" xr3:uid="{00000000-0010-0000-4A00-00000C000000}" name="Column12" totalsRowFunction="sum" dataDxfId="1452" totalsRowDxfId="1431"/>
    <tableColumn id="4" xr3:uid="{00000000-0010-0000-4A00-000004000000}" name="الوحده" dataDxfId="1434" totalsRowDxfId="1421"/>
    <tableColumn id="5" xr3:uid="{00000000-0010-0000-4A00-000005000000}" name="الوزن" dataDxfId="1433" totalsRowDxfId="1421"/>
    <tableColumn id="6" xr3:uid="{00000000-0010-0000-4A00-000006000000}" name="سعر الكيلو" dataDxfId="1433" totalsRowDxfId="1421"/>
    <tableColumn id="7" xr3:uid="{00000000-0010-0000-4A00-000007000000}" name="سعر الشبك " dataDxfId="1446" totalsRowDxfId="1424">
      <calculatedColumnFormula>Table80102114[[#Totals],[price]]</calculatedColumnFormula>
    </tableColumn>
    <tableColumn id="8" xr3:uid="{00000000-0010-0000-4A00-000008000000}" name="اجمالي" totalsRowFunction="sum" dataDxfId="1425" totalsRowDxfId="1426">
      <calculatedColumnFormula>M47*Table16136877[[#This Row],[سعر الشبك ]]</calculatedColumnFormula>
    </tableColumn>
    <tableColumn id="9" xr3:uid="{00000000-0010-0000-4A00-000009000000}" name="%" totalsRowFunction="custom" totalsRowDxfId="1427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7" xr:uid="{00000000-000C-0000-FFFF-FFFF4B000000}" name="Table176978" displayName="Table176978" ref="Y1:AE28" totalsRowShown="0">
  <autoFilter ref="Y1:AE28" xr:uid="{00000000-0009-0000-0100-00004D000000}"/>
  <tableColumns count="7">
    <tableColumn id="1" xr3:uid="{00000000-0010-0000-4B00-000001000000}" name="Column1" dataDxfId="1432"/>
    <tableColumn id="2" xr3:uid="{00000000-0010-0000-4B00-000002000000}" name="خارجي" dataDxfId="1432"/>
    <tableColumn id="3" xr3:uid="{00000000-0010-0000-4B00-000003000000}" name="داخلي" dataDxfId="1432"/>
    <tableColumn id="4" xr3:uid="{00000000-0010-0000-4B00-000004000000}" name="بدل الوجبة" dataDxfId="1432"/>
    <tableColumn id="5" xr3:uid="{00000000-0010-0000-4B00-000005000000}" name="دبابة" dataDxfId="1432"/>
    <tableColumn id="6" xr3:uid="{00000000-0010-0000-4B00-000006000000}" name="جامبو" dataDxfId="1432"/>
    <tableColumn id="7" xr3:uid="{00000000-0010-0000-4B00-000007000000}" name="الاقامة" dataDxfId="1432"/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8" xr:uid="{00000000-000C-0000-FFFF-FFFF4C000000}" name="Table187079" displayName="Table187079" ref="N67:R69" totalsRowShown="0">
  <autoFilter ref="N67:R69" xr:uid="{00000000-0009-0000-0100-00004E000000}"/>
  <tableColumns count="5">
    <tableColumn id="1" xr3:uid="{00000000-0010-0000-4C00-000001000000}" name="Column1" dataDxfId="1433"/>
    <tableColumn id="4" xr3:uid="{00000000-0010-0000-4C00-000004000000}" name="Column22" dataDxfId="1433"/>
    <tableColumn id="5" xr3:uid="{00000000-0010-0000-4C00-000005000000}" name="Column23" dataDxfId="1433"/>
    <tableColumn id="3" xr3:uid="{00000000-0010-0000-4C00-000003000000}" name="Column3" dataDxfId="1449">
      <calculatedColumnFormula>IF((Q63="المقطم"),0.3,IF((Q63="التجمع"),0.3,IF((Q63="الشيخ زايد"),0.3,IF((Q63="الاسكندرية"),0.5,0.35))))</calculatedColumnFormula>
    </tableColumn>
    <tableColumn id="2" xr3:uid="{00000000-0010-0000-4C00-000002000000}" name="Column2" dataDxfId="1441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5000000}" name="Table13" displayName="Table13" ref="A34:L49" totalsRowCount="1">
  <autoFilter ref="A34:L48" xr:uid="{00000000-0009-0000-0100-000002000000}"/>
  <tableColumns count="12">
    <tableColumn id="1" xr3:uid="{00000000-0010-0000-0500-000001000000}" name="م" totalsRowLabel="Total" dataDxfId="1420" totalsRowDxfId="1421"/>
    <tableColumn id="2" xr3:uid="{00000000-0010-0000-0500-000002000000}" name="عدد" dataDxfId="1422" totalsRowDxfId="1421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xr3:uid="{00000000-0010-0000-0500-000003000000}" name="بيان" totalsRowLabel="Total" dataDxfId="1420" totalsRowDxfId="1421"/>
    <tableColumn id="11" xr3:uid="{00000000-0010-0000-0500-00000B000000}" name="Column2" dataDxfId="1420" totalsRowDxfId="1421"/>
    <tableColumn id="10" xr3:uid="{00000000-0010-0000-0500-00000A000000}" name="Column1" dataDxfId="1420" totalsRowDxfId="1421"/>
    <tableColumn id="12" xr3:uid="{00000000-0010-0000-0500-00000C000000}" name="Column12" dataDxfId="1420" totalsRowDxfId="1421"/>
    <tableColumn id="4" xr3:uid="{00000000-0010-0000-0500-000004000000}" name="الوحده" totalsRowLabel="total" dataDxfId="1420" totalsRowDxfId="1421"/>
    <tableColumn id="5" xr3:uid="{00000000-0010-0000-0500-000005000000}" name="الوزن" dataDxfId="1420" totalsRowDxfId="1421"/>
    <tableColumn id="6" xr3:uid="{00000000-0010-0000-0500-000006000000}" name="سعر الكيلو" dataDxfId="1420" totalsRowDxfId="1421"/>
    <tableColumn id="7" xr3:uid="{00000000-0010-0000-0500-000007000000}" name="سعر الشبك " dataDxfId="1423" totalsRowDxfId="1424">
      <calculatedColumnFormula>Sheet2!B8</calculatedColumnFormula>
    </tableColumn>
    <tableColumn id="8" xr3:uid="{00000000-0010-0000-0500-000008000000}" name="اجمالي" totalsRowFunction="sum" dataDxfId="1425" totalsRowDxfId="1426">
      <calculatedColumnFormula>B35*J35</calculatedColumnFormula>
    </tableColumn>
    <tableColumn id="9" xr3:uid="{00000000-0010-0000-0500-000009000000}" name="%" totalsRowFunction="custom" totalsRowDxfId="1427">
      <calculatedColumnFormula>Table13[[#Totals],[اجمالي]]/$G$83</calculatedColumnFormula>
      <totalsRowFormula>Table13[[#Totals],[اجمالي]]/$G$83</totalsRow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9" xr:uid="{00000000-000C-0000-FFFF-FFFF4D000000}" name="Table15880" displayName="Table15880" ref="L5:W11" totalsRowCount="1">
  <autoFilter ref="L5:W10" xr:uid="{00000000-0009-0000-0100-00004F000000}"/>
  <tableColumns count="12">
    <tableColumn id="1" xr3:uid="{00000000-0010-0000-4D00-000001000000}" name="م" dataDxfId="1420" totalsRowDxfId="1421"/>
    <tableColumn id="2" xr3:uid="{00000000-0010-0000-4D00-000002000000}" name="عدد" dataDxfId="1420" totalsRowDxfId="1421"/>
    <tableColumn id="3" xr3:uid="{00000000-0010-0000-4D00-000003000000}" name="بيان" totalsRowLabel="Total" dataDxfId="1420" totalsRowDxfId="1421"/>
    <tableColumn id="11" xr3:uid="{00000000-0010-0000-4D00-00000B000000}" name="Column2" dataDxfId="1420" totalsRowDxfId="1421"/>
    <tableColumn id="10" xr3:uid="{00000000-0010-0000-4D00-00000A000000}" name="Column1" dataDxfId="1420" totalsRowDxfId="1421"/>
    <tableColumn id="12" xr3:uid="{00000000-0010-0000-4D00-00000C000000}" name="المسطح" totalsRowFunction="sum" dataDxfId="1429" totalsRowDxfId="1431">
      <calculatedColumnFormula>(Table15880[[#This Row],[Column1]]+Table15880[[#This Row],[Column2]])*12*Table15880[[#This Row],[عدد]]</calculatedColumnFormula>
    </tableColumn>
    <tableColumn id="4" xr3:uid="{00000000-0010-0000-4D00-000004000000}" name="الوحده" dataDxfId="1420" totalsRowDxfId="1421"/>
    <tableColumn id="5" xr3:uid="{00000000-0010-0000-4D00-000005000000}" name="الوزن" totalsRowFunction="custom" totalsRowDxfId="1421">
      <totalsRowFormula>(S6*M6)+(S7*M7)+(M8*S8)+(S9*M9)</totalsRowFormula>
    </tableColumn>
    <tableColumn id="6" xr3:uid="{00000000-0010-0000-4D00-000006000000}" name="اجمالي المسطح" totalsRowFunction="sum" dataDxfId="1422" totalsRowDxfId="1421">
      <calculatedColumnFormula>Table15880[[#This Row],[المسطح]]*Table15880[[#This Row],[عدد]]</calculatedColumnFormula>
    </tableColumn>
    <tableColumn id="7" xr3:uid="{00000000-0010-0000-4D00-000007000000}" name="سعر الشبك " dataDxfId="1455" totalsRowDxfId="1424">
      <calculatedColumnFormula>S6*$S$2/1000</calculatedColumnFormula>
    </tableColumn>
    <tableColumn id="8" xr3:uid="{00000000-0010-0000-4D00-000008000000}" name="اجمالي" totalsRowFunction="sum" dataDxfId="1425" totalsRowDxfId="1426">
      <calculatedColumnFormula>M6*U6</calculatedColumnFormula>
    </tableColumn>
    <tableColumn id="9" xr3:uid="{00000000-0010-0000-4D00-000009000000}" name="%" totalsRowFunction="custom" totalsRowDxfId="1427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1" xr:uid="{00000000-000C-0000-FFFF-FFFF4E000000}" name="Table13597192" displayName="Table13597192" ref="L98:W114" totalsRowCount="1">
  <autoFilter ref="L98:W113" xr:uid="{00000000-0009-0000-0100-00005B000000}"/>
  <tableColumns count="12">
    <tableColumn id="1" xr3:uid="{00000000-0010-0000-4E00-000001000000}" name="م" totalsRowLabel="Total" dataDxfId="1420" totalsRowDxfId="1421"/>
    <tableColumn id="2" xr3:uid="{00000000-0010-0000-4E00-000002000000}" name="عدد" dataDxfId="1422" totalsRowDxfId="1421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xr3:uid="{00000000-0010-0000-4E00-000003000000}" name="بيان" totalsRowLabel="Total" dataDxfId="1420" totalsRowDxfId="1421"/>
    <tableColumn id="11" xr3:uid="{00000000-0010-0000-4E00-00000B000000}" name="Column2" dataDxfId="1420" totalsRowDxfId="1421"/>
    <tableColumn id="10" xr3:uid="{00000000-0010-0000-4E00-00000A000000}" name="Column1" dataDxfId="1420" totalsRowDxfId="1421"/>
    <tableColumn id="12" xr3:uid="{00000000-0010-0000-4E00-00000C000000}" name="Column12" dataDxfId="1420" totalsRowDxfId="1421"/>
    <tableColumn id="4" xr3:uid="{00000000-0010-0000-4E00-000004000000}" name="الوحده" totalsRowLabel="total" dataDxfId="1420" totalsRowDxfId="1421"/>
    <tableColumn id="5" xr3:uid="{00000000-0010-0000-4E00-000005000000}" name="الوزن" dataDxfId="1420" totalsRowDxfId="1421"/>
    <tableColumn id="6" xr3:uid="{00000000-0010-0000-4E00-000006000000}" name="سعر الكيلو" dataDxfId="1420" totalsRowDxfId="1421"/>
    <tableColumn id="7" xr3:uid="{00000000-0010-0000-4E00-000007000000}" name="سعر الشبك " dataDxfId="1423" totalsRowDxfId="1424">
      <calculatedColumnFormula>Sheet2!B6</calculatedColumnFormula>
    </tableColumn>
    <tableColumn id="8" xr3:uid="{00000000-0010-0000-4E00-000008000000}" name="اجمالي" totalsRowFunction="sum" dataDxfId="1425" totalsRowDxfId="1426">
      <calculatedColumnFormula>M99*U100</calculatedColumnFormula>
    </tableColumn>
    <tableColumn id="9" xr3:uid="{00000000-0010-0000-4E00-000009000000}" name="%" totalsRowFunction="custom" totalsRowDxfId="1427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2" xr:uid="{00000000-000C-0000-FFFF-FFFF4F000000}" name="Table15617293" displayName="Table15617293" ref="L84:W90" totalsRowCount="1">
  <autoFilter ref="L84:W89" xr:uid="{00000000-0009-0000-0100-00005C000000}"/>
  <tableColumns count="12">
    <tableColumn id="1" xr3:uid="{00000000-0010-0000-4F00-000001000000}" name="م" totalsRowLabel="Total" dataDxfId="1420" totalsRowDxfId="1421"/>
    <tableColumn id="2" xr3:uid="{00000000-0010-0000-4F00-000002000000}" name="عدد" dataDxfId="1422" totalsRowDxfId="1421">
      <calculatedColumnFormula>IF((I70="بالتات"),0,4)</calculatedColumnFormula>
    </tableColumn>
    <tableColumn id="3" xr3:uid="{00000000-0010-0000-4F00-000003000000}" name="بيان" totalsRowLabel="Total" dataDxfId="1420" totalsRowDxfId="1421"/>
    <tableColumn id="11" xr3:uid="{00000000-0010-0000-4F00-00000B000000}" name="Column2" dataDxfId="1420" totalsRowDxfId="1421"/>
    <tableColumn id="10" xr3:uid="{00000000-0010-0000-4F00-00000A000000}" name="Column1" dataDxfId="1420" totalsRowDxfId="1421"/>
    <tableColumn id="12" xr3:uid="{00000000-0010-0000-4F00-00000C000000}" name="Column12" dataDxfId="1429" totalsRowDxfId="1431"/>
    <tableColumn id="4" xr3:uid="{00000000-0010-0000-4F00-000004000000}" name="الوحده" dataDxfId="1420" totalsRowDxfId="1421"/>
    <tableColumn id="5" xr3:uid="{00000000-0010-0000-4F00-000005000000}" name="الوزن" dataDxfId="1420" totalsRowDxfId="1421"/>
    <tableColumn id="6" xr3:uid="{00000000-0010-0000-4F00-000006000000}" name="سعر الكيلو" dataDxfId="1420" totalsRowDxfId="1421"/>
    <tableColumn id="7" xr3:uid="{00000000-0010-0000-4F00-000007000000}" name="سعر الشبك " dataDxfId="1423" totalsRowDxfId="1424">
      <calculatedColumnFormula>Sheet2!B26</calculatedColumnFormula>
    </tableColumn>
    <tableColumn id="8" xr3:uid="{00000000-0010-0000-4F00-000008000000}" name="اجمالي" totalsRowFunction="sum" dataDxfId="1425" totalsRowDxfId="1426">
      <calculatedColumnFormula>M85*U85</calculatedColumnFormula>
    </tableColumn>
    <tableColumn id="9" xr3:uid="{00000000-0010-0000-4F00-000009000000}" name="%" totalsRowFunction="custom" totalsRowDxfId="1427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3" xr:uid="{00000000-000C-0000-FFFF-FFFF50000000}" name="Table16627394" displayName="Table16627394" ref="L92:W96" totalsRowCount="1">
  <autoFilter ref="L92:W95" xr:uid="{00000000-0009-0000-0100-00005D000000}"/>
  <tableColumns count="12">
    <tableColumn id="1" xr3:uid="{00000000-0010-0000-5000-000001000000}" name="م" totalsRowLabel="Total" dataDxfId="1420"/>
    <tableColumn id="2" xr3:uid="{00000000-0010-0000-5000-000002000000}" name="عدد" totalsRowFunction="sum" dataDxfId="1420">
      <calculatedColumnFormula>M91*4</calculatedColumnFormula>
    </tableColumn>
    <tableColumn id="3" xr3:uid="{00000000-0010-0000-5000-000003000000}" name="بيان" totalsRowLabel="Total" dataDxfId="1420"/>
    <tableColumn id="11" xr3:uid="{00000000-0010-0000-5000-00000B000000}" name="Column2" dataDxfId="1420"/>
    <tableColumn id="10" xr3:uid="{00000000-0010-0000-5000-00000A000000}" name="Column1" dataDxfId="1420"/>
    <tableColumn id="12" xr3:uid="{00000000-0010-0000-5000-00000C000000}" name="Column12" totalsRowFunction="sum" dataDxfId="1429">
      <calculatedColumnFormula>(Table16627394[[#This Row],[Column1]]*Table16627394[[#This Row],[Column2]])*Table16627394[[#This Row],[عدد]]</calculatedColumnFormula>
    </tableColumn>
    <tableColumn id="4" xr3:uid="{00000000-0010-0000-5000-000004000000}" name="الوحده" dataDxfId="1420"/>
    <tableColumn id="5" xr3:uid="{00000000-0010-0000-5000-000005000000}" name="الوزن" totalsRowFunction="custom">
      <totalsRowFormula>(S94*M94)+(M95*S95)</totalsRowFormula>
    </tableColumn>
    <tableColumn id="6" xr3:uid="{00000000-0010-0000-5000-000006000000}" name="سعر الكيلو" dataDxfId="1422"/>
    <tableColumn id="7" xr3:uid="{00000000-0010-0000-5000-000007000000}" name="سعر الشبك " dataDxfId="1423">
      <calculatedColumnFormula>S93*$S$2/1000</calculatedColumnFormula>
    </tableColumn>
    <tableColumn id="8" xr3:uid="{00000000-0010-0000-5000-000008000000}" name="اجمالي" totalsRowFunction="sum" dataDxfId="1425">
      <calculatedColumnFormula>M93*U93</calculatedColumnFormula>
    </tableColumn>
    <tableColumn id="9" xr3:uid="{00000000-0010-0000-5000-000009000000}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4" xr:uid="{00000000-000C-0000-FFFF-FFFF51000000}" name="Table6637495" displayName="Table6637495" ref="AJ77:AM88" totalsRowShown="0">
  <autoFilter ref="AJ77:AM88" xr:uid="{00000000-0009-0000-0100-00005E000000}"/>
  <tableColumns count="4">
    <tableColumn id="1" xr3:uid="{00000000-0010-0000-5100-000001000000}" name="المادة" dataDxfId="1432"/>
    <tableColumn id="2" xr3:uid="{00000000-0010-0000-5100-000002000000}" name="المعدل" dataDxfId="1432"/>
    <tableColumn id="3" xr3:uid="{00000000-0010-0000-5100-000003000000}" name="الوحدة" dataDxfId="1432"/>
    <tableColumn id="4" xr3:uid="{00000000-0010-0000-5100-000004000000}" name="Column4" dataDxfId="1442"/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5" xr:uid="{00000000-000C-0000-FFFF-FFFF52000000}" name="Table7647596" displayName="Table7647596" ref="AO76:AS91" totalsRowShown="0">
  <autoFilter ref="AO76:AS91" xr:uid="{00000000-0009-0000-0100-00005F000000}"/>
  <tableColumns count="5">
    <tableColumn id="1" xr3:uid="{00000000-0010-0000-5200-000001000000}" name="Column1" dataDxfId="1432"/>
    <tableColumn id="2" xr3:uid="{00000000-0010-0000-5200-000002000000}" name="Column2" dataDxfId="1442"/>
    <tableColumn id="3" xr3:uid="{00000000-0010-0000-5200-000003000000}" name="Column3" dataDxfId="1432"/>
    <tableColumn id="4" xr3:uid="{00000000-0010-0000-5200-000004000000}" name="Column4" dataDxfId="1432"/>
    <tableColumn id="5" xr3:uid="{00000000-0010-0000-5200-000005000000}" name="Column5" dataDxfId="1432"/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6" xr:uid="{00000000-000C-0000-FFFF-FFFF53000000}" name="Table1612677697" displayName="Table1612677697" ref="L122:W136" totalsRowCount="1">
  <autoFilter ref="L122:W135" xr:uid="{00000000-0009-0000-0100-000060000000}"/>
  <tableColumns count="12">
    <tableColumn id="1" xr3:uid="{00000000-0010-0000-5300-000001000000}" name="م" totalsRowLabel="Total" dataDxfId="1420" totalsRowDxfId="1428"/>
    <tableColumn id="2" xr3:uid="{00000000-0010-0000-5300-000002000000}" name="عدد" dataDxfId="1441" totalsRowDxfId="1428">
      <calculatedColumnFormula>IF((تسعير!$AU$14="بالتات"),0,M120-2)</calculatedColumnFormula>
    </tableColumn>
    <tableColumn id="3" xr3:uid="{00000000-0010-0000-5300-000003000000}" name="بيان" totalsRowLabel="Total" dataDxfId="1438" totalsRowDxfId="1428"/>
    <tableColumn id="5" xr3:uid="{00000000-0010-0000-5300-000005000000}" name="اليومية / الاجرة" dataDxfId="1438" totalsRowDxfId="1428"/>
    <tableColumn id="6" xr3:uid="{00000000-0010-0000-5300-000006000000}" name="بدل الوجبة" dataDxfId="1439" totalsRowDxfId="1428"/>
    <tableColumn id="11" xr3:uid="{00000000-0010-0000-5300-00000B000000}" name="موقع العمل" dataDxfId="1433" totalsRowDxfId="1428">
      <calculatedColumnFormula>تسعير!$AT$44</calculatedColumnFormula>
    </tableColumn>
    <tableColumn id="10" xr3:uid="{00000000-0010-0000-5300-00000A000000}" name="شيفت العمل" dataDxfId="1420" totalsRowDxfId="1428"/>
    <tableColumn id="12" xr3:uid="{00000000-0010-0000-5300-00000C000000}" name="Column12" totalsRowFunction="sum" dataDxfId="1429" totalsRowDxfId="1430">
      <calculatedColumnFormula>SUMIF(Table17697899[Column1],Table1612677697[[#This Row],[موقع العمل]],$AE$2:$AE$8)</calculatedColumnFormula>
    </tableColumn>
    <tableColumn id="4" xr3:uid="{00000000-0010-0000-5300-000004000000}" name="عدد الايام" dataDxfId="1447" totalsRowDxfId="1428"/>
    <tableColumn id="7" xr3:uid="{00000000-0010-0000-5300-000007000000}" name="اجمالي التكلفة للعامل" dataDxfId="1448" totalsRowDxfId="1435">
      <calculatedColumnFormula>Table1612677697[[#This Row],[Column12]]</calculatedColumnFormula>
    </tableColumn>
    <tableColumn id="8" xr3:uid="{00000000-0010-0000-5300-000008000000}" name="اجمالي" totalsRowFunction="sum" dataDxfId="1425" totalsRowDxfId="1436">
      <calculatedColumnFormula>M123*U123</calculatedColumnFormula>
    </tableColumn>
    <tableColumn id="9" xr3:uid="{00000000-0010-0000-5300-000009000000}" name="%" totalsRowFunction="custom" totalsRowDxfId="1437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7" xr:uid="{00000000-000C-0000-FFFF-FFFF54000000}" name="Table1613687798" displayName="Table1613687798" ref="L117:W120" totalsRowCount="1">
  <autoFilter ref="L117:W119" xr:uid="{00000000-0009-0000-0100-000061000000}"/>
  <tableColumns count="12">
    <tableColumn id="1" xr3:uid="{00000000-0010-0000-5400-000001000000}" name="م" totalsRowLabel="Total" dataDxfId="1433" totalsRowDxfId="1421"/>
    <tableColumn id="2" xr3:uid="{00000000-0010-0000-5400-000002000000}" name="عدد" dataDxfId="1441" totalsRowDxfId="1421">
      <calculatedColumnFormula>IF((Q134="الاسكندرية"),0.25,0.1)</calculatedColumnFormula>
    </tableColumn>
    <tableColumn id="3" xr3:uid="{00000000-0010-0000-5400-000003000000}" name="بيان" totalsRowLabel="Total" dataDxfId="1433" totalsRowDxfId="1421"/>
    <tableColumn id="11" xr3:uid="{00000000-0010-0000-5400-00000B000000}" name="Column2" dataDxfId="1433" totalsRowDxfId="1421"/>
    <tableColumn id="10" xr3:uid="{00000000-0010-0000-5400-00000A000000}" name="Column1" dataDxfId="1433" totalsRowDxfId="1421"/>
    <tableColumn id="12" xr3:uid="{00000000-0010-0000-5400-00000C000000}" name="Column12" totalsRowFunction="sum" dataDxfId="1452" totalsRowDxfId="1431"/>
    <tableColumn id="4" xr3:uid="{00000000-0010-0000-5400-000004000000}" name="الوحده" dataDxfId="1434" totalsRowDxfId="1421"/>
    <tableColumn id="5" xr3:uid="{00000000-0010-0000-5400-000005000000}" name="الوزن" dataDxfId="1433" totalsRowDxfId="1421"/>
    <tableColumn id="6" xr3:uid="{00000000-0010-0000-5400-000006000000}" name="سعر الكيلو" dataDxfId="1433" totalsRowDxfId="1421"/>
    <tableColumn id="7" xr3:uid="{00000000-0010-0000-5400-000007000000}" name="سعر الشبك " dataDxfId="1446" totalsRowDxfId="1424">
      <calculatedColumnFormula>F96</calculatedColumnFormula>
    </tableColumn>
    <tableColumn id="8" xr3:uid="{00000000-0010-0000-5400-000008000000}" name="اجمالي" totalsRowFunction="sum" dataDxfId="1425" totalsRowDxfId="1426">
      <calculatedColumnFormula>M118*Table1613687798[[#This Row],[سعر الشبك ]]</calculatedColumnFormula>
    </tableColumn>
    <tableColumn id="9" xr3:uid="{00000000-0010-0000-5400-000009000000}" name="%" totalsRowFunction="custom" totalsRowDxfId="1427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8" xr:uid="{00000000-000C-0000-FFFF-FFFF55000000}" name="Table17697899" displayName="Table17697899" ref="Y74:AE101" totalsRowShown="0">
  <autoFilter ref="Y74:AE101" xr:uid="{00000000-0009-0000-0100-000062000000}"/>
  <tableColumns count="7">
    <tableColumn id="1" xr3:uid="{00000000-0010-0000-5500-000001000000}" name="Column1" dataDxfId="1432"/>
    <tableColumn id="2" xr3:uid="{00000000-0010-0000-5500-000002000000}" name="خارجي" dataDxfId="1432"/>
    <tableColumn id="3" xr3:uid="{00000000-0010-0000-5500-000003000000}" name="داخلي" dataDxfId="1432"/>
    <tableColumn id="4" xr3:uid="{00000000-0010-0000-5500-000004000000}" name="بدل الوجبة" dataDxfId="1432"/>
    <tableColumn id="5" xr3:uid="{00000000-0010-0000-5500-000005000000}" name="دبابة" dataDxfId="1432"/>
    <tableColumn id="6" xr3:uid="{00000000-0010-0000-5500-000006000000}" name="جامبو" dataDxfId="1432"/>
    <tableColumn id="7" xr3:uid="{00000000-0010-0000-5500-000007000000}" name="الاقامة" dataDxfId="1432"/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9" xr:uid="{00000000-000C-0000-FFFF-FFFF56000000}" name="Table187079100" displayName="Table187079100" ref="N138:R140" totalsRowShown="0">
  <autoFilter ref="N138:R140" xr:uid="{00000000-0009-0000-0100-000063000000}"/>
  <tableColumns count="5">
    <tableColumn id="1" xr3:uid="{00000000-0010-0000-5600-000001000000}" name="Column1" dataDxfId="1433"/>
    <tableColumn id="4" xr3:uid="{00000000-0010-0000-5600-000004000000}" name="Column22" dataDxfId="1433"/>
    <tableColumn id="5" xr3:uid="{00000000-0010-0000-5600-000005000000}" name="Column23" dataDxfId="1433"/>
    <tableColumn id="3" xr3:uid="{00000000-0010-0000-5600-000003000000}" name="Column3" dataDxfId="1449">
      <calculatedColumnFormula>IF((Q134="المقطم"),0.3,IF((Q134="التجمع"),0.3,IF((Q134="الشيخ زايد"),0.3,IF((Q134="الاسكندرية"),0.5,0.35))))</calculatedColumnFormula>
    </tableColumn>
    <tableColumn id="2" xr3:uid="{00000000-0010-0000-5600-000002000000}" name="Column2" dataDxfId="1441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6000000}" name="Table14" displayName="Table14" ref="A11:L14" totalsRowCount="1">
  <autoFilter ref="A11:L13" xr:uid="{00000000-0009-0000-0100-000003000000}"/>
  <tableColumns count="12">
    <tableColumn id="1" xr3:uid="{00000000-0010-0000-0600-000001000000}" name="م" totalsRowLabel="Total" dataDxfId="1420"/>
    <tableColumn id="2" xr3:uid="{00000000-0010-0000-0600-000002000000}" name="عدد" dataDxfId="1420">
      <calculatedColumnFormula>IF((تسعير!X7&lt;800),0,IF(AND((تسعير!X7&gt;800),(600&gt;=تسعير!AA9)),1,0))</calculatedColumnFormula>
    </tableColumn>
    <tableColumn id="3" xr3:uid="{00000000-0010-0000-0600-000003000000}" name="بيان" totalsRowLabel="Total" dataDxfId="1420"/>
    <tableColumn id="11" xr3:uid="{00000000-0010-0000-0600-00000B000000}" name="Column2" dataDxfId="1420"/>
    <tableColumn id="10" xr3:uid="{00000000-0010-0000-0600-00000A000000}" name="Column1" dataDxfId="1420"/>
    <tableColumn id="12" xr3:uid="{00000000-0010-0000-0600-00000C000000}" name="Column12" totalsRowFunction="sum" dataDxfId="1422">
      <calculatedColumnFormula>(Table14[[#This Row],[Column1]]+Table14[[#This Row],[Column2]])*12*Table14[[#This Row],[عدد]]</calculatedColumnFormula>
    </tableColumn>
    <tableColumn id="4" xr3:uid="{00000000-0010-0000-0600-000004000000}" name="الوحده" dataDxfId="1420"/>
    <tableColumn id="5" xr3:uid="{00000000-0010-0000-0600-000005000000}" name="الوزن" totalsRowFunction="custom">
      <totalsRowFormula>H12*B12+H13*B13</totalsRowFormula>
    </tableColumn>
    <tableColumn id="6" xr3:uid="{00000000-0010-0000-0600-000006000000}" name="مسطح" dataDxfId="1422">
      <calculatedColumnFormula>Table14[[#This Row],[Column12]]*Table14[[#This Row],[عدد]]</calculatedColumnFormula>
    </tableColumn>
    <tableColumn id="7" xr3:uid="{00000000-0010-0000-0600-000007000000}" name="سعر الشبك " dataDxfId="1423">
      <calculatedColumnFormula>H12*$I$2/1000</calculatedColumnFormula>
    </tableColumn>
    <tableColumn id="8" xr3:uid="{00000000-0010-0000-0600-000008000000}" name="اجمالي" totalsRowFunction="sum" dataDxfId="1425">
      <calculatedColumnFormula>B12*J12</calculatedColumnFormula>
    </tableColumn>
    <tableColumn id="9" xr3:uid="{00000000-0010-0000-0600-000009000000}" name="%" totalsRowFunction="custom">
      <calculatedColumnFormula>(K12)/$G$83</calculatedColumnFormula>
      <totalsRowFormula>Table14[[#Totals],[اجمالي]]/$G$83</totalsRowFormula>
    </tableColumn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0" xr:uid="{00000000-000C-0000-FFFF-FFFF57000000}" name="Table15880101" displayName="Table15880101" ref="L76:W82" totalsRowCount="1">
  <autoFilter ref="L76:W81" xr:uid="{00000000-0009-0000-0100-000064000000}"/>
  <tableColumns count="12">
    <tableColumn id="1" xr3:uid="{00000000-0010-0000-5700-000001000000}" name="م" dataDxfId="1420" totalsRowDxfId="1421"/>
    <tableColumn id="2" xr3:uid="{00000000-0010-0000-5700-000002000000}" name="عدد" dataDxfId="1420" totalsRowDxfId="1421">
      <calculatedColumnFormula>IF(OR((N70="B11"),(N70="B12"),(N70="B21"),(N70="B22"),(N70="B31"),(N70="B32")),3,0)</calculatedColumnFormula>
    </tableColumn>
    <tableColumn id="3" xr3:uid="{00000000-0010-0000-5700-000003000000}" name="بيان" totalsRowLabel="Total" dataDxfId="1420" totalsRowDxfId="1421"/>
    <tableColumn id="11" xr3:uid="{00000000-0010-0000-5700-00000B000000}" name="Column2" dataDxfId="1420" totalsRowDxfId="1421"/>
    <tableColumn id="10" xr3:uid="{00000000-0010-0000-5700-00000A000000}" name="Column1" dataDxfId="1420" totalsRowDxfId="1421"/>
    <tableColumn id="12" xr3:uid="{00000000-0010-0000-5700-00000C000000}" name="المسطح" totalsRowFunction="sum" dataDxfId="1429" totalsRowDxfId="1431">
      <calculatedColumnFormula>(Table15880101[[#This Row],[Column1]]+Table15880101[[#This Row],[Column2]])*12*Table15880101[[#This Row],[عدد]]</calculatedColumnFormula>
    </tableColumn>
    <tableColumn id="4" xr3:uid="{00000000-0010-0000-5700-000004000000}" name="الوحده" dataDxfId="1420" totalsRowDxfId="1421"/>
    <tableColumn id="5" xr3:uid="{00000000-0010-0000-5700-000005000000}" name="الوزن" totalsRowFunction="custom" totalsRowDxfId="1421">
      <totalsRowFormula>(S77*M77)+(S78*M78)+(M79*S79)+(S80*M80)</totalsRowFormula>
    </tableColumn>
    <tableColumn id="6" xr3:uid="{00000000-0010-0000-5700-000006000000}" name="اجمالي المسطح" totalsRowFunction="sum" dataDxfId="1422" totalsRowDxfId="1421">
      <calculatedColumnFormula>Table15880101[[#This Row],[المسطح]]*Table15880101[[#This Row],[عدد]]</calculatedColumnFormula>
    </tableColumn>
    <tableColumn id="7" xr3:uid="{00000000-0010-0000-5700-000007000000}" name="سعر الشبك " dataDxfId="1455" totalsRowDxfId="1424">
      <calculatedColumnFormula>S77*$S$2/1000</calculatedColumnFormula>
    </tableColumn>
    <tableColumn id="8" xr3:uid="{00000000-0010-0000-5700-000008000000}" name="اجمالي" totalsRowFunction="sum" dataDxfId="1425" totalsRowDxfId="1426">
      <calculatedColumnFormula>M77*U77</calculatedColumnFormula>
    </tableColumn>
    <tableColumn id="9" xr3:uid="{00000000-0010-0000-5700-000009000000}" name="%" totalsRowFunction="custom" totalsRowDxfId="1427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5" xr:uid="{00000000-000C-0000-FFFF-FFFF58000000}" name="Table13597166" displayName="Table13597166" ref="BG27:BR42" totalsRowCount="1">
  <autoFilter ref="BG27:BR41" xr:uid="{00000000-0009-0000-0100-000041000000}"/>
  <tableColumns count="12">
    <tableColumn id="1" xr3:uid="{00000000-0010-0000-5800-000001000000}" name="م" totalsRowLabel="Total" dataDxfId="1420" totalsRowDxfId="1421"/>
    <tableColumn id="2" xr3:uid="{00000000-0010-0000-5800-000002000000}" name="عدد" dataDxfId="1422" totalsRowDxfId="1421"/>
    <tableColumn id="3" xr3:uid="{00000000-0010-0000-5800-000003000000}" name="بيان" totalsRowLabel="Total" dataDxfId="1420" totalsRowDxfId="1421"/>
    <tableColumn id="11" xr3:uid="{00000000-0010-0000-5800-00000B000000}" name="Column2" dataDxfId="1420" totalsRowDxfId="1421"/>
    <tableColumn id="10" xr3:uid="{00000000-0010-0000-5800-00000A000000}" name="Column1" dataDxfId="1420" totalsRowDxfId="1421"/>
    <tableColumn id="12" xr3:uid="{00000000-0010-0000-5800-00000C000000}" name="Column12" dataDxfId="1420" totalsRowDxfId="1421"/>
    <tableColumn id="4" xr3:uid="{00000000-0010-0000-5800-000004000000}" name="الوحده" totalsRowLabel="total" dataDxfId="1420" totalsRowDxfId="1421"/>
    <tableColumn id="5" xr3:uid="{00000000-0010-0000-5800-000005000000}" name="الوزن" dataDxfId="1420" totalsRowDxfId="1421"/>
    <tableColumn id="6" xr3:uid="{00000000-0010-0000-5800-000006000000}" name="سعر الكيلو" dataDxfId="1420" totalsRowDxfId="1421"/>
    <tableColumn id="7" xr3:uid="{00000000-0010-0000-5800-000007000000}" name="سعر الشبك " dataDxfId="1423" totalsRowDxfId="1424">
      <calculatedColumnFormula>Sheet2!AW6</calculatedColumnFormula>
    </tableColumn>
    <tableColumn id="8" xr3:uid="{00000000-0010-0000-5800-000008000000}" name="اجمالي" totalsRowFunction="sum" dataDxfId="1425" totalsRowDxfId="1426">
      <calculatedColumnFormula>BH28*BP28</calculatedColumnFormula>
    </tableColumn>
    <tableColumn id="9" xr3:uid="{00000000-0010-0000-5800-000009000000}" name="%" totalsRowFunction="custom" totalsRowDxfId="1427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1" xr:uid="{00000000-000C-0000-FFFF-FFFF59000000}" name="Table15617282" displayName="Table15617282" ref="BG13:BR19" totalsRowCount="1">
  <autoFilter ref="BG13:BR18" xr:uid="{00000000-0009-0000-0100-000051000000}"/>
  <tableColumns count="12">
    <tableColumn id="1" xr3:uid="{00000000-0010-0000-5900-000001000000}" name="م" totalsRowLabel="Total" dataDxfId="1420" totalsRowDxfId="1421"/>
    <tableColumn id="2" xr3:uid="{00000000-0010-0000-5900-000002000000}" name="عدد" dataDxfId="1422" totalsRowDxfId="1421"/>
    <tableColumn id="3" xr3:uid="{00000000-0010-0000-5900-000003000000}" name="بيان" totalsRowLabel="Total" dataDxfId="1420" totalsRowDxfId="1421"/>
    <tableColumn id="11" xr3:uid="{00000000-0010-0000-5900-00000B000000}" name="Column2" dataDxfId="1420" totalsRowDxfId="1421"/>
    <tableColumn id="10" xr3:uid="{00000000-0010-0000-5900-00000A000000}" name="Column1" dataDxfId="1420" totalsRowDxfId="1421"/>
    <tableColumn id="12" xr3:uid="{00000000-0010-0000-5900-00000C000000}" name="Column12" dataDxfId="1429" totalsRowDxfId="1431"/>
    <tableColumn id="4" xr3:uid="{00000000-0010-0000-5900-000004000000}" name="الوحده" dataDxfId="1420" totalsRowDxfId="1421"/>
    <tableColumn id="5" xr3:uid="{00000000-0010-0000-5900-000005000000}" name="الوزن" dataDxfId="1420" totalsRowDxfId="1421"/>
    <tableColumn id="6" xr3:uid="{00000000-0010-0000-5900-000006000000}" name="سعر الكيلو" dataDxfId="1420" totalsRowDxfId="1421"/>
    <tableColumn id="7" xr3:uid="{00000000-0010-0000-5900-000007000000}" name="سعر الشبك " dataDxfId="1423" totalsRowDxfId="1424">
      <calculatedColumnFormula>Sheet2!AW26</calculatedColumnFormula>
    </tableColumn>
    <tableColumn id="8" xr3:uid="{00000000-0010-0000-5900-000008000000}" name="اجمالي" totalsRowFunction="sum" dataDxfId="1425" totalsRowDxfId="1426">
      <calculatedColumnFormula>BH14*BP14</calculatedColumnFormula>
    </tableColumn>
    <tableColumn id="9" xr3:uid="{00000000-0010-0000-5900-000009000000}" name="%" totalsRowFunction="custom" totalsRowDxfId="1427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2" xr:uid="{00000000-000C-0000-FFFF-FFFF5A000000}" name="Table16627383" displayName="Table16627383" ref="BG21:BR25" totalsRowCount="1">
  <autoFilter ref="BG21:BR24" xr:uid="{00000000-0009-0000-0100-000052000000}"/>
  <tableColumns count="12">
    <tableColumn id="1" xr3:uid="{00000000-0010-0000-5A00-000001000000}" name="م" totalsRowLabel="Total" dataDxfId="1420"/>
    <tableColumn id="2" xr3:uid="{00000000-0010-0000-5A00-000002000000}" name="عدد" totalsRowFunction="count" dataDxfId="1420">
      <calculatedColumnFormula>BH20*4</calculatedColumnFormula>
    </tableColumn>
    <tableColumn id="3" xr3:uid="{00000000-0010-0000-5A00-000003000000}" name="بيان" totalsRowLabel="Total" dataDxfId="1420"/>
    <tableColumn id="11" xr3:uid="{00000000-0010-0000-5A00-00000B000000}" name="Column2" dataDxfId="1420"/>
    <tableColumn id="10" xr3:uid="{00000000-0010-0000-5A00-00000A000000}" name="Column1" dataDxfId="1420"/>
    <tableColumn id="12" xr3:uid="{00000000-0010-0000-5A00-00000C000000}" name="Column12" totalsRowFunction="sum" dataDxfId="1429">
      <calculatedColumnFormula>(Table16627383[[#This Row],[Column1]]*Table16627383[[#This Row],[Column2]])*Table16627383[[#This Row],[عدد]]</calculatedColumnFormula>
    </tableColumn>
    <tableColumn id="4" xr3:uid="{00000000-0010-0000-5A00-000004000000}" name="الوحده" dataDxfId="1420"/>
    <tableColumn id="5" xr3:uid="{00000000-0010-0000-5A00-000005000000}" name="الوزن" totalsRowFunction="custom">
      <totalsRowFormula>(BN23*BH23)+(BH24*BN24)</totalsRowFormula>
    </tableColumn>
    <tableColumn id="6" xr3:uid="{00000000-0010-0000-5A00-000006000000}" name="سعر الكيلو" dataDxfId="1422"/>
    <tableColumn id="7" xr3:uid="{00000000-0010-0000-5A00-000007000000}" name="سعر الشبك " dataDxfId="1423">
      <calculatedColumnFormula>BN22*$S$2/1000</calculatedColumnFormula>
    </tableColumn>
    <tableColumn id="8" xr3:uid="{00000000-0010-0000-5A00-000008000000}" name="اجمالي" totalsRowFunction="sum" dataDxfId="1425">
      <calculatedColumnFormula>BH22*BP22</calculatedColumnFormula>
    </tableColumn>
    <tableColumn id="9" xr3:uid="{00000000-0010-0000-5A00-000009000000}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3" xr:uid="{00000000-000C-0000-FFFF-FFFF5B000000}" name="Table6637484" displayName="Table6637484" ref="CE4:CH15" totalsRowShown="0">
  <autoFilter ref="CE4:CH15" xr:uid="{00000000-0009-0000-0100-000053000000}"/>
  <tableColumns count="4">
    <tableColumn id="1" xr3:uid="{00000000-0010-0000-5B00-000001000000}" name="المادة" dataDxfId="1432"/>
    <tableColumn id="2" xr3:uid="{00000000-0010-0000-5B00-000002000000}" name="المعدل" dataDxfId="1432"/>
    <tableColumn id="3" xr3:uid="{00000000-0010-0000-5B00-000003000000}" name="الوحدة" dataDxfId="1432"/>
    <tableColumn id="4" xr3:uid="{00000000-0010-0000-5B00-000004000000}" name="Column4" dataDxfId="1442"/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4" xr:uid="{00000000-000C-0000-FFFF-FFFF5C000000}" name="Table7647585" displayName="Table7647585" ref="CJ4:CN19" totalsRowShown="0">
  <autoFilter ref="CJ4:CN19" xr:uid="{00000000-0009-0000-0100-000054000000}"/>
  <tableColumns count="5">
    <tableColumn id="1" xr3:uid="{00000000-0010-0000-5C00-000001000000}" name="Column1" dataDxfId="1432"/>
    <tableColumn id="2" xr3:uid="{00000000-0010-0000-5C00-000002000000}" name="Column2" dataDxfId="1442"/>
    <tableColumn id="3" xr3:uid="{00000000-0010-0000-5C00-000003000000}" name="Column3" dataDxfId="1432"/>
    <tableColumn id="4" xr3:uid="{00000000-0010-0000-5C00-000004000000}" name="Column4" dataDxfId="1432"/>
    <tableColumn id="5" xr3:uid="{00000000-0010-0000-5C00-000005000000}" name="Column5" dataDxfId="1432"/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5" xr:uid="{00000000-000C-0000-FFFF-FFFF5D000000}" name="Table1612677686" displayName="Table1612677686" ref="BG50:BR64" totalsRowCount="1">
  <autoFilter ref="BG50:BR63" xr:uid="{00000000-0009-0000-0100-000055000000}"/>
  <tableColumns count="12">
    <tableColumn id="1" xr3:uid="{00000000-0010-0000-5D00-000001000000}" name="م" totalsRowLabel="Total" dataDxfId="1420" totalsRowDxfId="1428"/>
    <tableColumn id="2" xr3:uid="{00000000-0010-0000-5D00-000002000000}" name="عدد" dataDxfId="1441" totalsRowDxfId="1428">
      <calculatedColumnFormula>IF((تسعير!$AU$14="بالتات"),0,BH48-2)</calculatedColumnFormula>
    </tableColumn>
    <tableColumn id="3" xr3:uid="{00000000-0010-0000-5D00-000003000000}" name="بيان" totalsRowLabel="Total" dataDxfId="1438" totalsRowDxfId="1428"/>
    <tableColumn id="5" xr3:uid="{00000000-0010-0000-5D00-000005000000}" name="اليومية / الاجرة" dataDxfId="1438" totalsRowDxfId="1428"/>
    <tableColumn id="6" xr3:uid="{00000000-0010-0000-5D00-000006000000}" name="بدل الوجبة" dataDxfId="1439" totalsRowDxfId="1428"/>
    <tableColumn id="11" xr3:uid="{00000000-0010-0000-5D00-00000B000000}" name="موقع العمل" dataDxfId="1433" totalsRowDxfId="1428">
      <calculatedColumnFormula>تسعير!$AT$44</calculatedColumnFormula>
    </tableColumn>
    <tableColumn id="10" xr3:uid="{00000000-0010-0000-5D00-00000A000000}" name="شيفت العمل" dataDxfId="1420" totalsRowDxfId="1428"/>
    <tableColumn id="12" xr3:uid="{00000000-0010-0000-5D00-00000C000000}" name="Column12" totalsRowFunction="sum" dataDxfId="1429" totalsRowDxfId="1430">
      <calculatedColumnFormula>SUMIF(Table17697888[Column1],Table1612677686[[#This Row],[موقع العمل]],$AE$2:$AE$8)</calculatedColumnFormula>
    </tableColumn>
    <tableColumn id="4" xr3:uid="{00000000-0010-0000-5D00-000004000000}" name="عدد الايام" dataDxfId="1447" totalsRowDxfId="1428"/>
    <tableColumn id="7" xr3:uid="{00000000-0010-0000-5D00-000007000000}" name="اجمالي التكلفة للعامل" dataDxfId="1448" totalsRowDxfId="1435">
      <calculatedColumnFormula>Table1612677686[[#This Row],[Column12]]</calculatedColumnFormula>
    </tableColumn>
    <tableColumn id="8" xr3:uid="{00000000-0010-0000-5D00-000008000000}" name="اجمالي" totalsRowFunction="sum" dataDxfId="1425" totalsRowDxfId="1436">
      <calculatedColumnFormula>BH51*BP51</calculatedColumnFormula>
    </tableColumn>
    <tableColumn id="9" xr3:uid="{00000000-0010-0000-5D00-000009000000}" name="%" totalsRowFunction="custom" totalsRowDxfId="1437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6" xr:uid="{00000000-000C-0000-FFFF-FFFF5E000000}" name="Table1613687787" displayName="Table1613687787" ref="BG45:BR48" totalsRowCount="1">
  <autoFilter ref="BG45:BR47" xr:uid="{00000000-0009-0000-0100-000056000000}"/>
  <tableColumns count="12">
    <tableColumn id="1" xr3:uid="{00000000-0010-0000-5E00-000001000000}" name="م" totalsRowLabel="Total" dataDxfId="1433"/>
    <tableColumn id="2" xr3:uid="{00000000-0010-0000-5E00-000002000000}" name="عدد" dataDxfId="1441">
      <calculatedColumnFormula>IF((BL62="الاسكندرية"),0.25,0.1)</calculatedColumnFormula>
    </tableColumn>
    <tableColumn id="3" xr3:uid="{00000000-0010-0000-5E00-000003000000}" name="بيان" totalsRowLabel="Total" dataDxfId="1433"/>
    <tableColumn id="11" xr3:uid="{00000000-0010-0000-5E00-00000B000000}" name="Column2" dataDxfId="1433"/>
    <tableColumn id="10" xr3:uid="{00000000-0010-0000-5E00-00000A000000}" name="Column1" dataDxfId="1433"/>
    <tableColumn id="12" xr3:uid="{00000000-0010-0000-5E00-00000C000000}" name="Column12" totalsRowFunction="sum" dataDxfId="1452"/>
    <tableColumn id="4" xr3:uid="{00000000-0010-0000-5E00-000004000000}" name="الوحده" dataDxfId="1434"/>
    <tableColumn id="5" xr3:uid="{00000000-0010-0000-5E00-000005000000}" name="الوزن" dataDxfId="1433"/>
    <tableColumn id="6" xr3:uid="{00000000-0010-0000-5E00-000006000000}" name="سعر الكيلو" dataDxfId="1433"/>
    <tableColumn id="7" xr3:uid="{00000000-0010-0000-5E00-000007000000}" name="سعر الشبك " dataDxfId="1446">
      <calculatedColumnFormula>BQ45</calculatedColumnFormula>
    </tableColumn>
    <tableColumn id="8" xr3:uid="{00000000-0010-0000-5E00-000008000000}" name="اجمالي" totalsRowFunction="sum" dataDxfId="1425">
      <calculatedColumnFormula>BH46*Table1613687787[[#This Row],[سعر الشبك ]]</calculatedColumnFormula>
    </tableColumn>
    <tableColumn id="9" xr3:uid="{00000000-0010-0000-5E00-000009000000}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7" xr:uid="{00000000-000C-0000-FFFF-FFFF5F000000}" name="Table17697888" displayName="Table17697888" ref="BT1:BZ28" totalsRowShown="0">
  <autoFilter ref="BT1:BZ28" xr:uid="{00000000-0009-0000-0100-000057000000}"/>
  <tableColumns count="7">
    <tableColumn id="1" xr3:uid="{00000000-0010-0000-5F00-000001000000}" name="Column1" dataDxfId="1432"/>
    <tableColumn id="2" xr3:uid="{00000000-0010-0000-5F00-000002000000}" name="خارجي" dataDxfId="1432"/>
    <tableColumn id="3" xr3:uid="{00000000-0010-0000-5F00-000003000000}" name="داخلي" dataDxfId="1432"/>
    <tableColumn id="4" xr3:uid="{00000000-0010-0000-5F00-000004000000}" name="بدل الوجبة" dataDxfId="1432"/>
    <tableColumn id="5" xr3:uid="{00000000-0010-0000-5F00-000005000000}" name="دبابة" dataDxfId="1432"/>
    <tableColumn id="6" xr3:uid="{00000000-0010-0000-5F00-000006000000}" name="جامبو" dataDxfId="1432"/>
    <tableColumn id="7" xr3:uid="{00000000-0010-0000-5F00-000007000000}" name="الاقامة" dataDxfId="1432"/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8" xr:uid="{00000000-000C-0000-FFFF-FFFF60000000}" name="Table18707989" displayName="Table18707989" ref="BI66:BM68" totalsRowShown="0">
  <autoFilter ref="BI66:BM68" xr:uid="{00000000-0009-0000-0100-000058000000}"/>
  <tableColumns count="5">
    <tableColumn id="1" xr3:uid="{00000000-0010-0000-6000-000001000000}" name="Column1" dataDxfId="1433"/>
    <tableColumn id="4" xr3:uid="{00000000-0010-0000-6000-000004000000}" name="Column22" dataDxfId="1433"/>
    <tableColumn id="5" xr3:uid="{00000000-0010-0000-6000-000005000000}" name="Column23" dataDxfId="1433"/>
    <tableColumn id="3" xr3:uid="{00000000-0010-0000-6000-000003000000}" name="Column3" dataDxfId="1449">
      <calculatedColumnFormula>IF((BL62="المقطم"),0.3,IF((BL62="التجمع"),0.3,IF((BL62="الشيخ زايد"),0.3,IF((BL62="الاسكندرية"),0.5,0.35))))</calculatedColumnFormula>
    </tableColumn>
    <tableColumn id="2" xr3:uid="{00000000-0010-0000-6000-000002000000}" name="Column2" dataDxfId="1441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_rels/sheet1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2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22.xml"/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3" Type="http://schemas.openxmlformats.org/officeDocument/2006/relationships/ctrlProp" Target="../ctrlProps/ctrlProp17.x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10" Type="http://schemas.openxmlformats.org/officeDocument/2006/relationships/ctrlProp" Target="../ctrlProps/ctrlProp24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/Relationships>
</file>

<file path=xl/worksheets/_rels/sheet1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table" Target="../tables/table5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12.xml"/><Relationship Id="rId13" Type="http://schemas.openxmlformats.org/officeDocument/2006/relationships/table" Target="../tables/table17.xml"/><Relationship Id="rId3" Type="http://schemas.openxmlformats.org/officeDocument/2006/relationships/table" Target="../tables/table7.xml"/><Relationship Id="rId7" Type="http://schemas.openxmlformats.org/officeDocument/2006/relationships/table" Target="../tables/table11.xml"/><Relationship Id="rId12" Type="http://schemas.openxmlformats.org/officeDocument/2006/relationships/table" Target="../tables/table16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10.xml"/><Relationship Id="rId11" Type="http://schemas.openxmlformats.org/officeDocument/2006/relationships/table" Target="../tables/table15.xml"/><Relationship Id="rId5" Type="http://schemas.openxmlformats.org/officeDocument/2006/relationships/table" Target="../tables/table9.xml"/><Relationship Id="rId10" Type="http://schemas.openxmlformats.org/officeDocument/2006/relationships/table" Target="../tables/table14.xml"/><Relationship Id="rId4" Type="http://schemas.openxmlformats.org/officeDocument/2006/relationships/table" Target="../tables/table8.xml"/><Relationship Id="rId9" Type="http://schemas.openxmlformats.org/officeDocument/2006/relationships/table" Target="../tables/table13.xml"/><Relationship Id="rId14" Type="http://schemas.openxmlformats.org/officeDocument/2006/relationships/comments" Target="../comments1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23.xml"/><Relationship Id="rId13" Type="http://schemas.openxmlformats.org/officeDocument/2006/relationships/table" Target="../tables/table28.xml"/><Relationship Id="rId3" Type="http://schemas.openxmlformats.org/officeDocument/2006/relationships/table" Target="../tables/table18.xml"/><Relationship Id="rId7" Type="http://schemas.openxmlformats.org/officeDocument/2006/relationships/table" Target="../tables/table22.xml"/><Relationship Id="rId12" Type="http://schemas.openxmlformats.org/officeDocument/2006/relationships/table" Target="../tables/table27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21.xml"/><Relationship Id="rId11" Type="http://schemas.openxmlformats.org/officeDocument/2006/relationships/table" Target="../tables/table26.xml"/><Relationship Id="rId5" Type="http://schemas.openxmlformats.org/officeDocument/2006/relationships/table" Target="../tables/table20.xml"/><Relationship Id="rId15" Type="http://schemas.openxmlformats.org/officeDocument/2006/relationships/comments" Target="../comments2.xml"/><Relationship Id="rId10" Type="http://schemas.openxmlformats.org/officeDocument/2006/relationships/table" Target="../tables/table25.xml"/><Relationship Id="rId4" Type="http://schemas.openxmlformats.org/officeDocument/2006/relationships/table" Target="../tables/table19.xml"/><Relationship Id="rId9" Type="http://schemas.openxmlformats.org/officeDocument/2006/relationships/table" Target="../tables/table24.xml"/><Relationship Id="rId14" Type="http://schemas.openxmlformats.org/officeDocument/2006/relationships/table" Target="../tables/table29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37.xml"/><Relationship Id="rId3" Type="http://schemas.openxmlformats.org/officeDocument/2006/relationships/table" Target="../tables/table32.xml"/><Relationship Id="rId7" Type="http://schemas.openxmlformats.org/officeDocument/2006/relationships/table" Target="../tables/table36.xml"/><Relationship Id="rId2" Type="http://schemas.openxmlformats.org/officeDocument/2006/relationships/table" Target="../tables/table31.xml"/><Relationship Id="rId1" Type="http://schemas.openxmlformats.org/officeDocument/2006/relationships/table" Target="../tables/table30.xml"/><Relationship Id="rId6" Type="http://schemas.openxmlformats.org/officeDocument/2006/relationships/table" Target="../tables/table35.xml"/><Relationship Id="rId11" Type="http://schemas.openxmlformats.org/officeDocument/2006/relationships/table" Target="../tables/table40.xml"/><Relationship Id="rId5" Type="http://schemas.openxmlformats.org/officeDocument/2006/relationships/table" Target="../tables/table34.xml"/><Relationship Id="rId10" Type="http://schemas.openxmlformats.org/officeDocument/2006/relationships/table" Target="../tables/table39.xml"/><Relationship Id="rId4" Type="http://schemas.openxmlformats.org/officeDocument/2006/relationships/table" Target="../tables/table33.xml"/><Relationship Id="rId9" Type="http://schemas.openxmlformats.org/officeDocument/2006/relationships/table" Target="../tables/table38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48.xml"/><Relationship Id="rId3" Type="http://schemas.openxmlformats.org/officeDocument/2006/relationships/table" Target="../tables/table43.xml"/><Relationship Id="rId7" Type="http://schemas.openxmlformats.org/officeDocument/2006/relationships/table" Target="../tables/table47.xml"/><Relationship Id="rId2" Type="http://schemas.openxmlformats.org/officeDocument/2006/relationships/table" Target="../tables/table42.xml"/><Relationship Id="rId1" Type="http://schemas.openxmlformats.org/officeDocument/2006/relationships/table" Target="../tables/table41.xml"/><Relationship Id="rId6" Type="http://schemas.openxmlformats.org/officeDocument/2006/relationships/table" Target="../tables/table46.xml"/><Relationship Id="rId5" Type="http://schemas.openxmlformats.org/officeDocument/2006/relationships/table" Target="../tables/table45.xml"/><Relationship Id="rId10" Type="http://schemas.openxmlformats.org/officeDocument/2006/relationships/table" Target="../tables/table50.xml"/><Relationship Id="rId4" Type="http://schemas.openxmlformats.org/officeDocument/2006/relationships/table" Target="../tables/table44.xml"/><Relationship Id="rId9" Type="http://schemas.openxmlformats.org/officeDocument/2006/relationships/table" Target="../tables/table49.xml"/></Relationships>
</file>

<file path=xl/worksheets/_rels/sheet8.xml.rels><?xml version="1.0" encoding="UTF-8" standalone="yes"?><Relationships xmlns="http://schemas.openxmlformats.org/package/2006/relationships"><Relationship Id="rId8" Type="http://schemas.openxmlformats.org/officeDocument/2006/relationships/table" Target="../tables/table58.xml"/><Relationship Id="rId13" Type="http://schemas.openxmlformats.org/officeDocument/2006/relationships/table" Target="../tables/table63.xml"/><Relationship Id="rId18" Type="http://schemas.openxmlformats.org/officeDocument/2006/relationships/table" Target="../tables/table68.xml"/><Relationship Id="rId3" Type="http://schemas.openxmlformats.org/officeDocument/2006/relationships/table" Target="../tables/table53.xml"/><Relationship Id="rId7" Type="http://schemas.openxmlformats.org/officeDocument/2006/relationships/table" Target="../tables/table57.xml"/><Relationship Id="rId12" Type="http://schemas.openxmlformats.org/officeDocument/2006/relationships/table" Target="../tables/table62.xml"/><Relationship Id="rId17" Type="http://schemas.openxmlformats.org/officeDocument/2006/relationships/table" Target="../tables/table67.xml"/><Relationship Id="rId2" Type="http://schemas.openxmlformats.org/officeDocument/2006/relationships/table" Target="../tables/table52.xml"/><Relationship Id="rId16" Type="http://schemas.openxmlformats.org/officeDocument/2006/relationships/table" Target="../tables/table66.xml"/><Relationship Id="rId20" Type="http://schemas.openxmlformats.org/officeDocument/2006/relationships/table" Target="../tables/table70.xml"/><Relationship Id="rId1" Type="http://schemas.openxmlformats.org/officeDocument/2006/relationships/table" Target="../tables/table51.xml"/><Relationship Id="rId6" Type="http://schemas.openxmlformats.org/officeDocument/2006/relationships/table" Target="../tables/table56.xml"/><Relationship Id="rId11" Type="http://schemas.openxmlformats.org/officeDocument/2006/relationships/table" Target="../tables/table61.xml"/><Relationship Id="rId5" Type="http://schemas.openxmlformats.org/officeDocument/2006/relationships/table" Target="../tables/table55.xml"/><Relationship Id="rId15" Type="http://schemas.openxmlformats.org/officeDocument/2006/relationships/table" Target="../tables/table65.xml"/><Relationship Id="rId10" Type="http://schemas.openxmlformats.org/officeDocument/2006/relationships/table" Target="../tables/table60.xml"/><Relationship Id="rId19" Type="http://schemas.openxmlformats.org/officeDocument/2006/relationships/table" Target="../tables/table69.xml"/><Relationship Id="rId4" Type="http://schemas.openxmlformats.org/officeDocument/2006/relationships/table" Target="../tables/table54.xml"/><Relationship Id="rId9" Type="http://schemas.openxmlformats.org/officeDocument/2006/relationships/table" Target="../tables/table59.xml"/><Relationship Id="rId14" Type="http://schemas.openxmlformats.org/officeDocument/2006/relationships/table" Target="../tables/table64.xml"/></Relationships>
</file>

<file path=xl/worksheets/_rels/sheet9.xml.rels><?xml version="1.0" encoding="UTF-8" standalone="yes"?><Relationships xmlns="http://schemas.openxmlformats.org/package/2006/relationships"><Relationship Id="rId13" Type="http://schemas.openxmlformats.org/officeDocument/2006/relationships/table" Target="../tables/table82.xml"/><Relationship Id="rId18" Type="http://schemas.openxmlformats.org/officeDocument/2006/relationships/table" Target="../tables/table87.xml"/><Relationship Id="rId26" Type="http://schemas.openxmlformats.org/officeDocument/2006/relationships/table" Target="../tables/table95.xml"/><Relationship Id="rId39" Type="http://schemas.openxmlformats.org/officeDocument/2006/relationships/table" Target="../tables/table108.xml"/><Relationship Id="rId21" Type="http://schemas.openxmlformats.org/officeDocument/2006/relationships/table" Target="../tables/table90.xml"/><Relationship Id="rId34" Type="http://schemas.openxmlformats.org/officeDocument/2006/relationships/table" Target="../tables/table103.xml"/><Relationship Id="rId42" Type="http://schemas.openxmlformats.org/officeDocument/2006/relationships/table" Target="../tables/table111.xml"/><Relationship Id="rId7" Type="http://schemas.openxmlformats.org/officeDocument/2006/relationships/table" Target="../tables/table76.xml"/><Relationship Id="rId2" Type="http://schemas.openxmlformats.org/officeDocument/2006/relationships/table" Target="../tables/table71.xml"/><Relationship Id="rId16" Type="http://schemas.openxmlformats.org/officeDocument/2006/relationships/table" Target="../tables/table85.xml"/><Relationship Id="rId29" Type="http://schemas.openxmlformats.org/officeDocument/2006/relationships/table" Target="../tables/table98.xml"/><Relationship Id="rId6" Type="http://schemas.openxmlformats.org/officeDocument/2006/relationships/table" Target="../tables/table75.xml"/><Relationship Id="rId11" Type="http://schemas.openxmlformats.org/officeDocument/2006/relationships/table" Target="../tables/table80.xml"/><Relationship Id="rId24" Type="http://schemas.openxmlformats.org/officeDocument/2006/relationships/table" Target="../tables/table93.xml"/><Relationship Id="rId32" Type="http://schemas.openxmlformats.org/officeDocument/2006/relationships/table" Target="../tables/table101.xml"/><Relationship Id="rId37" Type="http://schemas.openxmlformats.org/officeDocument/2006/relationships/table" Target="../tables/table106.xml"/><Relationship Id="rId40" Type="http://schemas.openxmlformats.org/officeDocument/2006/relationships/table" Target="../tables/table109.xml"/><Relationship Id="rId45" Type="http://schemas.openxmlformats.org/officeDocument/2006/relationships/table" Target="../tables/table114.xml"/><Relationship Id="rId5" Type="http://schemas.openxmlformats.org/officeDocument/2006/relationships/table" Target="../tables/table74.xml"/><Relationship Id="rId15" Type="http://schemas.openxmlformats.org/officeDocument/2006/relationships/table" Target="../tables/table84.xml"/><Relationship Id="rId23" Type="http://schemas.openxmlformats.org/officeDocument/2006/relationships/table" Target="../tables/table92.xml"/><Relationship Id="rId28" Type="http://schemas.openxmlformats.org/officeDocument/2006/relationships/table" Target="../tables/table97.xml"/><Relationship Id="rId36" Type="http://schemas.openxmlformats.org/officeDocument/2006/relationships/table" Target="../tables/table105.xml"/><Relationship Id="rId10" Type="http://schemas.openxmlformats.org/officeDocument/2006/relationships/table" Target="../tables/table79.xml"/><Relationship Id="rId19" Type="http://schemas.openxmlformats.org/officeDocument/2006/relationships/table" Target="../tables/table88.xml"/><Relationship Id="rId31" Type="http://schemas.openxmlformats.org/officeDocument/2006/relationships/table" Target="../tables/table100.xml"/><Relationship Id="rId44" Type="http://schemas.openxmlformats.org/officeDocument/2006/relationships/table" Target="../tables/table113.xml"/><Relationship Id="rId4" Type="http://schemas.openxmlformats.org/officeDocument/2006/relationships/table" Target="../tables/table73.xml"/><Relationship Id="rId9" Type="http://schemas.openxmlformats.org/officeDocument/2006/relationships/table" Target="../tables/table78.xml"/><Relationship Id="rId14" Type="http://schemas.openxmlformats.org/officeDocument/2006/relationships/table" Target="../tables/table83.xml"/><Relationship Id="rId22" Type="http://schemas.openxmlformats.org/officeDocument/2006/relationships/table" Target="../tables/table91.xml"/><Relationship Id="rId27" Type="http://schemas.openxmlformats.org/officeDocument/2006/relationships/table" Target="../tables/table96.xml"/><Relationship Id="rId30" Type="http://schemas.openxmlformats.org/officeDocument/2006/relationships/table" Target="../tables/table99.xml"/><Relationship Id="rId35" Type="http://schemas.openxmlformats.org/officeDocument/2006/relationships/table" Target="../tables/table104.xml"/><Relationship Id="rId43" Type="http://schemas.openxmlformats.org/officeDocument/2006/relationships/table" Target="../tables/table112.xml"/><Relationship Id="rId8" Type="http://schemas.openxmlformats.org/officeDocument/2006/relationships/table" Target="../tables/table77.xml"/><Relationship Id="rId3" Type="http://schemas.openxmlformats.org/officeDocument/2006/relationships/table" Target="../tables/table72.xml"/><Relationship Id="rId12" Type="http://schemas.openxmlformats.org/officeDocument/2006/relationships/table" Target="../tables/table81.xml"/><Relationship Id="rId17" Type="http://schemas.openxmlformats.org/officeDocument/2006/relationships/table" Target="../tables/table86.xml"/><Relationship Id="rId25" Type="http://schemas.openxmlformats.org/officeDocument/2006/relationships/table" Target="../tables/table94.xml"/><Relationship Id="rId33" Type="http://schemas.openxmlformats.org/officeDocument/2006/relationships/table" Target="../tables/table102.xml"/><Relationship Id="rId38" Type="http://schemas.openxmlformats.org/officeDocument/2006/relationships/table" Target="../tables/table107.xml"/><Relationship Id="rId20" Type="http://schemas.openxmlformats.org/officeDocument/2006/relationships/table" Target="../tables/table89.xml"/><Relationship Id="rId41" Type="http://schemas.openxmlformats.org/officeDocument/2006/relationships/table" Target="../tables/table11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58"/>
  <sheetViews>
    <sheetView rightToLeft="1" tabSelected="1" topLeftCell="A44" zoomScale="145" zoomScaleNormal="145" zoomScaleSheetLayoutView="70" workbookViewId="0">
      <selection activeCell="B54" sqref="B54"/>
    </sheetView>
  </sheetViews>
  <sheetFormatPr defaultColWidth="9.109375" defaultRowHeight="14.4"/>
  <cols>
    <col min="1" max="1" width="36.33203125" customWidth="1" style="233"/>
    <col min="2" max="2" width="19" customWidth="1" style="233"/>
    <col min="3" max="3" width="11" customWidth="1" style="233"/>
    <col min="4" max="4" width="18.109375" customWidth="1" style="233"/>
    <col min="5" max="6" width="9.109375" customWidth="1" style="233"/>
    <col min="7" max="9" width="11" customWidth="1" style="233"/>
    <col min="10" max="16384" width="9.109375" customWidth="1" style="233"/>
  </cols>
  <sheetData>
    <row r="1" ht="24.75" customHeight="1" s="361" customFormat="1">
      <c r="A1" s="361" t="s">
        <v>607</v>
      </c>
      <c r="B1" s="361" t="s">
        <v>608</v>
      </c>
      <c r="C1" s="361" t="s">
        <v>609</v>
      </c>
      <c r="D1" s="361" t="s">
        <v>184</v>
      </c>
      <c r="E1" s="492"/>
      <c r="F1" s="493"/>
      <c r="G1" s="624" t="s">
        <v>610</v>
      </c>
      <c r="H1" s="624"/>
      <c r="I1" s="624"/>
      <c r="J1" s="504"/>
    </row>
    <row r="2" ht="21">
      <c r="A2" s="582" t="s">
        <v>611</v>
      </c>
      <c r="B2" s="566" t="s">
        <v>612</v>
      </c>
      <c r="C2" s="494" t="s">
        <v>318</v>
      </c>
      <c r="D2" s="495" t="s">
        <v>613</v>
      </c>
      <c r="E2" s="492"/>
      <c r="F2" s="496"/>
      <c r="G2" s="233" t="s">
        <v>102</v>
      </c>
      <c r="H2" s="233" t="s">
        <v>121</v>
      </c>
      <c r="I2" s="233" t="s">
        <v>184</v>
      </c>
      <c r="J2" s="505"/>
    </row>
    <row r="3" ht="21">
      <c r="A3" s="583" t="s">
        <v>614</v>
      </c>
      <c r="B3" s="567" t="s">
        <v>615</v>
      </c>
      <c r="C3" s="497" t="s">
        <v>36</v>
      </c>
      <c r="D3" s="498" t="s">
        <v>616</v>
      </c>
      <c r="E3" s="492"/>
      <c r="F3" s="496"/>
      <c r="G3" s="233" t="str">
        <f>IF(AND((تسعير!U14=D2),(تسعير!X8&lt;801)),"A",IF(AND((تسعير!U14=D3),(تسعير!X8&lt;801)),"B",IF(AND(,(تسعير!U14=D2),(تسعير!X8&gt;800)),"C",IF(AND((تسعير!U14=D3),(تسعير!X8&gt;800)),"D","no"))))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B1</v>
      </c>
      <c r="I3" s="233">
        <f>Table1[[#Totals],[اجمالي]]+Table14[[#Totals],[اجمالي]]+Table15[[#Totals],[اجمالي]]+Table16[[#Totals],[اجمالي]]+Table1610[[#Totals],[اجمالي]]</f>
        <v>16710.5</v>
      </c>
      <c r="J3" s="505"/>
    </row>
    <row r="4" ht="21">
      <c r="A4" s="499"/>
      <c r="B4" s="500"/>
      <c r="C4" s="500"/>
      <c r="D4" s="501"/>
      <c r="E4" s="492"/>
      <c r="F4" s="496"/>
      <c r="G4" s="625" t="s">
        <v>617</v>
      </c>
      <c r="H4" s="625"/>
      <c r="I4" s="625"/>
      <c r="J4" s="505"/>
    </row>
    <row r="5" ht="21">
      <c r="A5" s="582" t="s">
        <v>611</v>
      </c>
      <c r="B5" s="566" t="s">
        <v>612</v>
      </c>
      <c r="C5" s="494" t="s">
        <v>318</v>
      </c>
      <c r="D5" s="495" t="s">
        <v>613</v>
      </c>
      <c r="E5" s="492"/>
      <c r="F5" s="496"/>
      <c r="G5" s="233" t="s">
        <v>102</v>
      </c>
      <c r="H5" s="233" t="s">
        <v>121</v>
      </c>
      <c r="I5" s="233" t="s">
        <v>184</v>
      </c>
      <c r="J5" s="505"/>
    </row>
    <row r="6" ht="21" customHeight="1">
      <c r="A6" s="583" t="s">
        <v>614</v>
      </c>
      <c r="B6" s="567" t="s">
        <v>615</v>
      </c>
      <c r="C6" s="497" t="s">
        <v>36</v>
      </c>
      <c r="D6" s="498" t="s">
        <v>616</v>
      </c>
      <c r="E6" s="492"/>
      <c r="F6" s="496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E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E1</v>
      </c>
      <c r="I6" s="506">
        <f>Table118[[#Totals],[اجمالي]]+Table1421[[#Totals],[اجمالي]]+Table1522[[#Totals],[اجمالي]]+Table1624[[#Totals],[اجمالي]]+Table1319[[#Totals],[اجمالي]]+Table161027[[#Totals],[اجمالي]]</f>
        <v>53281.75</v>
      </c>
      <c r="J6" s="505"/>
    </row>
    <row r="7" ht="21" customHeight="1">
      <c r="A7" s="502"/>
      <c r="B7" s="500"/>
      <c r="C7" s="500"/>
      <c r="D7" s="501"/>
      <c r="E7" s="492"/>
      <c r="F7" s="502"/>
      <c r="G7" s="503"/>
      <c r="H7" s="503"/>
      <c r="I7" s="503"/>
      <c r="J7" s="507"/>
    </row>
    <row r="10" ht="21">
      <c r="A10" s="626" t="s">
        <v>618</v>
      </c>
      <c r="B10" s="626"/>
    </row>
    <row r="11">
      <c r="A11" s="233" t="s">
        <v>7</v>
      </c>
      <c r="B11" s="233" t="s">
        <v>13</v>
      </c>
    </row>
    <row r="12">
      <c r="A12" s="233" t="s">
        <v>619</v>
      </c>
      <c r="B12" s="233">
        <v>45000</v>
      </c>
    </row>
    <row r="13">
      <c r="A13" s="233" t="s">
        <v>620</v>
      </c>
      <c r="B13" s="233">
        <v>50000</v>
      </c>
    </row>
    <row r="14">
      <c r="A14" s="233" t="s">
        <v>15</v>
      </c>
      <c r="B14" s="233">
        <v>202000</v>
      </c>
    </row>
    <row r="15">
      <c r="A15" s="233" t="s">
        <v>621</v>
      </c>
      <c r="B15" s="233">
        <v>70000</v>
      </c>
    </row>
    <row r="16">
      <c r="A16" s="233" t="s">
        <v>622</v>
      </c>
      <c r="B16" s="233">
        <v>950</v>
      </c>
    </row>
    <row r="17">
      <c r="A17" s="233" t="s">
        <v>623</v>
      </c>
      <c r="B17" s="233">
        <v>175</v>
      </c>
    </row>
    <row r="18">
      <c r="A18" s="233" t="s">
        <v>201</v>
      </c>
      <c r="B18" s="233">
        <v>360</v>
      </c>
    </row>
    <row r="19">
      <c r="A19" s="233" t="s">
        <v>245</v>
      </c>
      <c r="B19" s="233">
        <v>250</v>
      </c>
    </row>
    <row r="20">
      <c r="A20" s="233" t="s">
        <v>203</v>
      </c>
      <c r="B20" s="233">
        <v>435</v>
      </c>
    </row>
    <row r="21">
      <c r="A21" s="233" t="s">
        <v>246</v>
      </c>
      <c r="B21" s="233">
        <v>470</v>
      </c>
    </row>
    <row r="22">
      <c r="A22" s="233" t="s">
        <v>155</v>
      </c>
      <c r="B22" s="233">
        <v>190</v>
      </c>
    </row>
    <row r="23">
      <c r="A23" s="233" t="s">
        <v>158</v>
      </c>
      <c r="B23" s="233">
        <v>190</v>
      </c>
    </row>
    <row r="24">
      <c r="A24" s="233" t="s">
        <v>195</v>
      </c>
      <c r="B24" s="233">
        <v>400</v>
      </c>
    </row>
    <row r="25">
      <c r="A25" s="233" t="s">
        <v>134</v>
      </c>
      <c r="B25" s="233">
        <v>95</v>
      </c>
    </row>
    <row r="26">
      <c r="A26" s="233" t="s">
        <v>198</v>
      </c>
      <c r="B26" s="233">
        <v>220</v>
      </c>
    </row>
    <row r="27">
      <c r="A27" s="233" t="s">
        <v>199</v>
      </c>
      <c r="B27" s="233">
        <v>510</v>
      </c>
    </row>
    <row r="28">
      <c r="A28" s="233" t="s">
        <v>164</v>
      </c>
      <c r="B28" s="233">
        <v>400</v>
      </c>
    </row>
    <row r="29">
      <c r="A29" s="233" t="s">
        <v>178</v>
      </c>
      <c r="B29" s="233">
        <v>700</v>
      </c>
    </row>
    <row r="30">
      <c r="A30" s="233" t="s">
        <v>181</v>
      </c>
      <c r="B30" s="233">
        <v>1200</v>
      </c>
    </row>
    <row r="31">
      <c r="A31" s="233" t="s">
        <v>182</v>
      </c>
      <c r="B31" s="233">
        <v>450</v>
      </c>
    </row>
    <row r="32">
      <c r="A32" s="233" t="s">
        <v>209</v>
      </c>
      <c r="B32" s="233">
        <v>8000</v>
      </c>
    </row>
    <row r="33">
      <c r="A33" s="546" t="s">
        <v>624</v>
      </c>
      <c r="B33" s="233">
        <v>8000</v>
      </c>
    </row>
    <row r="34">
      <c r="A34" s="233" t="s">
        <v>489</v>
      </c>
      <c r="B34" s="233">
        <v>2000</v>
      </c>
    </row>
    <row r="35">
      <c r="A35" s="233" t="s">
        <v>497</v>
      </c>
      <c r="B35" s="233">
        <v>750</v>
      </c>
    </row>
    <row r="36">
      <c r="A36" s="233" t="s">
        <v>499</v>
      </c>
      <c r="B36" s="233">
        <v>750</v>
      </c>
    </row>
    <row r="37">
      <c r="A37" s="233" t="s">
        <v>507</v>
      </c>
      <c r="B37" s="233">
        <v>5000</v>
      </c>
    </row>
    <row r="38">
      <c r="A38" s="233" t="s">
        <v>509</v>
      </c>
      <c r="B38" s="233">
        <v>800</v>
      </c>
    </row>
    <row r="39">
      <c r="A39" s="233" t="s">
        <v>514</v>
      </c>
      <c r="B39" s="233">
        <v>150</v>
      </c>
    </row>
    <row r="40">
      <c r="A40" s="233" t="s">
        <v>625</v>
      </c>
      <c r="B40" s="233">
        <v>90</v>
      </c>
    </row>
    <row r="41">
      <c r="A41" s="233" t="s">
        <v>626</v>
      </c>
      <c r="B41" s="233">
        <v>25</v>
      </c>
    </row>
    <row r="42" ht="18">
      <c r="A42" s="547" t="s">
        <v>627</v>
      </c>
      <c r="B42" s="233">
        <v>650</v>
      </c>
    </row>
    <row r="43" ht="18">
      <c r="A43" s="547" t="s">
        <v>628</v>
      </c>
      <c r="B43" s="233">
        <v>130</v>
      </c>
    </row>
    <row r="44" ht="18">
      <c r="A44" s="547" t="s">
        <v>629</v>
      </c>
      <c r="B44" s="233">
        <v>250</v>
      </c>
    </row>
    <row r="45">
      <c r="A45" s="233" t="s">
        <v>630</v>
      </c>
      <c r="B45" s="233">
        <v>2000</v>
      </c>
    </row>
    <row r="46">
      <c r="A46" s="233" t="s">
        <v>631</v>
      </c>
      <c r="B46" s="233">
        <v>1500</v>
      </c>
    </row>
    <row r="47">
      <c r="A47" s="233" t="s">
        <v>632</v>
      </c>
      <c r="B47" s="233">
        <v>125</v>
      </c>
    </row>
    <row r="48">
      <c r="A48" s="233" t="s">
        <v>633</v>
      </c>
      <c r="B48" s="233">
        <v>25</v>
      </c>
    </row>
    <row r="49">
      <c r="A49" s="233" t="s">
        <v>634</v>
      </c>
      <c r="B49" s="233">
        <v>1200</v>
      </c>
    </row>
    <row r="50">
      <c r="A50" s="233" t="s">
        <v>361</v>
      </c>
      <c r="B50" s="233">
        <v>120</v>
      </c>
    </row>
    <row r="51">
      <c r="A51" s="233" t="s">
        <v>635</v>
      </c>
      <c r="B51" s="233">
        <v>120</v>
      </c>
    </row>
    <row r="52">
      <c r="A52" s="233" t="s">
        <v>636</v>
      </c>
      <c r="B52" s="233">
        <v>150</v>
      </c>
    </row>
    <row r="53">
      <c r="A53" s="233" t="s">
        <v>637</v>
      </c>
      <c r="B53" s="233">
        <v>70</v>
      </c>
    </row>
    <row r="54">
      <c r="A54" s="233" t="s">
        <v>638</v>
      </c>
      <c r="B54" s="233">
        <v>1200</v>
      </c>
    </row>
    <row r="55">
      <c r="A55" s="546" t="s">
        <v>639</v>
      </c>
      <c r="B55" s="233">
        <v>18000</v>
      </c>
    </row>
    <row r="56">
      <c r="A56" s="546" t="s">
        <v>640</v>
      </c>
      <c r="B56" s="233">
        <v>6000</v>
      </c>
    </row>
    <row r="57">
      <c r="A57" s="546" t="s">
        <v>641</v>
      </c>
      <c r="B57" s="233">
        <v>9000</v>
      </c>
    </row>
    <row r="58">
      <c r="A58" s="233" t="s">
        <v>642</v>
      </c>
      <c r="B58" s="233">
        <v>200</v>
      </c>
    </row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J1:L1" location="Royal!A1" display="مثبتة علي الحائط"/>
    <hyperlink ref="K1:M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J4:L4" location="Royal2!A1" display="مثبتة غير علي الحائط"/>
    <hyperlink ref="K4:M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/>
  <dimension ref="A1:S30"/>
  <sheetViews>
    <sheetView zoomScale="110" zoomScaleNormal="110" workbookViewId="0">
      <selection activeCell="AF16" sqref="AF16"/>
    </sheetView>
  </sheetViews>
  <sheetFormatPr defaultColWidth="9.109375" defaultRowHeight="14.4"/>
  <cols>
    <col min="1" max="1" width="18.5546875" customWidth="1" style="11"/>
    <col min="2" max="3" width="9.109375" customWidth="1" style="1"/>
    <col min="4" max="4" width="10" customWidth="1" style="1"/>
    <col min="5" max="7" width="9.109375" customWidth="1" style="1"/>
    <col min="8" max="8" width="15.109375" customWidth="1" style="1"/>
    <col min="9" max="16384" width="9.109375" customWidth="1" style="1"/>
  </cols>
  <sheetData>
    <row r="1" ht="18" customHeight="1">
      <c r="J1" s="708" t="s">
        <v>415</v>
      </c>
      <c r="K1" s="708"/>
      <c r="L1" s="708"/>
      <c r="M1" s="708"/>
      <c r="N1" s="708"/>
      <c r="O1" s="708"/>
      <c r="P1" s="708"/>
      <c r="Q1" s="708"/>
      <c r="R1" s="708"/>
      <c r="S1" s="708"/>
    </row>
    <row r="2" ht="18" customHeight="1">
      <c r="A2" s="11" t="s">
        <v>416</v>
      </c>
      <c r="B2" s="697">
        <f>Royal!C3</f>
        <v>0</v>
      </c>
      <c r="C2" s="698"/>
      <c r="D2" s="698"/>
      <c r="E2" s="698"/>
      <c r="F2" s="699"/>
      <c r="G2" s="1">
        <v>1</v>
      </c>
      <c r="J2" s="708"/>
      <c r="K2" s="708"/>
      <c r="L2" s="708"/>
      <c r="M2" s="708"/>
      <c r="N2" s="708"/>
      <c r="O2" s="708"/>
      <c r="P2" s="708"/>
      <c r="Q2" s="708"/>
      <c r="R2" s="708"/>
      <c r="S2" s="708"/>
    </row>
    <row r="3" ht="18" customHeight="1">
      <c r="A3" s="11" t="s">
        <v>417</v>
      </c>
      <c r="F3" s="700" t="s">
        <v>418</v>
      </c>
      <c r="G3" s="700"/>
    </row>
    <row r="4" ht="18" customHeight="1">
      <c r="A4" s="11" t="s">
        <v>419</v>
      </c>
      <c r="F4" s="701" t="s">
        <v>420</v>
      </c>
      <c r="G4" s="702"/>
      <c r="H4" s="702"/>
      <c r="I4" s="703"/>
      <c r="J4" s="10"/>
    </row>
    <row r="5" ht="18" customHeight="1">
      <c r="A5" s="11" t="s">
        <v>421</v>
      </c>
      <c r="F5" s="704" t="s">
        <v>422</v>
      </c>
      <c r="G5" s="705"/>
      <c r="H5" s="705"/>
      <c r="I5" s="706"/>
      <c r="J5" s="10"/>
    </row>
    <row r="6" ht="18" customHeight="1">
      <c r="A6" s="11" t="s">
        <v>423</v>
      </c>
      <c r="Q6" s="707"/>
      <c r="R6" s="707"/>
      <c r="S6" s="707"/>
    </row>
    <row r="7" ht="18" customHeight="1">
      <c r="B7" s="180" t="s">
        <v>213</v>
      </c>
      <c r="C7" s="181">
        <f>تسعير!AA10</f>
        <v>400</v>
      </c>
      <c r="D7" s="182" t="s">
        <v>252</v>
      </c>
      <c r="E7" s="183">
        <f>تسعير!X8</f>
        <v>400</v>
      </c>
    </row>
    <row r="8" ht="18" customHeight="1">
      <c r="F8" s="1">
        <v>5</v>
      </c>
    </row>
    <row r="9" ht="18" customHeight="1">
      <c r="A9" s="11" t="s">
        <v>424</v>
      </c>
    </row>
    <row r="10" ht="18" customHeight="1">
      <c r="A10" s="11" t="s">
        <v>425</v>
      </c>
    </row>
    <row r="11" ht="18" customHeight="1">
      <c r="A11" s="11" t="s">
        <v>426</v>
      </c>
      <c r="B11" s="709" t="s">
        <v>427</v>
      </c>
      <c r="C11" s="710"/>
      <c r="D11" s="705" t="s">
        <v>428</v>
      </c>
      <c r="E11" s="706"/>
    </row>
    <row r="12" ht="18" customHeight="1">
      <c r="A12" s="11" t="s">
        <v>429</v>
      </c>
    </row>
    <row r="13" ht="18" customHeight="1">
      <c r="A13" s="11" t="s">
        <v>430</v>
      </c>
    </row>
    <row r="14" ht="18" customHeight="1"/>
    <row r="15" ht="24.6" customHeight="1">
      <c r="A15" s="11" t="s">
        <v>431</v>
      </c>
      <c r="Q15" s="707"/>
      <c r="R15" s="707"/>
      <c r="S15" s="707"/>
    </row>
    <row r="16" ht="18" customHeight="1">
      <c r="C16" s="700" t="s">
        <v>432</v>
      </c>
      <c r="D16" s="700"/>
      <c r="E16" s="700"/>
      <c r="F16" s="1" t="s">
        <v>433</v>
      </c>
    </row>
    <row r="17" ht="18" customHeight="1">
      <c r="A17" s="700" t="s">
        <v>434</v>
      </c>
      <c r="B17" s="700"/>
      <c r="C17" s="700"/>
    </row>
    <row r="18" ht="18" customHeight="1">
      <c r="A18" s="711" t="s">
        <v>435</v>
      </c>
      <c r="B18" s="712"/>
      <c r="C18" s="14">
        <f>'Format Φωτισμου'!B9</f>
        <v>3</v>
      </c>
    </row>
    <row r="19" ht="18" customHeight="1">
      <c r="A19" s="711" t="s">
        <v>436</v>
      </c>
      <c r="B19" s="712"/>
      <c r="C19" s="14">
        <f>'Format Φωτισμου'!B12</f>
        <v>9</v>
      </c>
    </row>
    <row r="20" ht="18" customHeight="1">
      <c r="A20" s="711" t="s">
        <v>437</v>
      </c>
      <c r="B20" s="712"/>
      <c r="C20" s="14">
        <f>C19/C18</f>
        <v>3</v>
      </c>
    </row>
    <row r="21" ht="18" customHeight="1">
      <c r="A21" s="713" t="s">
        <v>438</v>
      </c>
      <c r="B21" s="714"/>
      <c r="C21" s="715">
        <v>20</v>
      </c>
      <c r="D21" s="716"/>
      <c r="E21" s="709" t="s">
        <v>439</v>
      </c>
      <c r="F21" s="710"/>
      <c r="G21" s="710"/>
      <c r="H21" s="14">
        <f>C21/C18</f>
        <v>6.666666666666667</v>
      </c>
      <c r="J21" s="718"/>
      <c r="K21" s="718"/>
      <c r="L21" s="718"/>
      <c r="M21" s="718"/>
      <c r="N21" s="718"/>
      <c r="O21" s="718"/>
      <c r="P21" s="718"/>
      <c r="Q21" s="718"/>
      <c r="R21" s="718"/>
      <c r="S21" s="718"/>
    </row>
    <row r="22" ht="18" customHeight="1">
      <c r="A22" s="711" t="s">
        <v>440</v>
      </c>
      <c r="B22" s="712"/>
      <c r="C22" s="179">
        <v>50</v>
      </c>
      <c r="D22" s="184" t="s">
        <v>441</v>
      </c>
      <c r="J22" s="718"/>
      <c r="K22" s="718"/>
      <c r="L22" s="718"/>
      <c r="M22" s="718"/>
      <c r="N22" s="718"/>
      <c r="O22" s="718"/>
      <c r="P22" s="718"/>
      <c r="Q22" s="718"/>
      <c r="R22" s="718"/>
      <c r="S22" s="718"/>
    </row>
    <row r="23" ht="18" customHeight="1">
      <c r="J23" s="718"/>
      <c r="K23" s="718"/>
      <c r="L23" s="718"/>
      <c r="M23" s="718"/>
      <c r="N23" s="718"/>
      <c r="O23" s="718"/>
      <c r="P23" s="718"/>
      <c r="Q23" s="718"/>
      <c r="R23" s="718"/>
      <c r="S23" s="718"/>
    </row>
    <row r="24" ht="18" customHeight="1"/>
    <row r="25" ht="18" customHeight="1">
      <c r="A25" s="11" t="s">
        <v>442</v>
      </c>
      <c r="J25" s="717"/>
      <c r="K25" s="717"/>
      <c r="L25" s="717"/>
      <c r="M25" s="717"/>
      <c r="N25" s="717"/>
      <c r="O25" s="717"/>
      <c r="P25" s="717"/>
      <c r="Q25" s="717"/>
      <c r="R25" s="15"/>
      <c r="S25" s="10"/>
    </row>
    <row r="26" ht="18" customHeight="1">
      <c r="G26" s="1" t="s">
        <v>443</v>
      </c>
      <c r="H26" s="1" t="s">
        <v>444</v>
      </c>
    </row>
    <row r="27" ht="18" customHeight="1">
      <c r="A27" s="11" t="s">
        <v>445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2</v>
      </c>
      <c r="H27" s="185">
        <f>IF(Format!J8=3,تسجيل1!G27,IF(Format!J8=1,تسجيل1!G27-2,IF(Format!J8=2,تسجيل1!G27-1,IF(Format!J8=4,تسجيل1!G27+1,IF(Format!J8=5,تسجيل1!G27+2)))))</f>
        <v>2</v>
      </c>
      <c r="J27" s="707"/>
      <c r="K27" s="707"/>
      <c r="L27" s="707"/>
      <c r="M27" s="707"/>
      <c r="N27" s="707"/>
      <c r="O27" s="707"/>
      <c r="P27" s="707"/>
      <c r="Q27" s="707"/>
      <c r="R27" s="707"/>
      <c r="S27" s="707"/>
    </row>
    <row r="28" ht="18" customHeight="1">
      <c r="A28" s="11" t="s">
        <v>446</v>
      </c>
      <c r="G28" s="185">
        <f>IF(Format!A7=1,Format!E31,IF(Format!A7=2,Format!E31,IF(Format!A7=3,Format!E31,IF(Format!A7=4,Format!E31,IF(Format!A7=5,Format!E31,Format!U31)))))</f>
        <v>5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5</v>
      </c>
    </row>
    <row r="29" ht="18" customHeight="1">
      <c r="G29" s="185">
        <f>IF(H27=2,2,H27+1)</f>
        <v>2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2</v>
      </c>
      <c r="M29" s="15"/>
      <c r="O29" s="15"/>
    </row>
    <row r="30" ht="18" customHeight="1">
      <c r="A30" s="11" t="s">
        <v>426</v>
      </c>
      <c r="G30" s="185">
        <f>G27</f>
        <v>2</v>
      </c>
      <c r="H30" s="185">
        <f>IF(Format!M8=3,G30,IF(Format!M8=1,G30-2,IF(Format!M8=2,G30-1,IF(Format!M8=4,G30+1,IF(Format!M8=5,G30+2)))))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7620</xdr:colOff>
                    <xdr:row>2</xdr:row>
                    <xdr:rowOff>7620</xdr:rowOff>
                  </from>
                  <to>
                    <xdr:col>4</xdr:col>
                    <xdr:colOff>600075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7620</xdr:colOff>
                    <xdr:row>3</xdr:row>
                    <xdr:rowOff>22860</xdr:rowOff>
                  </from>
                  <to>
                    <xdr:col>4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7620</xdr:colOff>
                    <xdr:row>4</xdr:row>
                    <xdr:rowOff>22860</xdr:rowOff>
                  </from>
                  <to>
                    <xdr:col>4</xdr:col>
                    <xdr:colOff>600075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7620</xdr:rowOff>
                  </from>
                  <to>
                    <xdr:col>5</xdr:col>
                    <xdr:colOff>0</xdr:colOff>
                    <xdr:row>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7620</xdr:rowOff>
                  </from>
                  <to>
                    <xdr:col>5</xdr:col>
                    <xdr:colOff>0</xdr:colOff>
                    <xdr:row>9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22860</xdr:rowOff>
                  </from>
                  <to>
                    <xdr:col>5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22860</xdr:rowOff>
                  </from>
                  <to>
                    <xdr:col>5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7620</xdr:rowOff>
                  </from>
                  <to>
                    <xdr:col>5</xdr:col>
                    <xdr:colOff>0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22860</xdr:rowOff>
                  </from>
                  <to>
                    <xdr:col>5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7620</xdr:colOff>
                    <xdr:row>26</xdr:row>
                    <xdr:rowOff>22860</xdr:rowOff>
                  </from>
                  <to>
                    <xdr:col>4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7620</xdr:colOff>
                    <xdr:row>27</xdr:row>
                    <xdr:rowOff>7620</xdr:rowOff>
                  </from>
                  <to>
                    <xdr:col>4</xdr:col>
                    <xdr:colOff>600075</xdr:colOff>
                    <xdr:row>27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7620</xdr:colOff>
                    <xdr:row>28</xdr:row>
                    <xdr:rowOff>7620</xdr:rowOff>
                  </from>
                  <to>
                    <xdr:col>4</xdr:col>
                    <xdr:colOff>600075</xdr:colOff>
                    <xdr:row>28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7620</xdr:colOff>
                    <xdr:row>2</xdr:row>
                    <xdr:rowOff>7620</xdr:rowOff>
                  </from>
                  <to>
                    <xdr:col>8</xdr:col>
                    <xdr:colOff>371475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7620</xdr:rowOff>
                  </from>
                  <to>
                    <xdr:col>8</xdr:col>
                    <xdr:colOff>257175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22860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7620</xdr:colOff>
                    <xdr:row>29</xdr:row>
                    <xdr:rowOff>7620</xdr:rowOff>
                  </from>
                  <to>
                    <xdr:col>4</xdr:col>
                    <xdr:colOff>600075</xdr:colOff>
                    <xdr:row>29</xdr:row>
                    <xdr:rowOff>144780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5">
    <pageSetUpPr fitToPage="1"/>
  </sheetPr>
  <dimension ref="A1:AB98"/>
  <sheetViews>
    <sheetView rightToLeft="1" topLeftCell="J1" zoomScaleNormal="100" workbookViewId="0">
      <selection activeCell="AC1" sqref="AC1"/>
    </sheetView>
  </sheetViews>
  <sheetFormatPr defaultColWidth="9.109375" defaultRowHeight="18"/>
  <cols>
    <col min="1" max="1" width="2.6640625" customWidth="1" style="10"/>
    <col min="2" max="5" width="8.6640625" customWidth="1" style="10"/>
    <col min="6" max="6" width="4.88671875" customWidth="1" style="10"/>
    <col min="7" max="7" width="8.33203125" customWidth="1" style="10"/>
    <col min="8" max="8" width="2.6640625" customWidth="1" style="10"/>
    <col min="9" max="12" width="8.6640625" customWidth="1" style="10"/>
    <col min="13" max="13" width="4.88671875" customWidth="1" style="10"/>
    <col min="14" max="14" width="9.109375" customWidth="1" style="59"/>
    <col min="15" max="15" width="19.6640625" customWidth="1" style="59"/>
    <col min="16" max="16" width="5" customWidth="1" style="60"/>
    <col min="17" max="17" width="8.33203125" customWidth="1" style="60"/>
    <col min="18" max="18" width="4.6640625" customWidth="1" style="60"/>
    <col min="19" max="19" width="10.5546875" customWidth="1" style="60"/>
    <col min="20" max="20" width="16.5546875" customWidth="1" style="61"/>
    <col min="21" max="21" width="10" customWidth="1" style="60"/>
    <col min="22" max="22" width="13.5546875" customWidth="1" style="60"/>
    <col min="23" max="23" width="14" customWidth="1" style="60"/>
    <col min="24" max="24" width="15.88671875" customWidth="1" style="60"/>
    <col min="25" max="25" width="8.5546875" customWidth="1" style="60"/>
    <col min="26" max="26" width="10.6640625" customWidth="1" style="60"/>
    <col min="27" max="28" width="9.44140625" customWidth="1" style="62"/>
    <col min="29" max="30" width="9.109375" customWidth="1" style="58"/>
    <col min="31" max="52" width="9.109375" customWidth="1" style="10"/>
    <col min="53" max="16384" width="9.109375" customWidth="1" style="10"/>
  </cols>
  <sheetData>
    <row r="1" ht="40.5" customHeight="1">
      <c r="A1" s="719" t="s">
        <v>447</v>
      </c>
      <c r="B1" s="720"/>
      <c r="C1" s="720"/>
      <c r="D1" s="720"/>
      <c r="E1" s="720"/>
      <c r="F1" s="720"/>
      <c r="G1" s="720"/>
      <c r="H1" s="720"/>
      <c r="I1" s="720"/>
      <c r="J1" s="720"/>
      <c r="K1" s="720"/>
      <c r="L1" s="720"/>
      <c r="M1" s="720"/>
      <c r="N1" s="721"/>
      <c r="O1" s="87"/>
      <c r="P1" s="88"/>
      <c r="Q1" s="88"/>
      <c r="R1" s="88"/>
      <c r="W1" s="136">
        <f>IF(تسعير!T6="سادة",Royal!J2+20000,IF(تسعير!T6="خشبي",Royal!J2+40000,0))</f>
        <v>222000</v>
      </c>
      <c r="X1" s="60" t="s">
        <v>448</v>
      </c>
      <c r="Y1" s="136" t="e">
        <f>Royal!#REF!</f>
        <v>#REF!</v>
      </c>
      <c r="Z1" s="151" t="s">
        <v>449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735" t="s">
        <v>416</v>
      </c>
      <c r="B3" s="735"/>
      <c r="C3" s="735"/>
      <c r="D3" s="737">
        <f>تسجيل1!B2</f>
        <v>0</v>
      </c>
      <c r="E3" s="737"/>
      <c r="F3" s="737"/>
      <c r="G3" s="737"/>
      <c r="H3" s="737"/>
      <c r="I3" s="737"/>
      <c r="J3" s="737"/>
      <c r="K3" s="737"/>
      <c r="L3" s="737"/>
      <c r="M3" s="722" t="s">
        <v>450</v>
      </c>
      <c r="N3" s="722"/>
      <c r="O3" s="89"/>
      <c r="P3" s="90"/>
      <c r="Q3" s="90"/>
      <c r="R3" s="90"/>
      <c r="Z3" s="151"/>
      <c r="AA3" s="60"/>
      <c r="AB3" s="60"/>
    </row>
    <row r="4" ht="13.5" customHeight="1">
      <c r="A4" s="736"/>
      <c r="B4" s="736"/>
      <c r="C4" s="736"/>
      <c r="D4" s="738"/>
      <c r="E4" s="738"/>
      <c r="F4" s="738"/>
      <c r="G4" s="737"/>
      <c r="H4" s="737"/>
      <c r="I4" s="738"/>
      <c r="J4" s="738"/>
      <c r="K4" s="738"/>
      <c r="L4" s="738"/>
      <c r="M4" s="723"/>
      <c r="N4" s="723"/>
      <c r="O4" s="91"/>
      <c r="P4" s="92"/>
      <c r="Q4" s="92"/>
      <c r="R4" s="92"/>
      <c r="Z4" s="151"/>
      <c r="AA4" s="60"/>
      <c r="AB4" s="60"/>
    </row>
    <row r="5" ht="13.5" customHeight="1">
      <c r="A5" s="724" t="e">
        <f>Y1</f>
        <v>#REF!</v>
      </c>
      <c r="B5" s="725"/>
      <c r="C5" s="726"/>
      <c r="D5" s="727" t="s">
        <v>449</v>
      </c>
      <c r="E5" s="728"/>
      <c r="F5" s="729"/>
      <c r="G5" s="63"/>
      <c r="H5" s="63"/>
      <c r="I5" s="724">
        <f>W1</f>
        <v>222000</v>
      </c>
      <c r="J5" s="725"/>
      <c r="K5" s="726"/>
      <c r="L5" s="727" t="s">
        <v>451</v>
      </c>
      <c r="M5" s="728"/>
      <c r="N5" s="729"/>
      <c r="O5" s="93"/>
      <c r="P5" s="92"/>
      <c r="Q5" s="92"/>
      <c r="R5" s="92"/>
      <c r="Z5" s="151"/>
      <c r="AA5" s="60"/>
      <c r="AB5" s="60"/>
    </row>
    <row r="6" ht="16.5" customHeight="1">
      <c r="A6" s="804" t="s">
        <v>452</v>
      </c>
      <c r="B6" s="805"/>
      <c r="C6" s="806"/>
      <c r="D6" s="798" t="s">
        <v>453</v>
      </c>
      <c r="E6" s="730" t="s">
        <v>423</v>
      </c>
      <c r="F6" s="731"/>
      <c r="G6" s="732"/>
      <c r="H6" s="732"/>
      <c r="I6" s="731"/>
      <c r="J6" s="733"/>
      <c r="K6" s="734">
        <f>تسجيل1!C7</f>
        <v>400</v>
      </c>
      <c r="L6" s="734"/>
      <c r="M6" s="94" t="s">
        <v>454</v>
      </c>
      <c r="N6" s="186">
        <f>تسجيل1!E7</f>
        <v>400</v>
      </c>
      <c r="O6" s="96" t="s">
        <v>215</v>
      </c>
      <c r="P6" s="97"/>
      <c r="Q6" s="97"/>
      <c r="R6" s="97"/>
      <c r="Z6" s="151"/>
      <c r="AA6" s="60"/>
      <c r="AB6" s="60"/>
    </row>
    <row r="7" ht="19.8">
      <c r="A7" s="804"/>
      <c r="B7" s="805"/>
      <c r="C7" s="806"/>
      <c r="D7" s="798"/>
      <c r="E7" s="739" t="s">
        <v>455</v>
      </c>
      <c r="F7" s="732"/>
      <c r="G7" s="732"/>
      <c r="H7" s="732"/>
      <c r="I7" s="732"/>
      <c r="J7" s="740"/>
      <c r="K7" s="741">
        <f>K6*N6/10000</f>
        <v>16</v>
      </c>
      <c r="L7" s="741"/>
      <c r="M7" s="741"/>
      <c r="N7" s="98" t="s">
        <v>456</v>
      </c>
      <c r="O7" s="99">
        <f>AA41/K7</f>
        <v>3467.2738127311732</v>
      </c>
      <c r="S7" s="60" t="s">
        <v>215</v>
      </c>
      <c r="T7" s="61" t="s">
        <v>457</v>
      </c>
      <c r="Z7" s="151"/>
      <c r="AA7" s="60"/>
      <c r="AB7" s="60"/>
    </row>
    <row r="8">
      <c r="A8" s="807"/>
      <c r="B8" s="808"/>
      <c r="C8" s="809"/>
      <c r="D8" s="799"/>
      <c r="E8" s="742" t="s">
        <v>458</v>
      </c>
      <c r="F8" s="743"/>
      <c r="G8" s="743"/>
      <c r="H8" s="743"/>
      <c r="I8" s="743"/>
      <c r="J8" s="744"/>
      <c r="K8" s="745">
        <f>K6-1</f>
        <v>399</v>
      </c>
      <c r="L8" s="745"/>
      <c r="M8" s="100" t="s">
        <v>459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372</v>
      </c>
      <c r="O8" s="102">
        <f>O7*K7</f>
        <v>55476.381003698771</v>
      </c>
      <c r="P8" s="103"/>
      <c r="Q8" s="103"/>
      <c r="R8" s="103"/>
      <c r="S8" s="103">
        <f>IF(تسعير!T10=Sheet2!A3,Sheet2!B16,Sheet2!B58)</f>
        <v>950</v>
      </c>
      <c r="T8" s="137">
        <f>((K8*N8)/10000)*1.2</f>
        <v>17.81136</v>
      </c>
      <c r="U8" s="138">
        <f>T8*S8</f>
        <v>16920.792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46" t="s">
        <v>460</v>
      </c>
      <c r="B10" s="746"/>
      <c r="C10" s="746"/>
      <c r="D10" s="746"/>
      <c r="E10" s="746"/>
      <c r="F10" s="746"/>
      <c r="G10" s="747" t="s">
        <v>403</v>
      </c>
      <c r="H10" s="747"/>
      <c r="I10" s="747" t="s">
        <v>461</v>
      </c>
      <c r="J10" s="747"/>
      <c r="K10" s="104"/>
      <c r="L10" s="748" t="s">
        <v>445</v>
      </c>
      <c r="M10" s="748"/>
      <c r="N10" s="748"/>
      <c r="O10" s="105"/>
      <c r="P10" s="97"/>
      <c r="Q10" s="97"/>
      <c r="R10" s="97"/>
      <c r="S10" s="90" t="s">
        <v>462</v>
      </c>
      <c r="T10" s="90" t="s">
        <v>463</v>
      </c>
      <c r="U10" s="90" t="s">
        <v>464</v>
      </c>
      <c r="V10" s="90" t="s">
        <v>465</v>
      </c>
      <c r="W10" s="60" t="s">
        <v>10</v>
      </c>
      <c r="X10" s="60" t="s">
        <v>13</v>
      </c>
      <c r="Z10" s="151"/>
      <c r="AA10" s="60"/>
      <c r="AB10" s="60"/>
    </row>
    <row r="11" ht="20.1" customHeight="1">
      <c r="A11" s="749" t="s">
        <v>466</v>
      </c>
      <c r="B11" s="750"/>
      <c r="C11" s="750"/>
      <c r="D11" s="750"/>
      <c r="E11" s="750"/>
      <c r="F11" s="751"/>
      <c r="G11" s="752">
        <f>L11</f>
        <v>2</v>
      </c>
      <c r="H11" s="752"/>
      <c r="I11" s="753">
        <f>'Format διαστασης οδηγου'!F8</f>
        <v>365</v>
      </c>
      <c r="J11" s="753"/>
      <c r="K11" s="106"/>
      <c r="L11" s="754">
        <f>IF(تسعير!T10=Sheet2!A3,2,IF(Format!A7=1,تسجيل1!H27,IF(Format!A7=2,تسجيل1!H27,IF(Format!A7=3,تسجيل1!H27,IF(Format!A7=4,تسجيل1!H27,IF(Format!A7=5,تسجيل1!H27,"-------"))))))</f>
        <v>2</v>
      </c>
      <c r="M11" s="754"/>
      <c r="N11" s="754"/>
      <c r="O11" s="105"/>
      <c r="P11" s="97">
        <f>IF(I11&lt;=500,5,0)</f>
        <v>5</v>
      </c>
      <c r="Q11" s="97">
        <f>IF(I11&gt;500,7,0)</f>
        <v>0</v>
      </c>
      <c r="R11" s="97">
        <f>IF(I11&gt;700,8,0)</f>
        <v>0</v>
      </c>
      <c r="S11" s="148">
        <f>MAX(P11:R11)</f>
        <v>5</v>
      </c>
      <c r="T11" s="61">
        <f>(G11*I11)/S11/100</f>
        <v>1.46</v>
      </c>
      <c r="U11" s="60">
        <f>CEILING(T11,0.5)</f>
        <v>1.5</v>
      </c>
      <c r="V11" s="60">
        <f>U11*S11</f>
        <v>7.5</v>
      </c>
      <c r="W11" s="587">
        <v>4.45627705627706</v>
      </c>
      <c r="X11" s="588">
        <f>($W$1/1000)*W11*V11</f>
        <v>7419.701298701305</v>
      </c>
      <c r="Z11" s="151"/>
      <c r="AA11" s="60"/>
      <c r="AB11" s="60"/>
    </row>
    <row r="12" ht="20.1" customHeight="1">
      <c r="A12" s="755" t="s">
        <v>467</v>
      </c>
      <c r="B12" s="755"/>
      <c r="C12" s="755"/>
      <c r="D12" s="755"/>
      <c r="E12" s="755"/>
      <c r="F12" s="755"/>
      <c r="G12" s="756">
        <f>IF(L11&gt;2,4,IF(L11=2,2))</f>
        <v>2</v>
      </c>
      <c r="H12" s="756"/>
      <c r="I12" s="757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399</v>
      </c>
      <c r="J12" s="757"/>
      <c r="K12" s="106"/>
      <c r="P12" s="60">
        <f>IF(I12&lt;=300,3,0)</f>
        <v>0</v>
      </c>
      <c r="Q12" s="60">
        <f>IF(I12&gt;300,3.5,0)</f>
        <v>3.5</v>
      </c>
      <c r="R12" s="60">
        <f>IF(I12&gt;350,4,0)</f>
        <v>4</v>
      </c>
      <c r="S12" s="148">
        <f>IF(تسعير!$T$10=Sheet2!$A$3,ROUND((I12/100),0),MAX(P12:R12))</f>
        <v>4</v>
      </c>
      <c r="T12" s="61">
        <f>(G12*I12)/S12/100</f>
        <v>1.995</v>
      </c>
      <c r="U12" s="60">
        <f ref="U12:U21" t="shared" si="0">CEILING(T12,0.25)</f>
        <v>2</v>
      </c>
      <c r="V12" s="60">
        <f ref="V12:V20" t="shared" si="1">G12*S12</f>
        <v>8</v>
      </c>
      <c r="W12" s="587">
        <v>1.86378737541528</v>
      </c>
      <c r="X12" s="588">
        <f>($W$1/1000)*W12*V12</f>
        <v>3310.0863787375374</v>
      </c>
      <c r="Z12" s="151"/>
      <c r="AA12" s="60"/>
      <c r="AB12" s="60"/>
    </row>
    <row r="13" ht="20.1" customHeight="1">
      <c r="A13" s="755" t="s">
        <v>468</v>
      </c>
      <c r="B13" s="755"/>
      <c r="C13" s="755"/>
      <c r="D13" s="755"/>
      <c r="E13" s="755"/>
      <c r="F13" s="755"/>
      <c r="G13" s="756" t="str">
        <f>IF(L11&lt;=3,"0",(L11-3)*2)</f>
        <v>0</v>
      </c>
      <c r="H13" s="756"/>
      <c r="I13" s="757">
        <f>IF(G13="-------","-------",L17-5)</f>
        <v>386</v>
      </c>
      <c r="J13" s="757"/>
      <c r="K13" s="106"/>
      <c r="L13" s="758" t="s">
        <v>469</v>
      </c>
      <c r="M13" s="758"/>
      <c r="N13" s="758"/>
      <c r="O13" s="108"/>
      <c r="P13" s="60">
        <f ref="P13:P20" t="shared" si="2">IF(I13&lt;=300,3,0)</f>
        <v>0</v>
      </c>
      <c r="Q13" s="60">
        <f ref="Q13:Q20" t="shared" si="3">IF(I13&gt;300,3.5,0)</f>
        <v>3.5</v>
      </c>
      <c r="R13" s="60">
        <f ref="R13:R20" t="shared" si="4">IF(I13&gt;350,4,0)</f>
        <v>4</v>
      </c>
      <c r="S13" s="148">
        <f>IF(تسعير!$T$10=Sheet2!$A$3,ROUND((I13/100),0),MAX(P13:R13))</f>
        <v>4</v>
      </c>
      <c r="T13" s="61">
        <f ref="T13:T20" t="shared" si="5">(G13*I13)/S13/100</f>
        <v>0</v>
      </c>
      <c r="U13" s="60">
        <f t="shared" si="0"/>
        <v>0</v>
      </c>
      <c r="V13" s="60">
        <f t="shared" si="1"/>
        <v>0</v>
      </c>
      <c r="W13" s="587">
        <v>1.86378737541528</v>
      </c>
      <c r="X13" s="588">
        <f ref="X13:X20" t="shared" si="6">($W$1/1000)*W13*V13</f>
        <v>0</v>
      </c>
      <c r="Z13" s="151"/>
      <c r="AA13" s="60"/>
      <c r="AB13" s="60"/>
    </row>
    <row r="14" ht="20.1" customHeight="1">
      <c r="A14" s="755" t="s">
        <v>470</v>
      </c>
      <c r="B14" s="755"/>
      <c r="C14" s="755"/>
      <c r="D14" s="755"/>
      <c r="E14" s="755"/>
      <c r="F14" s="755"/>
      <c r="G14" s="756">
        <f>IF(L11&gt;2,2*L14,IF(L11=2,L14))</f>
        <v>5</v>
      </c>
      <c r="H14" s="756"/>
      <c r="I14" s="757">
        <f>I12</f>
        <v>399</v>
      </c>
      <c r="J14" s="757"/>
      <c r="K14" s="106"/>
      <c r="L14" s="109">
        <f>تسجيل1!H28</f>
        <v>5</v>
      </c>
      <c r="M14" s="110" t="s">
        <v>471</v>
      </c>
      <c r="N14" s="109">
        <v>2</v>
      </c>
      <c r="O14" s="111"/>
      <c r="P14" s="60">
        <f t="shared" si="2"/>
        <v>0</v>
      </c>
      <c r="Q14" s="60">
        <f t="shared" si="3"/>
        <v>3.5</v>
      </c>
      <c r="R14" s="60">
        <f t="shared" si="4"/>
        <v>4</v>
      </c>
      <c r="S14" s="148">
        <f>IF(تسعير!$T$10=Sheet2!$A$3,ROUND((I14/100),0),MAX(P14:R14))</f>
        <v>4</v>
      </c>
      <c r="T14" s="61">
        <f t="shared" si="5"/>
        <v>4.9875</v>
      </c>
      <c r="U14" s="60">
        <f>CEILING(T14,0.5)</f>
        <v>5</v>
      </c>
      <c r="V14" s="60">
        <f t="shared" si="1"/>
        <v>20</v>
      </c>
      <c r="W14" s="587">
        <v>1.05172413793103</v>
      </c>
      <c r="X14" s="588">
        <f t="shared" si="6"/>
        <v>4669.6551724137735</v>
      </c>
      <c r="Z14" s="151"/>
      <c r="AA14" s="60"/>
      <c r="AB14" s="60"/>
    </row>
    <row r="15" ht="20.1" customHeight="1">
      <c r="A15" s="755" t="s">
        <v>472</v>
      </c>
      <c r="B15" s="755"/>
      <c r="C15" s="755"/>
      <c r="D15" s="755"/>
      <c r="E15" s="755"/>
      <c r="F15" s="755"/>
      <c r="G15" s="756" t="str">
        <f>IF(L11&lt;=3,"0",(L11-3)*L14)</f>
        <v>0</v>
      </c>
      <c r="H15" s="756"/>
      <c r="I15" s="757">
        <f>IF(G15="-------","---------",I13)</f>
        <v>386</v>
      </c>
      <c r="J15" s="757"/>
      <c r="K15" s="106"/>
      <c r="L15" s="106"/>
      <c r="M15" s="106"/>
      <c r="N15" s="106"/>
      <c r="O15" s="106"/>
      <c r="P15" s="60">
        <f t="shared" si="2"/>
        <v>0</v>
      </c>
      <c r="Q15" s="60">
        <f t="shared" si="3"/>
        <v>3.5</v>
      </c>
      <c r="R15" s="60">
        <f t="shared" si="4"/>
        <v>4</v>
      </c>
      <c r="S15" s="148">
        <f>IF(تسعير!$T$10=Sheet2!$A$3,ROUND((I15/100),0),MAX(P15:R15))</f>
        <v>4</v>
      </c>
      <c r="T15" s="61">
        <f t="shared" si="5"/>
        <v>0</v>
      </c>
      <c r="U15" s="60">
        <f>CEILING(T15,0.5)</f>
        <v>0</v>
      </c>
      <c r="V15" s="60">
        <f t="shared" si="1"/>
        <v>0</v>
      </c>
      <c r="W15" s="587">
        <v>1.05172413793103</v>
      </c>
      <c r="X15" s="588">
        <f t="shared" si="6"/>
        <v>0</v>
      </c>
      <c r="Z15" s="151"/>
      <c r="AA15" s="60"/>
      <c r="AB15" s="60"/>
    </row>
    <row r="16" ht="20.1" customHeight="1">
      <c r="A16" s="755" t="s">
        <v>473</v>
      </c>
      <c r="B16" s="755"/>
      <c r="C16" s="755"/>
      <c r="D16" s="755"/>
      <c r="E16" s="755"/>
      <c r="F16" s="755"/>
      <c r="G16" s="756">
        <v>1</v>
      </c>
      <c r="H16" s="756"/>
      <c r="I16" s="757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397.5</v>
      </c>
      <c r="J16" s="757"/>
      <c r="K16" s="106"/>
      <c r="L16" s="759" t="s">
        <v>474</v>
      </c>
      <c r="M16" s="759"/>
      <c r="N16" s="759"/>
      <c r="O16" s="111"/>
      <c r="P16" s="60">
        <f t="shared" si="2"/>
        <v>0</v>
      </c>
      <c r="Q16" s="60">
        <f t="shared" si="3"/>
        <v>3.5</v>
      </c>
      <c r="R16" s="60">
        <f t="shared" si="4"/>
        <v>4</v>
      </c>
      <c r="S16" s="148">
        <f>IF(تسعير!$T$10=Sheet2!$A$3,ROUND((I16/100),0),MAX(P16:R16))</f>
        <v>4</v>
      </c>
      <c r="T16" s="61">
        <f t="shared" si="5"/>
        <v>0.99375</v>
      </c>
      <c r="U16" s="60">
        <f>CEILING(T16,0.5)</f>
        <v>1</v>
      </c>
      <c r="V16" s="60">
        <f t="shared" si="1"/>
        <v>4</v>
      </c>
      <c r="W16" s="587">
        <v>1.3948717948718</v>
      </c>
      <c r="X16" s="588">
        <f t="shared" si="6"/>
        <v>1238.6461538461583</v>
      </c>
      <c r="Z16" s="151"/>
      <c r="AA16" s="60"/>
      <c r="AB16" s="60"/>
    </row>
    <row r="17" ht="20.1" customHeight="1">
      <c r="A17" s="755" t="s">
        <v>475</v>
      </c>
      <c r="B17" s="755"/>
      <c r="C17" s="755"/>
      <c r="D17" s="755"/>
      <c r="E17" s="755"/>
      <c r="F17" s="755"/>
      <c r="G17" s="756" t="str">
        <f>IF(L11=2,"0",1)</f>
        <v>0</v>
      </c>
      <c r="H17" s="756"/>
      <c r="I17" s="757">
        <f>IF(G17="-------","-------",IF(Format!A7=1,(L17+3),IF(Format!A7=2,(L17+3.5),IF(Format!A7=3,(L17+3),IF(Format!A7=4,(L17+4.25),IF(Format!A7=5,(L17+5),"--------"))))))</f>
        <v>394.5</v>
      </c>
      <c r="J17" s="757"/>
      <c r="K17" s="106"/>
      <c r="L17" s="760">
        <f>IF(Format!A7=1,(K6-2-6)/(L11-1),IF(Format!A7=2,(K6-2-7)/(L11-1),IF(Format!A7=3,(K6-2-6)/(L11-1),IF(Format!A7=4,(K6-2-8.5)/(L11-1),IF(Format!A7=5,(K6-2-10)/(L11-1),"--------")))))</f>
        <v>391</v>
      </c>
      <c r="M17" s="760"/>
      <c r="N17" s="760"/>
      <c r="O17" s="113"/>
      <c r="P17" s="60">
        <f t="shared" si="2"/>
        <v>0</v>
      </c>
      <c r="Q17" s="60">
        <f t="shared" si="3"/>
        <v>3.5</v>
      </c>
      <c r="R17" s="60">
        <f t="shared" si="4"/>
        <v>4</v>
      </c>
      <c r="S17" s="148">
        <f>IF(تسعير!$T$10=Sheet2!$A$3,ROUND((I17/100),0),MAX(P17:R17))</f>
        <v>4</v>
      </c>
      <c r="T17" s="61">
        <f t="shared" si="5"/>
        <v>0</v>
      </c>
      <c r="U17" s="60">
        <f>CEILING(T17,0.5)</f>
        <v>0</v>
      </c>
      <c r="V17" s="60">
        <f t="shared" si="1"/>
        <v>0</v>
      </c>
      <c r="W17" s="587">
        <v>1.3948717948718</v>
      </c>
      <c r="X17" s="588">
        <f t="shared" si="6"/>
        <v>0</v>
      </c>
      <c r="Z17" s="151"/>
      <c r="AA17" s="60"/>
      <c r="AB17" s="60"/>
    </row>
    <row r="18" ht="20.1" customHeight="1">
      <c r="A18" s="755" t="s">
        <v>476</v>
      </c>
      <c r="B18" s="755"/>
      <c r="C18" s="755"/>
      <c r="D18" s="755"/>
      <c r="E18" s="755"/>
      <c r="F18" s="755"/>
      <c r="G18" s="756" t="str">
        <f>IF(L11&lt;=3,"0",(L11-3))</f>
        <v>0</v>
      </c>
      <c r="H18" s="756"/>
      <c r="I18" s="757">
        <f>IF(G18="-------","-------",L17)</f>
        <v>391</v>
      </c>
      <c r="J18" s="757"/>
      <c r="K18" s="106"/>
      <c r="L18" s="106"/>
      <c r="M18" s="106"/>
      <c r="N18" s="106"/>
      <c r="O18" s="106"/>
      <c r="P18" s="60">
        <f t="shared" si="2"/>
        <v>0</v>
      </c>
      <c r="Q18" s="60">
        <f t="shared" si="3"/>
        <v>3.5</v>
      </c>
      <c r="R18" s="60">
        <f t="shared" si="4"/>
        <v>4</v>
      </c>
      <c r="S18" s="148">
        <f>IF(تسعير!$T$10=Sheet2!$A$3,ROUND((I18/100),0),MAX(P18:R18))</f>
        <v>4</v>
      </c>
      <c r="T18" s="61">
        <f t="shared" si="5"/>
        <v>0</v>
      </c>
      <c r="U18" s="60">
        <f t="shared" si="0"/>
        <v>0</v>
      </c>
      <c r="V18" s="60">
        <f t="shared" si="1"/>
        <v>0</v>
      </c>
      <c r="W18" s="587">
        <v>1.3948717948718</v>
      </c>
      <c r="X18" s="588">
        <f t="shared" si="6"/>
        <v>0</v>
      </c>
      <c r="Z18" s="151"/>
      <c r="AA18" s="60"/>
      <c r="AB18" s="60"/>
    </row>
    <row r="19" ht="20.1" customHeight="1">
      <c r="A19" s="755" t="str">
        <f>IF(Format!H4=1,"Balloon","-------")</f>
        <v>-------</v>
      </c>
      <c r="B19" s="755"/>
      <c r="C19" s="755"/>
      <c r="D19" s="755"/>
      <c r="E19" s="755"/>
      <c r="F19" s="755"/>
      <c r="G19" s="756" t="str">
        <f>IF([1]Format!H4=1,'[1]تقطيع البرجولة'!L14,"0")</f>
        <v>0</v>
      </c>
      <c r="H19" s="756"/>
      <c r="I19" s="757">
        <f>IF(G19="-------","-------",K6-2.5)</f>
        <v>397.5</v>
      </c>
      <c r="J19" s="757"/>
      <c r="K19" s="106"/>
      <c r="L19" s="761" t="s">
        <v>426</v>
      </c>
      <c r="M19" s="762"/>
      <c r="N19" s="763"/>
      <c r="O19" s="111"/>
      <c r="P19" s="60">
        <f t="shared" si="2"/>
        <v>0</v>
      </c>
      <c r="Q19" s="60">
        <f t="shared" si="3"/>
        <v>3.5</v>
      </c>
      <c r="R19" s="60">
        <f t="shared" si="4"/>
        <v>4</v>
      </c>
      <c r="S19" s="148">
        <f>IF(تسعير!$T$10=Sheet2!$A$3,ROUND((I19/100),0),MAX(P19:R19))</f>
        <v>4</v>
      </c>
      <c r="T19" s="61">
        <f t="shared" si="5"/>
        <v>0</v>
      </c>
      <c r="U19" s="60">
        <f t="shared" si="0"/>
        <v>0</v>
      </c>
      <c r="V19" s="60">
        <f t="shared" si="1"/>
        <v>0</v>
      </c>
      <c r="X19" s="588">
        <f t="shared" si="6"/>
        <v>0</v>
      </c>
      <c r="Z19" s="151"/>
      <c r="AA19" s="60"/>
      <c r="AB19" s="60"/>
    </row>
    <row r="20" ht="20.1" customHeight="1">
      <c r="A20" s="764" t="s">
        <v>477</v>
      </c>
      <c r="B20" s="765"/>
      <c r="C20" s="765"/>
      <c r="D20" s="765"/>
      <c r="E20" s="765"/>
      <c r="F20" s="766"/>
      <c r="G20" s="764">
        <f>IF(تسعير!T10=Sheet2!A3,0,(G12+G13)/2)</f>
        <v>0</v>
      </c>
      <c r="H20" s="765"/>
      <c r="I20" s="757">
        <f>L17-7</f>
        <v>384</v>
      </c>
      <c r="J20" s="757"/>
      <c r="K20" s="106"/>
      <c r="L20" s="114" t="s">
        <v>403</v>
      </c>
      <c r="M20" s="767" t="s">
        <v>478</v>
      </c>
      <c r="N20" s="767"/>
      <c r="O20" s="115"/>
      <c r="P20" s="60">
        <f t="shared" si="2"/>
        <v>0</v>
      </c>
      <c r="Q20" s="60">
        <f t="shared" si="3"/>
        <v>3.5</v>
      </c>
      <c r="R20" s="60">
        <f t="shared" si="4"/>
        <v>4</v>
      </c>
      <c r="S20" s="148">
        <f>IF(تسعير!$T$10=Sheet2!$A$3,ROUND((I20/100),0),MAX(P20:R20))</f>
        <v>4</v>
      </c>
      <c r="T20" s="61">
        <f t="shared" si="5"/>
        <v>0</v>
      </c>
      <c r="U20" s="60">
        <f t="shared" si="0"/>
        <v>0</v>
      </c>
      <c r="V20" s="60">
        <f t="shared" si="1"/>
        <v>0</v>
      </c>
      <c r="W20" s="60">
        <v>1.65</v>
      </c>
      <c r="X20" s="588">
        <f t="shared" si="6"/>
        <v>0</v>
      </c>
      <c r="Z20" s="151"/>
      <c r="AA20" s="60"/>
      <c r="AB20" s="60"/>
    </row>
    <row r="21" ht="20.1" customHeight="1">
      <c r="A21" s="768" t="s">
        <v>479</v>
      </c>
      <c r="B21" s="768"/>
      <c r="C21" s="768"/>
      <c r="D21" s="768"/>
      <c r="E21" s="768"/>
      <c r="F21" s="768"/>
      <c r="G21" s="769">
        <f>L11</f>
        <v>2</v>
      </c>
      <c r="H21" s="769"/>
      <c r="I21" s="770">
        <f>(I11*2)+45</f>
        <v>775</v>
      </c>
      <c r="J21" s="770"/>
      <c r="K21" s="106"/>
      <c r="L21" s="112">
        <f>IF(Format!E7=1,"-------",IF(Format!E7=5,"-------",تسجيل1!H30))</f>
        <v>2</v>
      </c>
      <c r="M21" s="759" t="str">
        <f>IF(L21="-------","-------",تسجيل1!D11)</f>
        <v>4Χ220- 1Χ250</v>
      </c>
      <c r="N21" s="759"/>
      <c r="O21" s="111"/>
      <c r="P21" s="64"/>
      <c r="Q21" s="64"/>
      <c r="R21" s="64"/>
      <c r="S21" s="142">
        <v>1</v>
      </c>
      <c r="T21" s="143">
        <f>(G21*I21)/100</f>
        <v>15.5</v>
      </c>
      <c r="U21" s="142">
        <f t="shared" si="0"/>
        <v>15.5</v>
      </c>
      <c r="V21" s="142">
        <f>U21*S21</f>
        <v>15.5</v>
      </c>
      <c r="W21" s="142">
        <f>Sheet2!B17</f>
        <v>175</v>
      </c>
      <c r="X21" s="144">
        <f>W21*V21</f>
        <v>2712.5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19350.589003698773</v>
      </c>
      <c r="Z22" s="151"/>
      <c r="AA22" s="60"/>
      <c r="AB22" s="60"/>
    </row>
    <row r="23" ht="20.1" customHeight="1">
      <c r="A23" s="771" t="s">
        <v>480</v>
      </c>
      <c r="B23" s="772"/>
      <c r="C23" s="772"/>
      <c r="D23" s="772"/>
      <c r="E23" s="773"/>
      <c r="F23" s="67" t="s">
        <v>481</v>
      </c>
      <c r="G23" s="68"/>
      <c r="H23" s="771" t="s">
        <v>482</v>
      </c>
      <c r="I23" s="772"/>
      <c r="J23" s="772"/>
      <c r="K23" s="772"/>
      <c r="L23" s="773"/>
      <c r="M23" s="67" t="s">
        <v>403</v>
      </c>
      <c r="N23" s="119"/>
      <c r="O23" s="119"/>
      <c r="P23" s="120"/>
      <c r="Q23" s="120"/>
      <c r="R23" s="120"/>
      <c r="S23" s="146"/>
      <c r="T23" s="147" t="s">
        <v>483</v>
      </c>
      <c r="U23" s="146" t="s">
        <v>484</v>
      </c>
      <c r="V23" s="146" t="s">
        <v>485</v>
      </c>
      <c r="W23" s="146" t="s">
        <v>486</v>
      </c>
      <c r="X23" s="146" t="s">
        <v>484</v>
      </c>
      <c r="Y23" s="146" t="s">
        <v>485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74" t="s">
        <v>487</v>
      </c>
      <c r="C24" s="774"/>
      <c r="D24" s="774"/>
      <c r="E24" s="774"/>
      <c r="F24" s="70">
        <f>L11</f>
        <v>2</v>
      </c>
      <c r="G24" s="71"/>
      <c r="H24" s="69">
        <v>16</v>
      </c>
      <c r="I24" s="774" t="s">
        <v>431</v>
      </c>
      <c r="J24" s="774"/>
      <c r="K24" s="774"/>
      <c r="L24" s="774"/>
      <c r="M24" s="589">
        <f>IF(تسعير!T10=Sheet2!A3,1,IF(K7&lt;=65,1,2))</f>
        <v>1</v>
      </c>
      <c r="N24" s="119"/>
      <c r="O24" s="119"/>
      <c r="P24" s="121"/>
      <c r="Q24" s="121"/>
      <c r="R24" s="121"/>
      <c r="T24" s="61" t="str">
        <f ref="T24:T38" t="shared" si="7">B24</f>
        <v>بالتة تثبيت البروفيل في الحائط</v>
      </c>
      <c r="U24" s="148"/>
      <c r="V24" s="148">
        <v>130</v>
      </c>
      <c r="W24" s="60" t="str">
        <f ref="W24:W38" t="shared" si="8">I24</f>
        <v>ماتور </v>
      </c>
      <c r="X24" s="148"/>
      <c r="Y24" s="103">
        <f>IF(تسعير!T10=Sheet2!A3,Sheet2!B57,IF((K7&lt;40),Sheet2!B33,IF(K7&gt;=40,Sheet2!B55,0)))</f>
        <v>9000</v>
      </c>
      <c r="Z24" s="151"/>
      <c r="AA24" s="60">
        <f>V24*F24</f>
        <v>260</v>
      </c>
      <c r="AB24" s="60">
        <f>Y24*M24</f>
        <v>9000</v>
      </c>
    </row>
    <row r="25" ht="20.1" customHeight="1">
      <c r="A25" s="72">
        <v>2</v>
      </c>
      <c r="B25" s="775" t="s">
        <v>488</v>
      </c>
      <c r="C25" s="775"/>
      <c r="D25" s="775"/>
      <c r="E25" s="775"/>
      <c r="F25" s="73">
        <f>L11</f>
        <v>2</v>
      </c>
      <c r="G25" s="71"/>
      <c r="H25" s="72">
        <v>17</v>
      </c>
      <c r="I25" s="775" t="s">
        <v>489</v>
      </c>
      <c r="J25" s="775"/>
      <c r="K25" s="775"/>
      <c r="L25" s="775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7"/>
        <v>لسان مشرشر مع المسمار والصمولة</v>
      </c>
      <c r="U25" s="148"/>
      <c r="V25" s="148">
        <v>22</v>
      </c>
      <c r="W25" s="60" t="str">
        <f t="shared" si="8"/>
        <v>ريموت كنترول </v>
      </c>
      <c r="X25" s="148"/>
      <c r="Y25" s="148">
        <f>Sheet2!B34</f>
        <v>2000</v>
      </c>
      <c r="Z25" s="151"/>
      <c r="AA25" s="60">
        <f ref="AA25:AA38" t="shared" si="9">V25*F25</f>
        <v>44</v>
      </c>
      <c r="AB25" s="60">
        <f ref="AB25:AB38" t="shared" si="10">Y25*M25</f>
        <v>2000</v>
      </c>
    </row>
    <row r="26" ht="20.1" customHeight="1">
      <c r="A26" s="72">
        <v>3</v>
      </c>
      <c r="B26" s="775" t="s">
        <v>490</v>
      </c>
      <c r="C26" s="775"/>
      <c r="D26" s="775"/>
      <c r="E26" s="775"/>
      <c r="F26" s="73">
        <f>M24</f>
        <v>1</v>
      </c>
      <c r="G26" s="71"/>
      <c r="H26" s="72">
        <v>18</v>
      </c>
      <c r="I26" s="775" t="s">
        <v>491</v>
      </c>
      <c r="J26" s="775"/>
      <c r="K26" s="775"/>
      <c r="L26" s="775"/>
      <c r="M26" s="73">
        <f>(F24*2)-M27</f>
        <v>3</v>
      </c>
      <c r="N26" s="119"/>
      <c r="O26" s="119"/>
      <c r="P26" s="121"/>
      <c r="Q26" s="121"/>
      <c r="R26" s="121"/>
      <c r="T26" s="61" t="str">
        <f t="shared" si="7"/>
        <v>غطاء ماتور بلاستيك مع 2 صامولة 8 م</v>
      </c>
      <c r="U26" s="148"/>
      <c r="V26" s="148">
        <v>11</v>
      </c>
      <c r="W26" s="60" t="str">
        <f t="shared" si="8"/>
        <v>بالتة جانبية خلفية مفتوحة (واحدة)</v>
      </c>
      <c r="X26" s="148"/>
      <c r="Y26" s="148">
        <v>53</v>
      </c>
      <c r="Z26" s="151"/>
      <c r="AA26" s="60">
        <f t="shared" si="9"/>
        <v>11</v>
      </c>
      <c r="AB26" s="60">
        <f t="shared" si="10"/>
        <v>159</v>
      </c>
    </row>
    <row r="27" ht="20.1" customHeight="1">
      <c r="A27" s="72">
        <v>4</v>
      </c>
      <c r="B27" s="776" t="s">
        <v>492</v>
      </c>
      <c r="C27" s="777"/>
      <c r="D27" s="777"/>
      <c r="E27" s="778"/>
      <c r="F27" s="73">
        <v>4</v>
      </c>
      <c r="G27" s="71"/>
      <c r="H27" s="72">
        <v>19</v>
      </c>
      <c r="I27" s="775" t="s">
        <v>493</v>
      </c>
      <c r="J27" s="775"/>
      <c r="K27" s="775"/>
      <c r="L27" s="775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7"/>
        <v>غطاء جانبي مداد كبير  بلاستيك (واحدة)</v>
      </c>
      <c r="U27" s="148"/>
      <c r="V27" s="148">
        <v>3.5</v>
      </c>
      <c r="W27" s="60" t="str">
        <f t="shared" si="8"/>
        <v>بالتة جانبية خلفية مغلقة (واحدة)</v>
      </c>
      <c r="X27" s="148"/>
      <c r="Y27" s="148">
        <v>82</v>
      </c>
      <c r="Z27" s="151"/>
      <c r="AA27" s="60">
        <f t="shared" si="9"/>
        <v>14</v>
      </c>
      <c r="AB27" s="60">
        <f t="shared" si="10"/>
        <v>82</v>
      </c>
    </row>
    <row r="28" ht="20.1" customHeight="1">
      <c r="A28" s="72">
        <v>5</v>
      </c>
      <c r="B28" s="776" t="s">
        <v>494</v>
      </c>
      <c r="C28" s="777"/>
      <c r="D28" s="777"/>
      <c r="E28" s="778"/>
      <c r="F28" s="73">
        <f>L14</f>
        <v>5</v>
      </c>
      <c r="G28" s="71"/>
      <c r="H28" s="72">
        <v>20</v>
      </c>
      <c r="I28" s="775" t="s">
        <v>495</v>
      </c>
      <c r="J28" s="775"/>
      <c r="K28" s="775"/>
      <c r="L28" s="775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7"/>
        <v>غطاء جانبي مداد صغير   بلاستيك (زوج)</v>
      </c>
      <c r="U28" s="148"/>
      <c r="V28" s="148">
        <v>3</v>
      </c>
      <c r="W28" s="60" t="str">
        <f t="shared" si="8"/>
        <v>بالتة تجميع البروفيل (زوج )</v>
      </c>
      <c r="X28" s="148"/>
      <c r="Y28" s="148">
        <v>440</v>
      </c>
      <c r="Z28" s="151"/>
      <c r="AA28" s="60">
        <f t="shared" si="9"/>
        <v>15</v>
      </c>
      <c r="AB28" s="60">
        <f t="shared" si="10"/>
        <v>0</v>
      </c>
    </row>
    <row r="29" ht="20.1" customHeight="1">
      <c r="A29" s="72">
        <v>6</v>
      </c>
      <c r="B29" s="776" t="s">
        <v>496</v>
      </c>
      <c r="C29" s="777"/>
      <c r="D29" s="777"/>
      <c r="E29" s="778"/>
      <c r="F29" s="73">
        <f>L11*2</f>
        <v>4</v>
      </c>
      <c r="G29" s="71"/>
      <c r="H29" s="72">
        <v>21</v>
      </c>
      <c r="I29" s="775" t="s">
        <v>497</v>
      </c>
      <c r="J29" s="775"/>
      <c r="K29" s="775"/>
      <c r="L29" s="775"/>
      <c r="M29" s="122">
        <f>F24</f>
        <v>2</v>
      </c>
      <c r="N29" s="119"/>
      <c r="O29" s="119"/>
      <c r="P29" s="121"/>
      <c r="Q29" s="121"/>
      <c r="R29" s="121"/>
      <c r="T29" s="61" t="str">
        <f t="shared" si="7"/>
        <v>طبة بلاستيك مدور للمداد الكبير</v>
      </c>
      <c r="U29" s="148"/>
      <c r="V29" s="148">
        <v>2</v>
      </c>
      <c r="W29" s="60" t="str">
        <f t="shared" si="8"/>
        <v>طقم اكسسوار امامي بالغطاء الالومنيوم</v>
      </c>
      <c r="X29" s="148"/>
      <c r="Y29" s="148">
        <f>Sheet2!B35</f>
        <v>750</v>
      </c>
      <c r="Z29" s="151"/>
      <c r="AA29" s="60">
        <f t="shared" si="9"/>
        <v>8</v>
      </c>
      <c r="AB29" s="60">
        <f t="shared" si="10"/>
        <v>1500</v>
      </c>
    </row>
    <row r="30" ht="20.1" customHeight="1">
      <c r="A30" s="72">
        <v>7</v>
      </c>
      <c r="B30" s="776" t="s">
        <v>498</v>
      </c>
      <c r="C30" s="777"/>
      <c r="D30" s="777"/>
      <c r="E30" s="778"/>
      <c r="F30" s="73">
        <f>L14*L11</f>
        <v>10</v>
      </c>
      <c r="G30" s="71"/>
      <c r="H30" s="72">
        <v>22</v>
      </c>
      <c r="I30" s="775" t="s">
        <v>499</v>
      </c>
      <c r="J30" s="775"/>
      <c r="K30" s="775"/>
      <c r="L30" s="775"/>
      <c r="M30" s="122">
        <f>F24</f>
        <v>2</v>
      </c>
      <c r="N30" s="119"/>
      <c r="O30" s="119"/>
      <c r="P30" s="121"/>
      <c r="Q30" s="121"/>
      <c r="R30" s="121"/>
      <c r="T30" s="61" t="str">
        <f t="shared" si="7"/>
        <v>طبة بلاستيك مدور للمداد الصغير</v>
      </c>
      <c r="U30" s="148"/>
      <c r="V30" s="148">
        <v>2</v>
      </c>
      <c r="W30" s="60" t="str">
        <f t="shared" si="8"/>
        <v>طقم اكسسوار خلفي</v>
      </c>
      <c r="X30" s="148">
        <v>0</v>
      </c>
      <c r="Y30" s="148">
        <f>Sheet2!B36</f>
        <v>750</v>
      </c>
      <c r="Z30" s="151"/>
      <c r="AA30" s="60">
        <f t="shared" si="9"/>
        <v>20</v>
      </c>
      <c r="AB30" s="60">
        <f t="shared" si="10"/>
        <v>1500</v>
      </c>
    </row>
    <row r="31" ht="20.1" customHeight="1">
      <c r="A31" s="72">
        <v>8</v>
      </c>
      <c r="B31" s="776" t="s">
        <v>500</v>
      </c>
      <c r="C31" s="777"/>
      <c r="D31" s="777"/>
      <c r="E31" s="778"/>
      <c r="F31" s="73">
        <f>(L14+N14)*2</f>
        <v>14</v>
      </c>
      <c r="G31" s="71"/>
      <c r="H31" s="72">
        <v>23</v>
      </c>
      <c r="I31" s="775" t="s">
        <v>501</v>
      </c>
      <c r="J31" s="775"/>
      <c r="K31" s="775"/>
      <c r="L31" s="775"/>
      <c r="M31" s="73">
        <f>F30</f>
        <v>10</v>
      </c>
      <c r="N31" s="119"/>
      <c r="O31" s="119"/>
      <c r="P31" s="121"/>
      <c r="Q31" s="121"/>
      <c r="R31" s="121"/>
      <c r="T31" s="61" t="str">
        <f t="shared" si="7"/>
        <v> وردة بلاستيك شد البى فى سي </v>
      </c>
      <c r="U31" s="148"/>
      <c r="V31" s="148">
        <v>2</v>
      </c>
      <c r="W31" s="60" t="str">
        <f t="shared" si="8"/>
        <v>عربية صغيرة بالصامولة + جلبة بلاستيك</v>
      </c>
      <c r="X31" s="148"/>
      <c r="Y31" s="148">
        <v>80</v>
      </c>
      <c r="Z31" s="151"/>
      <c r="AA31" s="60">
        <f t="shared" si="9"/>
        <v>28</v>
      </c>
      <c r="AB31" s="60">
        <f t="shared" si="10"/>
        <v>800</v>
      </c>
    </row>
    <row r="32" ht="20.1" customHeight="1">
      <c r="A32" s="72">
        <v>9</v>
      </c>
      <c r="B32" s="776" t="s">
        <v>502</v>
      </c>
      <c r="C32" s="777"/>
      <c r="D32" s="777"/>
      <c r="E32" s="778"/>
      <c r="F32" s="73">
        <f>(L14+N14)*2</f>
        <v>14</v>
      </c>
      <c r="G32" s="71"/>
      <c r="H32" s="72">
        <v>24</v>
      </c>
      <c r="I32" s="775" t="s">
        <v>503</v>
      </c>
      <c r="J32" s="775"/>
      <c r="K32" s="775"/>
      <c r="L32" s="775"/>
      <c r="M32" s="122">
        <f>F24</f>
        <v>2</v>
      </c>
      <c r="N32" s="119"/>
      <c r="O32" s="119"/>
      <c r="P32" s="121"/>
      <c r="Q32" s="121"/>
      <c r="R32" s="121"/>
      <c r="T32" s="61" t="str">
        <f t="shared" si="7"/>
        <v>مسمار سن صاج لشد البلاستيك </v>
      </c>
      <c r="U32" s="148"/>
      <c r="V32" s="148">
        <v>5</v>
      </c>
      <c r="W32" s="60" t="str">
        <f t="shared" si="8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9"/>
        <v>70</v>
      </c>
      <c r="AB32" s="60">
        <f t="shared" si="10"/>
        <v>180</v>
      </c>
    </row>
    <row r="33" ht="20.1" customHeight="1" s="58" customFormat="1">
      <c r="A33" s="72">
        <v>10</v>
      </c>
      <c r="B33" s="776" t="s">
        <v>504</v>
      </c>
      <c r="C33" s="777"/>
      <c r="D33" s="777"/>
      <c r="E33" s="778"/>
      <c r="F33" s="73">
        <f>L11*3</f>
        <v>6</v>
      </c>
      <c r="G33" s="71"/>
      <c r="H33" s="72">
        <v>25</v>
      </c>
      <c r="I33" s="775" t="s">
        <v>505</v>
      </c>
      <c r="J33" s="775"/>
      <c r="K33" s="775"/>
      <c r="L33" s="775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7"/>
        <v>مسمار   مجلفن 12M × 80 </v>
      </c>
      <c r="U33" s="148"/>
      <c r="V33" s="148">
        <v>3.5</v>
      </c>
      <c r="W33" s="60" t="str">
        <f t="shared" si="8"/>
        <v>بالتات امامية باللوجو (زوج)</v>
      </c>
      <c r="X33" s="148"/>
      <c r="Y33" s="148">
        <v>165</v>
      </c>
      <c r="Z33" s="151"/>
      <c r="AA33" s="60">
        <f t="shared" si="9"/>
        <v>21</v>
      </c>
      <c r="AB33" s="60">
        <f t="shared" si="10"/>
        <v>330</v>
      </c>
    </row>
    <row r="34" ht="20.1" customHeight="1" s="58" customFormat="1">
      <c r="A34" s="72">
        <v>11</v>
      </c>
      <c r="B34" s="776" t="s">
        <v>506</v>
      </c>
      <c r="C34" s="777"/>
      <c r="D34" s="777"/>
      <c r="E34" s="778"/>
      <c r="F34" s="73">
        <f>L11*3</f>
        <v>6</v>
      </c>
      <c r="G34" s="71"/>
      <c r="H34" s="72">
        <v>26</v>
      </c>
      <c r="I34" s="775" t="s">
        <v>507</v>
      </c>
      <c r="J34" s="775"/>
      <c r="K34" s="775"/>
      <c r="L34" s="775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7"/>
        <v>صامولة مجلفنة 12M</v>
      </c>
      <c r="U34" s="148"/>
      <c r="V34" s="148">
        <v>3.5</v>
      </c>
      <c r="W34" s="60" t="str">
        <f t="shared" si="8"/>
        <v>جهاز كونترول للمواتير</v>
      </c>
      <c r="X34" s="148"/>
      <c r="Y34" s="148">
        <f>Sheet2!B37</f>
        <v>5000</v>
      </c>
      <c r="Z34" s="151"/>
      <c r="AA34" s="60">
        <f t="shared" si="9"/>
        <v>21</v>
      </c>
      <c r="AB34" s="60">
        <f t="shared" si="10"/>
        <v>0</v>
      </c>
    </row>
    <row r="35" ht="20.1" customHeight="1" s="58" customFormat="1">
      <c r="A35" s="72">
        <v>12</v>
      </c>
      <c r="B35" s="776" t="s">
        <v>508</v>
      </c>
      <c r="C35" s="777"/>
      <c r="D35" s="777"/>
      <c r="E35" s="778"/>
      <c r="F35" s="73" t="str">
        <f>IF(L11&gt;2,(L11-2)*2,"0")</f>
        <v>0</v>
      </c>
      <c r="G35" s="74"/>
      <c r="H35" s="72">
        <v>27</v>
      </c>
      <c r="I35" s="775" t="s">
        <v>509</v>
      </c>
      <c r="J35" s="775"/>
      <c r="K35" s="775"/>
      <c r="L35" s="775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7"/>
        <v>وصلة مداد كبير </v>
      </c>
      <c r="U35" s="148"/>
      <c r="V35" s="148">
        <v>45</v>
      </c>
      <c r="W35" s="60" t="str">
        <f t="shared" si="8"/>
        <v>مفتاح تشغيل</v>
      </c>
      <c r="X35" s="148"/>
      <c r="Y35" s="148">
        <f>Sheet2!B38</f>
        <v>800</v>
      </c>
      <c r="Z35" s="151"/>
      <c r="AA35" s="60">
        <f t="shared" si="9"/>
        <v>0</v>
      </c>
      <c r="AB35" s="60">
        <f t="shared" si="10"/>
        <v>0</v>
      </c>
    </row>
    <row r="36" ht="20.1" customHeight="1" s="58" customFormat="1">
      <c r="A36" s="72">
        <v>13</v>
      </c>
      <c r="B36" s="776" t="s">
        <v>510</v>
      </c>
      <c r="C36" s="777"/>
      <c r="D36" s="777"/>
      <c r="E36" s="778"/>
      <c r="F36" s="73" t="str">
        <f>IF(L11&gt;2,(L11-2)*L14,"0")</f>
        <v>0</v>
      </c>
      <c r="G36" s="74"/>
      <c r="H36" s="72">
        <v>28</v>
      </c>
      <c r="I36" s="775" t="s">
        <v>511</v>
      </c>
      <c r="J36" s="775"/>
      <c r="K36" s="775"/>
      <c r="L36" s="775"/>
      <c r="M36" s="73">
        <f>G20</f>
        <v>0</v>
      </c>
      <c r="N36" s="119"/>
      <c r="O36" s="119"/>
      <c r="P36" s="121"/>
      <c r="Q36" s="121"/>
      <c r="R36" s="121"/>
      <c r="S36" s="121">
        <v>0.2</v>
      </c>
      <c r="T36" s="61" t="str">
        <f t="shared" si="7"/>
        <v>وصلة مداد صغير </v>
      </c>
      <c r="U36" s="148"/>
      <c r="V36" s="148">
        <v>30</v>
      </c>
      <c r="W36" s="60" t="str">
        <f t="shared" si="8"/>
        <v>زاوية تثبيت المرايه الخلفية زوج </v>
      </c>
      <c r="X36" s="148"/>
      <c r="Y36" s="148">
        <v>100</v>
      </c>
      <c r="Z36" s="151"/>
      <c r="AA36" s="60">
        <f t="shared" si="9"/>
        <v>0</v>
      </c>
      <c r="AB36" s="60">
        <f t="shared" si="10"/>
        <v>0</v>
      </c>
    </row>
    <row r="37" ht="20.1" customHeight="1" s="58" customFormat="1">
      <c r="A37" s="72">
        <v>14</v>
      </c>
      <c r="B37" s="776" t="s">
        <v>512</v>
      </c>
      <c r="C37" s="777"/>
      <c r="D37" s="777"/>
      <c r="E37" s="778"/>
      <c r="F37" s="73">
        <f>M24</f>
        <v>1</v>
      </c>
      <c r="G37" s="74"/>
      <c r="H37" s="72">
        <v>29</v>
      </c>
      <c r="I37" s="775" t="s">
        <v>513</v>
      </c>
      <c r="J37" s="775"/>
      <c r="K37" s="775"/>
      <c r="L37" s="775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7"/>
        <v>ويل و كراون و بسكوتة ستانلس</v>
      </c>
      <c r="U37" s="148"/>
      <c r="V37" s="148">
        <v>52</v>
      </c>
      <c r="W37" s="60" t="str">
        <f t="shared" si="8"/>
        <v>حرف U اتثبيت المجري من الامام</v>
      </c>
      <c r="X37" s="148"/>
      <c r="Y37" s="148">
        <v>45</v>
      </c>
      <c r="Z37" s="151"/>
      <c r="AA37" s="60">
        <f t="shared" si="9"/>
        <v>52</v>
      </c>
      <c r="AB37" s="60">
        <f t="shared" si="10"/>
        <v>90</v>
      </c>
    </row>
    <row r="38" ht="18.6" customHeight="1" s="58" customFormat="1">
      <c r="A38" s="72">
        <v>15</v>
      </c>
      <c r="B38" s="775" t="s">
        <v>514</v>
      </c>
      <c r="C38" s="775"/>
      <c r="D38" s="775"/>
      <c r="E38" s="775"/>
      <c r="F38" s="73">
        <f>تسجيل1!C21</f>
        <v>20</v>
      </c>
      <c r="G38" s="74"/>
      <c r="H38" s="72">
        <v>30</v>
      </c>
      <c r="I38" s="775" t="s">
        <v>515</v>
      </c>
      <c r="J38" s="775"/>
      <c r="K38" s="775"/>
      <c r="L38" s="775"/>
      <c r="M38" s="73">
        <f>IF(تسعير!T10=Sheet2!A3,0,(I11*4)/100)</f>
        <v>0</v>
      </c>
      <c r="N38" s="119"/>
      <c r="O38" s="119"/>
      <c r="P38" s="121"/>
      <c r="Q38" s="121"/>
      <c r="R38" s="121"/>
      <c r="S38" s="60"/>
      <c r="T38" s="61" t="str">
        <f t="shared" si="7"/>
        <v>لمبات ليد بالغطاء و الدويل و وش ستانلس</v>
      </c>
      <c r="U38" s="148"/>
      <c r="V38" s="148">
        <f>Sheet2!B39</f>
        <v>150</v>
      </c>
      <c r="W38" s="60" t="str">
        <f t="shared" si="8"/>
        <v>مانع المياه للبروفيل</v>
      </c>
      <c r="X38" s="148"/>
      <c r="Y38" s="148">
        <v>10</v>
      </c>
      <c r="Z38" s="151"/>
      <c r="AA38" s="60">
        <f t="shared" si="9"/>
        <v>3000</v>
      </c>
      <c r="AB38" s="60">
        <f t="shared" si="10"/>
        <v>0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800">
        <f>SUM(AA24:AB38)</f>
        <v>19205</v>
      </c>
      <c r="AB39" s="800"/>
    </row>
    <row r="40" ht="20.4" customHeight="1" s="58" customFormat="1">
      <c r="A40" s="810" t="s">
        <v>516</v>
      </c>
      <c r="B40" s="811"/>
      <c r="C40" s="811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800"/>
      <c r="AB40" s="800"/>
    </row>
    <row r="41" ht="18.75" customHeight="1" s="58" customFormat="1">
      <c r="A41" s="801" t="str">
        <f>IF(Format!I5=1,"-------",IF(Format!I5=2,Format!I3,Format!I4))</f>
        <v>صونفي </v>
      </c>
      <c r="B41" s="802"/>
      <c r="C41" s="803"/>
      <c r="D41" s="81"/>
      <c r="E41" s="81"/>
      <c r="F41" s="76"/>
      <c r="G41" s="68"/>
      <c r="H41" s="75"/>
      <c r="I41" s="81"/>
      <c r="J41" s="81"/>
      <c r="K41" s="81"/>
      <c r="L41" s="812" t="s">
        <v>419</v>
      </c>
      <c r="M41" s="813"/>
      <c r="N41" s="814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815">
        <f>AA39+X22+U8</f>
        <v>55476.381003698771</v>
      </c>
      <c r="AB41" s="815"/>
    </row>
    <row r="42" ht="13.95" customHeight="1" s="58" customFormat="1">
      <c r="A42" s="801"/>
      <c r="B42" s="802"/>
      <c r="C42" s="803"/>
      <c r="D42" s="10"/>
      <c r="E42" s="10"/>
      <c r="F42" s="10"/>
      <c r="G42" s="10"/>
      <c r="H42" s="10"/>
      <c r="I42" s="10"/>
      <c r="J42" s="10"/>
      <c r="K42" s="10"/>
      <c r="L42" s="779" t="str">
        <f>IF(Format!B5=1,Format!B2,IF(Format!B5=2,Format!B3,تسجيل1!F4))</f>
        <v>بيج  Ral 1013</v>
      </c>
      <c r="M42" s="780"/>
      <c r="N42" s="781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82" t="str">
        <f>IF(Format!P5=1,"Τηλεχειρισμος",IF(Format!P5=2,"-------","Διακοπτης"))</f>
        <v>Τηλεχειρισμος</v>
      </c>
      <c r="B43" s="783"/>
      <c r="C43" s="784"/>
      <c r="D43" s="10"/>
      <c r="E43" s="10"/>
      <c r="F43" s="10"/>
      <c r="G43" s="10"/>
      <c r="H43" s="10"/>
      <c r="I43" s="10"/>
      <c r="J43" s="10"/>
      <c r="K43" s="10"/>
      <c r="L43" s="785" t="s">
        <v>421</v>
      </c>
      <c r="M43" s="786"/>
      <c r="N43" s="787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88" t="str">
        <f>IF(Format!C8=1,Format!C2,IF(Format!C8=2,Format!C3,IF(Format!C8=3,Format!C4,IF(Format!C8=4,Format!C5,IF(Format!C8=5,Format!C6,تسجيل1!F5)))))</f>
        <v>بيج  Ral 1013</v>
      </c>
      <c r="M44" s="789"/>
      <c r="N44" s="790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91" t="str">
        <f>A3</f>
        <v>اسم العميل </v>
      </c>
      <c r="B96" s="792"/>
      <c r="C96" s="792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399</v>
      </c>
      <c r="L97" s="177" t="str">
        <f>M8</f>
        <v>Χ</v>
      </c>
      <c r="M97" s="793">
        <f>N8</f>
        <v>372</v>
      </c>
      <c r="N97" s="794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95" t="str">
        <f>L44</f>
        <v>بيج  Ral 1013</v>
      </c>
      <c r="K98" s="796"/>
      <c r="L98" s="796"/>
      <c r="M98" s="796"/>
      <c r="N98" s="797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/>
  <dimension ref="A1:S30"/>
  <sheetViews>
    <sheetView zoomScale="85" zoomScaleNormal="85" workbookViewId="0">
      <selection activeCell="AF16" sqref="AF16"/>
    </sheetView>
  </sheetViews>
  <sheetFormatPr defaultColWidth="9.109375" defaultRowHeight="14.4"/>
  <cols>
    <col min="1" max="1" width="18.5546875" customWidth="1" style="11"/>
    <col min="2" max="3" width="9.109375" customWidth="1" style="1"/>
    <col min="4" max="4" width="10" customWidth="1" style="1"/>
    <col min="5" max="7" width="9.109375" customWidth="1" style="1"/>
    <col min="8" max="8" width="15.109375" customWidth="1" style="1"/>
    <col min="9" max="16384" width="9.109375" customWidth="1" style="1"/>
  </cols>
  <sheetData>
    <row r="1" ht="18" customHeight="1">
      <c r="J1" s="708" t="s">
        <v>415</v>
      </c>
      <c r="K1" s="708"/>
      <c r="L1" s="708"/>
      <c r="M1" s="708"/>
      <c r="N1" s="708"/>
      <c r="O1" s="708"/>
      <c r="P1" s="708"/>
      <c r="Q1" s="708"/>
      <c r="R1" s="708"/>
      <c r="S1" s="708"/>
    </row>
    <row r="2" ht="18" customHeight="1">
      <c r="A2" s="11" t="s">
        <v>416</v>
      </c>
      <c r="B2" s="697">
        <f>Royal!C3</f>
        <v>0</v>
      </c>
      <c r="C2" s="698"/>
      <c r="D2" s="698"/>
      <c r="E2" s="698"/>
      <c r="F2" s="699"/>
      <c r="G2" s="1">
        <v>2</v>
      </c>
      <c r="J2" s="708"/>
      <c r="K2" s="708"/>
      <c r="L2" s="708"/>
      <c r="M2" s="708"/>
      <c r="N2" s="708"/>
      <c r="O2" s="708"/>
      <c r="P2" s="708"/>
      <c r="Q2" s="708"/>
      <c r="R2" s="708"/>
      <c r="S2" s="708"/>
    </row>
    <row r="3" ht="18" customHeight="1">
      <c r="A3" s="11" t="s">
        <v>417</v>
      </c>
      <c r="F3" s="700" t="s">
        <v>418</v>
      </c>
      <c r="G3" s="700"/>
    </row>
    <row r="4" ht="18" customHeight="1">
      <c r="A4" s="11" t="s">
        <v>419</v>
      </c>
      <c r="F4" s="701" t="s">
        <v>420</v>
      </c>
      <c r="G4" s="702"/>
      <c r="H4" s="702"/>
      <c r="I4" s="703"/>
      <c r="J4" s="10"/>
    </row>
    <row r="5" ht="18" customHeight="1">
      <c r="A5" s="11" t="s">
        <v>421</v>
      </c>
      <c r="F5" s="704" t="s">
        <v>422</v>
      </c>
      <c r="G5" s="705"/>
      <c r="H5" s="705"/>
      <c r="I5" s="706"/>
      <c r="J5" s="10"/>
    </row>
    <row r="6" ht="18" customHeight="1">
      <c r="A6" s="11" t="s">
        <v>423</v>
      </c>
      <c r="Q6" s="707"/>
      <c r="R6" s="707"/>
      <c r="S6" s="707"/>
    </row>
    <row r="7" ht="18" customHeight="1">
      <c r="B7" s="180" t="s">
        <v>213</v>
      </c>
      <c r="C7" s="181">
        <f>تسعير!AA33</f>
        <v>400</v>
      </c>
      <c r="D7" s="182" t="s">
        <v>252</v>
      </c>
      <c r="E7" s="183">
        <f>تسعير!X31</f>
        <v>400</v>
      </c>
    </row>
    <row r="8" ht="18" customHeight="1">
      <c r="F8" s="1">
        <v>5</v>
      </c>
    </row>
    <row r="9" ht="18" customHeight="1">
      <c r="A9" s="11" t="s">
        <v>424</v>
      </c>
    </row>
    <row r="10" ht="18" customHeight="1">
      <c r="A10" s="11" t="s">
        <v>425</v>
      </c>
    </row>
    <row r="11" ht="18" customHeight="1">
      <c r="A11" s="11" t="s">
        <v>426</v>
      </c>
      <c r="B11" s="709" t="s">
        <v>427</v>
      </c>
      <c r="C11" s="710"/>
      <c r="D11" s="705" t="s">
        <v>428</v>
      </c>
      <c r="E11" s="706"/>
    </row>
    <row r="12" ht="18" customHeight="1">
      <c r="A12" s="11" t="s">
        <v>429</v>
      </c>
    </row>
    <row r="13" ht="18" customHeight="1">
      <c r="A13" s="11" t="s">
        <v>430</v>
      </c>
    </row>
    <row r="14" ht="18" customHeight="1"/>
    <row r="15" ht="24.6" customHeight="1">
      <c r="A15" s="11" t="s">
        <v>431</v>
      </c>
      <c r="Q15" s="707"/>
      <c r="R15" s="707"/>
      <c r="S15" s="707"/>
    </row>
    <row r="16" ht="18" customHeight="1">
      <c r="C16" s="700" t="s">
        <v>432</v>
      </c>
      <c r="D16" s="700"/>
      <c r="E16" s="700"/>
      <c r="F16" s="1" t="s">
        <v>433</v>
      </c>
    </row>
    <row r="17" ht="18" customHeight="1">
      <c r="A17" s="700" t="s">
        <v>434</v>
      </c>
      <c r="B17" s="700"/>
      <c r="C17" s="700"/>
    </row>
    <row r="18" ht="18" customHeight="1">
      <c r="A18" s="711" t="s">
        <v>435</v>
      </c>
      <c r="B18" s="712"/>
      <c r="C18" s="14">
        <f>'Format Φωτισμου (2)'!B9</f>
        <v>3</v>
      </c>
    </row>
    <row r="19" ht="18" customHeight="1">
      <c r="A19" s="711" t="s">
        <v>436</v>
      </c>
      <c r="B19" s="712"/>
      <c r="C19" s="14">
        <f>'Format Φωτισμου (2)'!B12</f>
        <v>9</v>
      </c>
    </row>
    <row r="20" ht="18" customHeight="1">
      <c r="A20" s="711" t="s">
        <v>437</v>
      </c>
      <c r="B20" s="712"/>
      <c r="C20" s="14">
        <f>C19/C18</f>
        <v>3</v>
      </c>
    </row>
    <row r="21" ht="18" customHeight="1">
      <c r="A21" s="713" t="s">
        <v>438</v>
      </c>
      <c r="B21" s="714"/>
      <c r="C21" s="715">
        <v>20</v>
      </c>
      <c r="D21" s="716"/>
      <c r="E21" s="709" t="s">
        <v>439</v>
      </c>
      <c r="F21" s="710"/>
      <c r="G21" s="710"/>
      <c r="H21" s="14">
        <f>C21/C18</f>
        <v>6.666666666666667</v>
      </c>
      <c r="J21" s="718"/>
      <c r="K21" s="718"/>
      <c r="L21" s="718"/>
      <c r="M21" s="718"/>
      <c r="N21" s="718"/>
      <c r="O21" s="718"/>
      <c r="P21" s="718"/>
      <c r="Q21" s="718"/>
      <c r="R21" s="718"/>
      <c r="S21" s="718"/>
    </row>
    <row r="22" ht="18" customHeight="1">
      <c r="A22" s="711" t="s">
        <v>440</v>
      </c>
      <c r="B22" s="712"/>
      <c r="C22" s="179">
        <v>50</v>
      </c>
      <c r="D22" s="184" t="s">
        <v>441</v>
      </c>
      <c r="J22" s="718"/>
      <c r="K22" s="718"/>
      <c r="L22" s="718"/>
      <c r="M22" s="718"/>
      <c r="N22" s="718"/>
      <c r="O22" s="718"/>
      <c r="P22" s="718"/>
      <c r="Q22" s="718"/>
      <c r="R22" s="718"/>
      <c r="S22" s="718"/>
    </row>
    <row r="23" ht="18" customHeight="1">
      <c r="J23" s="718"/>
      <c r="K23" s="718"/>
      <c r="L23" s="718"/>
      <c r="M23" s="718"/>
      <c r="N23" s="718"/>
      <c r="O23" s="718"/>
      <c r="P23" s="718"/>
      <c r="Q23" s="718"/>
      <c r="R23" s="718"/>
      <c r="S23" s="718"/>
    </row>
    <row r="24" ht="18" customHeight="1"/>
    <row r="25" ht="18" customHeight="1">
      <c r="A25" s="11" t="s">
        <v>442</v>
      </c>
      <c r="J25" s="717"/>
      <c r="K25" s="717"/>
      <c r="L25" s="717"/>
      <c r="M25" s="717"/>
      <c r="N25" s="717"/>
      <c r="O25" s="717"/>
      <c r="P25" s="717"/>
      <c r="Q25" s="717"/>
      <c r="R25" s="15"/>
      <c r="S25" s="10"/>
    </row>
    <row r="26" ht="18" customHeight="1">
      <c r="G26" s="1" t="s">
        <v>443</v>
      </c>
      <c r="H26" s="1" t="s">
        <v>444</v>
      </c>
    </row>
    <row r="27" ht="18" customHeight="1">
      <c r="A27" s="11" t="s">
        <v>445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2</v>
      </c>
      <c r="H27" s="185">
        <f>IF('Format (2)'!J8=3,تسجيل2!G27,IF('Format (2)'!J8=1,تسجيل2!G27-2,IF('Format (2)'!J8=2,تسجيل2!G27-1,IF('Format (2)'!J8=4,تسجيل2!G27+1,IF('Format (2)'!J8=5,تسجيل2!G27+2)))))</f>
        <v>2</v>
      </c>
      <c r="J27" s="707"/>
      <c r="K27" s="707"/>
      <c r="L27" s="707"/>
      <c r="M27" s="707"/>
      <c r="N27" s="707"/>
      <c r="O27" s="707"/>
      <c r="P27" s="707"/>
      <c r="Q27" s="707"/>
      <c r="R27" s="707"/>
      <c r="S27" s="707"/>
    </row>
    <row r="28" ht="18" customHeight="1">
      <c r="A28" s="11" t="s">
        <v>446</v>
      </c>
      <c r="G28" s="185">
        <f>IF('Format (2)'!A7=1,'Format (2)'!E31,IF('Format (2)'!A7=2,'Format (2)'!E31,IF('Format (2)'!A7=3,'Format (2)'!E31,IF('Format (2)'!A7=4,'Format (2)'!E31,IF('Format (2)'!A7=5,'Format (2)'!E31,'Format (2)'!U31)))))</f>
        <v>5</v>
      </c>
      <c r="H28" s="185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5</v>
      </c>
    </row>
    <row r="29" ht="18" customHeight="1">
      <c r="G29" s="185">
        <f>IF(H27=2,2,H27+1)</f>
        <v>2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2</v>
      </c>
      <c r="M29" s="15"/>
      <c r="O29" s="15"/>
    </row>
    <row r="30" ht="18" customHeight="1">
      <c r="A30" s="11" t="s">
        <v>426</v>
      </c>
      <c r="G30" s="185">
        <f>G27</f>
        <v>2</v>
      </c>
      <c r="H30" s="185">
        <f>IF('Format (2)'!M8=3,G30,IF('Format (2)'!M8=1,G30-2,IF('Format (2)'!M8=2,G30-1,IF('Format (2)'!M8=4,G30+1,IF('Format (2)'!M8=5,G30+2)))))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E21:G21"/>
    <mergeCell ref="A22:B22"/>
    <mergeCell ref="J25:Q25"/>
    <mergeCell ref="J27:S27"/>
    <mergeCell ref="J21:S23"/>
    <mergeCell ref="A18:B18"/>
    <mergeCell ref="A19:B19"/>
    <mergeCell ref="A20:B20"/>
    <mergeCell ref="A21:B21"/>
    <mergeCell ref="C21:D21"/>
    <mergeCell ref="B11:C11"/>
    <mergeCell ref="D11:E11"/>
    <mergeCell ref="Q15:S15"/>
    <mergeCell ref="C16:E16"/>
    <mergeCell ref="A17:C17"/>
    <mergeCell ref="B2:F2"/>
    <mergeCell ref="F3:G3"/>
    <mergeCell ref="F4:I4"/>
    <mergeCell ref="F5:I5"/>
    <mergeCell ref="Q6:S6"/>
    <mergeCell ref="J1:S2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7620</xdr:colOff>
                    <xdr:row>2</xdr:row>
                    <xdr:rowOff>7620</xdr:rowOff>
                  </from>
                  <to>
                    <xdr:col>4</xdr:col>
                    <xdr:colOff>600075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7620</xdr:colOff>
                    <xdr:row>3</xdr:row>
                    <xdr:rowOff>22860</xdr:rowOff>
                  </from>
                  <to>
                    <xdr:col>4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7620</xdr:colOff>
                    <xdr:row>4</xdr:row>
                    <xdr:rowOff>22860</xdr:rowOff>
                  </from>
                  <to>
                    <xdr:col>4</xdr:col>
                    <xdr:colOff>600075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7620</xdr:rowOff>
                  </from>
                  <to>
                    <xdr:col>5</xdr:col>
                    <xdr:colOff>0</xdr:colOff>
                    <xdr:row>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7620</xdr:rowOff>
                  </from>
                  <to>
                    <xdr:col>5</xdr:col>
                    <xdr:colOff>0</xdr:colOff>
                    <xdr:row>9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22860</xdr:rowOff>
                  </from>
                  <to>
                    <xdr:col>5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22860</xdr:rowOff>
                  </from>
                  <to>
                    <xdr:col>5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7620</xdr:rowOff>
                  </from>
                  <to>
                    <xdr:col>5</xdr:col>
                    <xdr:colOff>0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22860</xdr:rowOff>
                  </from>
                  <to>
                    <xdr:col>5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7620</xdr:colOff>
                    <xdr:row>26</xdr:row>
                    <xdr:rowOff>22860</xdr:rowOff>
                  </from>
                  <to>
                    <xdr:col>4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7620</xdr:colOff>
                    <xdr:row>27</xdr:row>
                    <xdr:rowOff>7620</xdr:rowOff>
                  </from>
                  <to>
                    <xdr:col>4</xdr:col>
                    <xdr:colOff>600075</xdr:colOff>
                    <xdr:row>27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7620</xdr:colOff>
                    <xdr:row>28</xdr:row>
                    <xdr:rowOff>7620</xdr:rowOff>
                  </from>
                  <to>
                    <xdr:col>4</xdr:col>
                    <xdr:colOff>600075</xdr:colOff>
                    <xdr:row>28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7620</xdr:colOff>
                    <xdr:row>2</xdr:row>
                    <xdr:rowOff>7620</xdr:rowOff>
                  </from>
                  <to>
                    <xdr:col>8</xdr:col>
                    <xdr:colOff>371475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7620</xdr:rowOff>
                  </from>
                  <to>
                    <xdr:col>8</xdr:col>
                    <xdr:colOff>257175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22860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7620</xdr:colOff>
                    <xdr:row>29</xdr:row>
                    <xdr:rowOff>7620</xdr:rowOff>
                  </from>
                  <to>
                    <xdr:col>4</xdr:col>
                    <xdr:colOff>600075</xdr:colOff>
                    <xdr:row>29</xdr:row>
                    <xdr:rowOff>144780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7"/>
  <dimension ref="A1:AB98"/>
  <sheetViews>
    <sheetView rightToLeft="1" topLeftCell="H4" zoomScale="70" zoomScaleNormal="70" workbookViewId="0">
      <selection activeCell="AA39" sqref="AA39:AB40"/>
    </sheetView>
  </sheetViews>
  <sheetFormatPr defaultColWidth="9.109375" defaultRowHeight="18"/>
  <cols>
    <col min="1" max="1" width="2.6640625" customWidth="1" style="10"/>
    <col min="2" max="5" width="8.6640625" customWidth="1" style="10"/>
    <col min="6" max="6" width="4.88671875" customWidth="1" style="10"/>
    <col min="7" max="7" width="8.33203125" customWidth="1" style="10"/>
    <col min="8" max="8" width="2.6640625" customWidth="1" style="10"/>
    <col min="9" max="12" width="8.6640625" customWidth="1" style="10"/>
    <col min="13" max="13" width="4.88671875" customWidth="1" style="10"/>
    <col min="14" max="14" width="9.109375" customWidth="1" style="59"/>
    <col min="15" max="15" width="14.109375" customWidth="1" style="59"/>
    <col min="16" max="16" width="11.5546875" customWidth="1" style="60"/>
    <col min="17" max="17" width="8.33203125" customWidth="1" style="60"/>
    <col min="18" max="18" width="7.5546875" customWidth="1" style="60"/>
    <col min="19" max="19" width="11.33203125" customWidth="1" style="60"/>
    <col min="20" max="20" width="37.5546875" customWidth="1" style="61"/>
    <col min="21" max="21" width="10.6640625" customWidth="1" style="60"/>
    <col min="22" max="22" width="19" customWidth="1" style="60"/>
    <col min="23" max="23" width="18.109375" customWidth="1" style="60"/>
    <col min="24" max="24" width="25.5546875" customWidth="1" style="60"/>
    <col min="25" max="25" width="8.6640625" customWidth="1" style="60"/>
    <col min="26" max="26" width="10.6640625" customWidth="1" style="60"/>
    <col min="27" max="28" width="9.44140625" customWidth="1" style="62"/>
    <col min="29" max="30" width="9.109375" customWidth="1" style="58"/>
    <col min="31" max="52" width="9.109375" customWidth="1" style="10"/>
    <col min="53" max="16384" width="9.109375" customWidth="1" style="10"/>
  </cols>
  <sheetData>
    <row r="1" ht="40.5" customHeight="1">
      <c r="A1" s="719" t="s">
        <v>517</v>
      </c>
      <c r="B1" s="720"/>
      <c r="C1" s="720"/>
      <c r="D1" s="720"/>
      <c r="E1" s="720"/>
      <c r="F1" s="720"/>
      <c r="G1" s="720"/>
      <c r="H1" s="720"/>
      <c r="I1" s="720"/>
      <c r="J1" s="720"/>
      <c r="K1" s="720"/>
      <c r="L1" s="720"/>
      <c r="M1" s="720"/>
      <c r="N1" s="721"/>
      <c r="O1" s="87"/>
      <c r="P1" s="88"/>
      <c r="Q1" s="88"/>
      <c r="R1" s="88"/>
      <c r="W1" s="136">
        <f>IF(تسعير!T26="سادة",Royal2!J2+20000,IF(تسعير!T26="خشبي",Royal2!J2+40000,0))</f>
        <v>222000</v>
      </c>
      <c r="X1" s="60" t="s">
        <v>448</v>
      </c>
      <c r="Y1" s="136" t="e">
        <f>Royal!#REF!</f>
        <v>#REF!</v>
      </c>
      <c r="Z1" s="151" t="s">
        <v>449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735" t="s">
        <v>416</v>
      </c>
      <c r="B3" s="735"/>
      <c r="C3" s="735"/>
      <c r="D3" s="737">
        <f>تسجيل1!B2</f>
        <v>0</v>
      </c>
      <c r="E3" s="737"/>
      <c r="F3" s="737"/>
      <c r="G3" s="737"/>
      <c r="H3" s="737"/>
      <c r="I3" s="737"/>
      <c r="J3" s="737"/>
      <c r="K3" s="737"/>
      <c r="L3" s="737"/>
      <c r="M3" s="722" t="s">
        <v>450</v>
      </c>
      <c r="N3" s="722"/>
      <c r="O3" s="89"/>
      <c r="P3" s="90"/>
      <c r="Q3" s="90"/>
      <c r="R3" s="90"/>
      <c r="Z3" s="151"/>
      <c r="AA3" s="60"/>
      <c r="AB3" s="60"/>
    </row>
    <row r="4" ht="13.5" customHeight="1">
      <c r="A4" s="736"/>
      <c r="B4" s="736"/>
      <c r="C4" s="736"/>
      <c r="D4" s="738"/>
      <c r="E4" s="738"/>
      <c r="F4" s="738"/>
      <c r="G4" s="737"/>
      <c r="H4" s="737"/>
      <c r="I4" s="738"/>
      <c r="J4" s="738"/>
      <c r="K4" s="738"/>
      <c r="L4" s="738"/>
      <c r="M4" s="723"/>
      <c r="N4" s="723"/>
      <c r="O4" s="91"/>
      <c r="P4" s="92"/>
      <c r="Q4" s="92"/>
      <c r="R4" s="92"/>
      <c r="Z4" s="151"/>
      <c r="AA4" s="60"/>
      <c r="AB4" s="60"/>
    </row>
    <row r="5" ht="13.5" customHeight="1">
      <c r="A5" s="724" t="e">
        <f>Y1</f>
        <v>#REF!</v>
      </c>
      <c r="B5" s="725"/>
      <c r="C5" s="726"/>
      <c r="D5" s="727" t="s">
        <v>449</v>
      </c>
      <c r="E5" s="728"/>
      <c r="F5" s="729"/>
      <c r="G5" s="63"/>
      <c r="H5" s="63"/>
      <c r="I5" s="724">
        <f>W1</f>
        <v>222000</v>
      </c>
      <c r="J5" s="725"/>
      <c r="K5" s="726"/>
      <c r="L5" s="727" t="s">
        <v>451</v>
      </c>
      <c r="M5" s="728"/>
      <c r="N5" s="729"/>
      <c r="O5" s="93"/>
      <c r="P5" s="92"/>
      <c r="Q5" s="92"/>
      <c r="R5" s="92"/>
      <c r="Z5" s="151"/>
      <c r="AA5" s="60"/>
      <c r="AB5" s="60"/>
    </row>
    <row r="6" ht="16.5" customHeight="1">
      <c r="A6" s="804" t="s">
        <v>452</v>
      </c>
      <c r="B6" s="805"/>
      <c r="C6" s="806"/>
      <c r="D6" s="798" t="s">
        <v>453</v>
      </c>
      <c r="E6" s="730" t="s">
        <v>423</v>
      </c>
      <c r="F6" s="731"/>
      <c r="G6" s="732"/>
      <c r="H6" s="732"/>
      <c r="I6" s="731"/>
      <c r="J6" s="733"/>
      <c r="K6" s="734">
        <f>تسجيل2!C7</f>
        <v>400</v>
      </c>
      <c r="L6" s="734"/>
      <c r="M6" s="94" t="s">
        <v>454</v>
      </c>
      <c r="N6" s="95">
        <f>تسجيل2!E7</f>
        <v>400</v>
      </c>
      <c r="O6" s="96" t="s">
        <v>215</v>
      </c>
      <c r="P6" s="97"/>
      <c r="Q6" s="97"/>
      <c r="R6" s="97"/>
      <c r="Z6" s="151"/>
      <c r="AA6" s="60"/>
      <c r="AB6" s="60"/>
    </row>
    <row r="7" ht="19.8">
      <c r="A7" s="804"/>
      <c r="B7" s="805"/>
      <c r="C7" s="806"/>
      <c r="D7" s="798"/>
      <c r="E7" s="739" t="s">
        <v>455</v>
      </c>
      <c r="F7" s="732"/>
      <c r="G7" s="732"/>
      <c r="H7" s="732"/>
      <c r="I7" s="732"/>
      <c r="J7" s="740"/>
      <c r="K7" s="741">
        <f>K6*N6/10000</f>
        <v>16</v>
      </c>
      <c r="L7" s="741"/>
      <c r="M7" s="741"/>
      <c r="N7" s="98" t="s">
        <v>456</v>
      </c>
      <c r="O7" s="99">
        <f>AA41/K7</f>
        <v>3473.5238127311732</v>
      </c>
      <c r="S7" s="60" t="s">
        <v>215</v>
      </c>
      <c r="T7" s="61" t="s">
        <v>457</v>
      </c>
      <c r="Z7" s="151"/>
      <c r="AA7" s="60"/>
      <c r="AB7" s="60"/>
    </row>
    <row r="8">
      <c r="A8" s="807"/>
      <c r="B8" s="808"/>
      <c r="C8" s="809"/>
      <c r="D8" s="799"/>
      <c r="E8" s="742" t="s">
        <v>458</v>
      </c>
      <c r="F8" s="743"/>
      <c r="G8" s="743"/>
      <c r="H8" s="743"/>
      <c r="I8" s="743"/>
      <c r="J8" s="744"/>
      <c r="K8" s="745">
        <f>K6-1</f>
        <v>399</v>
      </c>
      <c r="L8" s="745"/>
      <c r="M8" s="100" t="s">
        <v>459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372</v>
      </c>
      <c r="O8" s="102">
        <f>O7*K7</f>
        <v>55576.381003698771</v>
      </c>
      <c r="P8" s="103"/>
      <c r="Q8" s="103"/>
      <c r="R8" s="103"/>
      <c r="S8" s="103">
        <f>IF((تسعير!T31=Sheet2!A6),Sheet2!B16,Sheet2!B58)</f>
        <v>950</v>
      </c>
      <c r="T8" s="137">
        <f>((K8*N8)/10000)*1.2</f>
        <v>17.81136</v>
      </c>
      <c r="U8" s="138">
        <f>T8*S8</f>
        <v>16920.792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46" t="s">
        <v>460</v>
      </c>
      <c r="B10" s="746"/>
      <c r="C10" s="746"/>
      <c r="D10" s="746"/>
      <c r="E10" s="746"/>
      <c r="F10" s="746"/>
      <c r="G10" s="747" t="s">
        <v>403</v>
      </c>
      <c r="H10" s="747"/>
      <c r="I10" s="747" t="s">
        <v>461</v>
      </c>
      <c r="J10" s="747"/>
      <c r="K10" s="104"/>
      <c r="L10" s="748" t="s">
        <v>445</v>
      </c>
      <c r="M10" s="748"/>
      <c r="N10" s="748"/>
      <c r="O10" s="105"/>
      <c r="P10" s="97"/>
      <c r="Q10" s="97"/>
      <c r="R10" s="97"/>
      <c r="S10" s="90" t="s">
        <v>462</v>
      </c>
      <c r="T10" s="90" t="s">
        <v>463</v>
      </c>
      <c r="U10" s="90" t="s">
        <v>464</v>
      </c>
      <c r="V10" s="90" t="s">
        <v>465</v>
      </c>
      <c r="W10" s="60" t="s">
        <v>10</v>
      </c>
      <c r="X10" s="60" t="s">
        <v>13</v>
      </c>
      <c r="Z10" s="151"/>
      <c r="AA10" s="60"/>
      <c r="AB10" s="60"/>
    </row>
    <row r="11" ht="20.1" customHeight="1">
      <c r="A11" s="749" t="s">
        <v>466</v>
      </c>
      <c r="B11" s="750"/>
      <c r="C11" s="750"/>
      <c r="D11" s="750"/>
      <c r="E11" s="750"/>
      <c r="F11" s="751"/>
      <c r="G11" s="752">
        <f>L11</f>
        <v>2</v>
      </c>
      <c r="H11" s="752"/>
      <c r="I11" s="753">
        <f>'Format διαστασης οδηγου (2)'!F8</f>
        <v>365</v>
      </c>
      <c r="J11" s="753"/>
      <c r="K11" s="106"/>
      <c r="L11" s="748">
        <f>IF((تسعير!T31=Sheet2!A6),2,IF(Format!A7=1,تسجيل2!H27,IF(Format!A7=2,تسجيل2!H27,IF(Format!A7=3,تسجيل2!H27,IF(Format!A7=4,تسجيل2!H27,IF(Format!A7=5,تسجيل2!H27,"-------"))))))</f>
        <v>2</v>
      </c>
      <c r="M11" s="748"/>
      <c r="N11" s="748"/>
      <c r="O11" s="105"/>
      <c r="P11" s="107">
        <f>IF(I11&lt;=500,5,0)</f>
        <v>5</v>
      </c>
      <c r="Q11" s="107">
        <f>IF(I11&gt;500,7,0)</f>
        <v>0</v>
      </c>
      <c r="R11" s="107">
        <f>IF(I11&gt;700,8,0)</f>
        <v>0</v>
      </c>
      <c r="S11" s="103">
        <f>MAX(P11:R11)</f>
        <v>5</v>
      </c>
      <c r="T11" s="139">
        <f>(G11*I11)/S11/100</f>
        <v>1.46</v>
      </c>
      <c r="U11" s="103">
        <f>CEILING(T11,0.5)</f>
        <v>1.5</v>
      </c>
      <c r="V11" s="103">
        <f>U11*S11</f>
        <v>7.5</v>
      </c>
      <c r="W11" s="140">
        <v>4.45627705627706</v>
      </c>
      <c r="X11" s="141">
        <f>($W$1/1000)*W11*V11</f>
        <v>7419.701298701305</v>
      </c>
      <c r="Z11" s="151"/>
      <c r="AA11" s="60"/>
      <c r="AB11" s="60"/>
    </row>
    <row r="12" ht="20.1" customHeight="1">
      <c r="A12" s="755" t="s">
        <v>467</v>
      </c>
      <c r="B12" s="755"/>
      <c r="C12" s="755"/>
      <c r="D12" s="755"/>
      <c r="E12" s="755"/>
      <c r="F12" s="755"/>
      <c r="G12" s="756">
        <f>IF(L11&gt;2,4,IF(L11=2,2))</f>
        <v>2</v>
      </c>
      <c r="H12" s="756"/>
      <c r="I12" s="757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399</v>
      </c>
      <c r="J12" s="757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4</v>
      </c>
      <c r="S12" s="103">
        <f>IF((تسعير!$T$31=Sheet2!$A$6),ROUND(I12/100,0),MAX(P12:R12))</f>
        <v>4</v>
      </c>
      <c r="T12" s="139">
        <f>(G12*I12)/S12/100</f>
        <v>1.995</v>
      </c>
      <c r="U12" s="103">
        <f ref="U12:U21" t="shared" si="0">CEILING(T12,0.25)</f>
        <v>2</v>
      </c>
      <c r="V12" s="103">
        <f ref="V12:V20" t="shared" si="1">G12*S12</f>
        <v>8</v>
      </c>
      <c r="W12" s="140">
        <v>1.86378737541528</v>
      </c>
      <c r="X12" s="141">
        <f>($W$1/1000)*W12*V12</f>
        <v>3310.0863787375374</v>
      </c>
      <c r="Z12" s="151"/>
      <c r="AA12" s="60"/>
      <c r="AB12" s="60"/>
    </row>
    <row r="13" ht="20.1" customHeight="1">
      <c r="A13" s="755" t="s">
        <v>468</v>
      </c>
      <c r="B13" s="755"/>
      <c r="C13" s="755"/>
      <c r="D13" s="755"/>
      <c r="E13" s="755"/>
      <c r="F13" s="755"/>
      <c r="G13" s="756" t="str">
        <f>IF(L11&lt;=3,"0",(L11-3)*2)</f>
        <v>0</v>
      </c>
      <c r="H13" s="756"/>
      <c r="I13" s="757">
        <f>IF(G13="-------","-------",L17-5)</f>
        <v>386</v>
      </c>
      <c r="J13" s="757"/>
      <c r="K13" s="106"/>
      <c r="L13" s="758" t="s">
        <v>469</v>
      </c>
      <c r="M13" s="758"/>
      <c r="N13" s="758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4</v>
      </c>
      <c r="S13" s="103">
        <f>IF((تسعير!$T$31=Sheet2!$A$6),ROUND(I13/100,0),MAX(P13:R13))</f>
        <v>4</v>
      </c>
      <c r="T13" s="139">
        <f ref="T13:T20" t="shared" si="5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6">($W$1/1000)*W13*V13</f>
        <v>0</v>
      </c>
      <c r="Z13" s="151"/>
      <c r="AA13" s="60"/>
      <c r="AB13" s="60"/>
    </row>
    <row r="14" ht="20.1" customHeight="1">
      <c r="A14" s="755" t="s">
        <v>470</v>
      </c>
      <c r="B14" s="755"/>
      <c r="C14" s="755"/>
      <c r="D14" s="755"/>
      <c r="E14" s="755"/>
      <c r="F14" s="755"/>
      <c r="G14" s="756">
        <f>IF(L11&gt;2,2*L14,IF(L11=2,L14))</f>
        <v>5</v>
      </c>
      <c r="H14" s="756"/>
      <c r="I14" s="757">
        <f>I12</f>
        <v>399</v>
      </c>
      <c r="J14" s="757"/>
      <c r="K14" s="106"/>
      <c r="L14" s="109">
        <f>تسجيل2!H28</f>
        <v>5</v>
      </c>
      <c r="M14" s="110" t="s">
        <v>471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4</v>
      </c>
      <c r="S14" s="103">
        <f>IF((تسعير!$T$31=Sheet2!$A$6),ROUND(I14/100,0),MAX(P14:R14))</f>
        <v>4</v>
      </c>
      <c r="T14" s="139">
        <f t="shared" si="5"/>
        <v>4.9875</v>
      </c>
      <c r="U14" s="103">
        <f>CEILING(T14,0.5)</f>
        <v>5</v>
      </c>
      <c r="V14" s="103">
        <f t="shared" si="1"/>
        <v>20</v>
      </c>
      <c r="W14" s="140">
        <v>1.05172413793103</v>
      </c>
      <c r="X14" s="141">
        <f t="shared" si="6"/>
        <v>4669.6551724137735</v>
      </c>
      <c r="Z14" s="151"/>
      <c r="AA14" s="60"/>
      <c r="AB14" s="60"/>
    </row>
    <row r="15" ht="20.1" customHeight="1">
      <c r="A15" s="755" t="s">
        <v>472</v>
      </c>
      <c r="B15" s="755"/>
      <c r="C15" s="755"/>
      <c r="D15" s="755"/>
      <c r="E15" s="755"/>
      <c r="F15" s="755"/>
      <c r="G15" s="756" t="str">
        <f>IF(L11&lt;=3,"0",(L11-3)*L14)</f>
        <v>0</v>
      </c>
      <c r="H15" s="756"/>
      <c r="I15" s="757">
        <f>IF(G15="-------","---------",I13)</f>
        <v>386</v>
      </c>
      <c r="J15" s="757"/>
      <c r="K15" s="106"/>
      <c r="L15" s="106"/>
      <c r="M15" s="106"/>
      <c r="N15" s="106"/>
      <c r="O15" s="106"/>
      <c r="P15" s="103">
        <f t="shared" si="2"/>
        <v>0</v>
      </c>
      <c r="Q15" s="103">
        <f t="shared" si="3"/>
        <v>3.5</v>
      </c>
      <c r="R15" s="103">
        <f t="shared" si="4"/>
        <v>4</v>
      </c>
      <c r="S15" s="103">
        <f>IF((تسعير!$T$31=Sheet2!$A$6),ROUND(I15/100,0),MAX(P15:R15))</f>
        <v>4</v>
      </c>
      <c r="T15" s="139">
        <f t="shared" si="5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6"/>
        <v>0</v>
      </c>
      <c r="Z15" s="151"/>
      <c r="AA15" s="60"/>
      <c r="AB15" s="60"/>
    </row>
    <row r="16" ht="20.1" customHeight="1">
      <c r="A16" s="755" t="s">
        <v>473</v>
      </c>
      <c r="B16" s="755"/>
      <c r="C16" s="755"/>
      <c r="D16" s="755"/>
      <c r="E16" s="755"/>
      <c r="F16" s="755"/>
      <c r="G16" s="756">
        <v>1</v>
      </c>
      <c r="H16" s="756"/>
      <c r="I16" s="757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397.5</v>
      </c>
      <c r="J16" s="757"/>
      <c r="K16" s="106"/>
      <c r="L16" s="759" t="s">
        <v>474</v>
      </c>
      <c r="M16" s="759"/>
      <c r="N16" s="759"/>
      <c r="O16" s="111"/>
      <c r="P16" s="103">
        <f t="shared" si="2"/>
        <v>0</v>
      </c>
      <c r="Q16" s="103">
        <f t="shared" si="3"/>
        <v>3.5</v>
      </c>
      <c r="R16" s="103">
        <f t="shared" si="4"/>
        <v>4</v>
      </c>
      <c r="S16" s="103">
        <f>IF((تسعير!$T$31=Sheet2!$A$6),ROUND(I16/100,0),MAX(P16:R16))</f>
        <v>4</v>
      </c>
      <c r="T16" s="139">
        <f t="shared" si="5"/>
        <v>0.99375</v>
      </c>
      <c r="U16" s="103">
        <f>CEILING(T16,0.5)</f>
        <v>1</v>
      </c>
      <c r="V16" s="103">
        <f t="shared" si="1"/>
        <v>4</v>
      </c>
      <c r="W16" s="140">
        <v>1.3948717948718</v>
      </c>
      <c r="X16" s="141">
        <f t="shared" si="6"/>
        <v>1238.6461538461583</v>
      </c>
      <c r="Z16" s="151"/>
      <c r="AA16" s="60"/>
      <c r="AB16" s="60"/>
    </row>
    <row r="17" ht="20.1" customHeight="1">
      <c r="A17" s="755" t="s">
        <v>475</v>
      </c>
      <c r="B17" s="755"/>
      <c r="C17" s="755"/>
      <c r="D17" s="755"/>
      <c r="E17" s="755"/>
      <c r="F17" s="755"/>
      <c r="G17" s="756" t="str">
        <f>IF(L11=2,"0",1)</f>
        <v>0</v>
      </c>
      <c r="H17" s="756"/>
      <c r="I17" s="757">
        <f>IF(G17="-------","-------",IF(Format!A7=1,(L17+3),IF(Format!A7=2,(L17+3.5),IF(Format!A7=3,(L17+3),IF(Format!A7=4,(L17+4.25),IF(Format!A7=5,(L17+5),"--------"))))))</f>
        <v>394.5</v>
      </c>
      <c r="J17" s="757"/>
      <c r="K17" s="106"/>
      <c r="L17" s="760">
        <f>IF(Format!A7=1,(K6-2-6)/(L11-1),IF(Format!A7=2,(K6-2-7)/(L11-1),IF(Format!A7=3,(K6-2-6)/(L11-1),IF(Format!A7=4,(K6-2-8.5)/(L11-1),IF(Format!A7=5,(K6-2-10)/(L11-1),"--------")))))</f>
        <v>391</v>
      </c>
      <c r="M17" s="760"/>
      <c r="N17" s="760"/>
      <c r="O17" s="113"/>
      <c r="P17" s="103">
        <f t="shared" si="2"/>
        <v>0</v>
      </c>
      <c r="Q17" s="103">
        <f t="shared" si="3"/>
        <v>3.5</v>
      </c>
      <c r="R17" s="103">
        <f t="shared" si="4"/>
        <v>4</v>
      </c>
      <c r="S17" s="103">
        <f>IF((تسعير!$T$31=Sheet2!$A$6),ROUND(I17/100,0),MAX(P17:R17))</f>
        <v>4</v>
      </c>
      <c r="T17" s="139">
        <f t="shared" si="5"/>
        <v>0</v>
      </c>
      <c r="U17" s="103">
        <f>CEILING(T17,0.5)</f>
        <v>0</v>
      </c>
      <c r="V17" s="103">
        <f t="shared" si="1"/>
        <v>0</v>
      </c>
      <c r="W17" s="140">
        <v>1.3948717948718</v>
      </c>
      <c r="X17" s="141">
        <f t="shared" si="6"/>
        <v>0</v>
      </c>
      <c r="Z17" s="151"/>
      <c r="AA17" s="60"/>
      <c r="AB17" s="60"/>
    </row>
    <row r="18" ht="20.1" customHeight="1">
      <c r="A18" s="755" t="s">
        <v>476</v>
      </c>
      <c r="B18" s="755"/>
      <c r="C18" s="755"/>
      <c r="D18" s="755"/>
      <c r="E18" s="755"/>
      <c r="F18" s="755"/>
      <c r="G18" s="756" t="str">
        <f>IF(L11&lt;=3,"0",(L11-3))</f>
        <v>0</v>
      </c>
      <c r="H18" s="756"/>
      <c r="I18" s="757">
        <f>IF(G18="-------","-------",L17)</f>
        <v>391</v>
      </c>
      <c r="J18" s="757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4</v>
      </c>
      <c r="S18" s="103">
        <f>IF((تسعير!$T$31=Sheet2!$A$6),ROUND(I18/100,0),MAX(P18:R18))</f>
        <v>4</v>
      </c>
      <c r="T18" s="139">
        <f t="shared" si="5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6"/>
        <v>0</v>
      </c>
      <c r="Z18" s="151"/>
      <c r="AA18" s="60"/>
      <c r="AB18" s="60"/>
    </row>
    <row r="19" ht="20.1" customHeight="1">
      <c r="A19" s="755" t="str">
        <f>IF(Format!H4=1,"Balloon","-------")</f>
        <v>-------</v>
      </c>
      <c r="B19" s="755"/>
      <c r="C19" s="755"/>
      <c r="D19" s="755"/>
      <c r="E19" s="755"/>
      <c r="F19" s="755"/>
      <c r="G19" s="756" t="str">
        <f>IF([1]Format!H4=1,'[1]تقطيع البرجولة'!L14,"0")</f>
        <v>0</v>
      </c>
      <c r="H19" s="756"/>
      <c r="I19" s="757">
        <f>IF(G19="-------","-------",K6-2.5)</f>
        <v>397.5</v>
      </c>
      <c r="J19" s="757"/>
      <c r="K19" s="106"/>
      <c r="L19" s="761" t="s">
        <v>426</v>
      </c>
      <c r="M19" s="762"/>
      <c r="N19" s="763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>IF((تسعير!$T$31=Sheet2!$A$6),ROUND(I19/100,0),MAX(P19:R19))</f>
        <v>4</v>
      </c>
      <c r="T19" s="139">
        <f t="shared" si="5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6"/>
        <v>0</v>
      </c>
      <c r="Z19" s="151"/>
      <c r="AA19" s="60"/>
      <c r="AB19" s="60"/>
    </row>
    <row r="20" ht="20.1" customHeight="1">
      <c r="A20" s="764" t="s">
        <v>477</v>
      </c>
      <c r="B20" s="765"/>
      <c r="C20" s="765"/>
      <c r="D20" s="765"/>
      <c r="E20" s="765"/>
      <c r="F20" s="766"/>
      <c r="G20" s="764">
        <f>(G12+G13)/2</f>
        <v>1</v>
      </c>
      <c r="H20" s="765"/>
      <c r="I20" s="757">
        <f>L17-7</f>
        <v>384</v>
      </c>
      <c r="J20" s="757"/>
      <c r="K20" s="106"/>
      <c r="L20" s="114" t="s">
        <v>403</v>
      </c>
      <c r="M20" s="767" t="s">
        <v>478</v>
      </c>
      <c r="N20" s="767"/>
      <c r="O20" s="115"/>
      <c r="P20" s="103">
        <f t="shared" si="2"/>
        <v>0</v>
      </c>
      <c r="Q20" s="103">
        <f t="shared" si="3"/>
        <v>3.5</v>
      </c>
      <c r="R20" s="103">
        <f t="shared" si="4"/>
        <v>4</v>
      </c>
      <c r="S20" s="103">
        <f>IF((تسعير!$T$31=Sheet2!$A$6),ROUND(I20/100,0),MAX(P20:R20))</f>
        <v>4</v>
      </c>
      <c r="T20" s="139">
        <f t="shared" si="5"/>
        <v>0.96</v>
      </c>
      <c r="U20" s="103">
        <f t="shared" si="0"/>
        <v>1</v>
      </c>
      <c r="V20" s="103">
        <f t="shared" si="1"/>
        <v>4</v>
      </c>
      <c r="W20" s="103">
        <v>1.65</v>
      </c>
      <c r="X20" s="141">
        <f t="shared" si="6"/>
        <v>1465.1999999999998</v>
      </c>
      <c r="Z20" s="151"/>
      <c r="AA20" s="60"/>
      <c r="AB20" s="60"/>
    </row>
    <row r="21" ht="20.1" customHeight="1">
      <c r="A21" s="768" t="s">
        <v>479</v>
      </c>
      <c r="B21" s="768"/>
      <c r="C21" s="768"/>
      <c r="D21" s="768"/>
      <c r="E21" s="768"/>
      <c r="F21" s="768"/>
      <c r="G21" s="769">
        <f>L11</f>
        <v>2</v>
      </c>
      <c r="H21" s="769"/>
      <c r="I21" s="770">
        <f>(I11*2)+45</f>
        <v>775</v>
      </c>
      <c r="J21" s="770"/>
      <c r="K21" s="106"/>
      <c r="L21" s="112">
        <f>IF(Format!E7=1,"-------",IF(Format!E7=5,"-------",تسجيل2!H30))</f>
        <v>2</v>
      </c>
      <c r="M21" s="759" t="str">
        <f>IF(L21="-------","-------",تسجيل2!D11)</f>
        <v>4Χ220- 1Χ250</v>
      </c>
      <c r="N21" s="759"/>
      <c r="O21" s="111"/>
      <c r="P21" s="64"/>
      <c r="Q21" s="64"/>
      <c r="R21" s="64"/>
      <c r="S21" s="142">
        <v>1</v>
      </c>
      <c r="T21" s="143">
        <f>(G21*I21)/100</f>
        <v>15.5</v>
      </c>
      <c r="U21" s="142">
        <f t="shared" si="0"/>
        <v>15.5</v>
      </c>
      <c r="V21" s="142">
        <f>U21*S21</f>
        <v>15.5</v>
      </c>
      <c r="W21" s="142">
        <f>Sheet2!B17</f>
        <v>175</v>
      </c>
      <c r="X21" s="144">
        <f>W21*V21</f>
        <v>2712.5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19350.589003698773</v>
      </c>
      <c r="Z22" s="151"/>
      <c r="AA22" s="60"/>
      <c r="AB22" s="60"/>
    </row>
    <row r="23" ht="20.1" customHeight="1">
      <c r="A23" s="771" t="s">
        <v>480</v>
      </c>
      <c r="B23" s="772"/>
      <c r="C23" s="772"/>
      <c r="D23" s="772"/>
      <c r="E23" s="773"/>
      <c r="F23" s="67" t="s">
        <v>481</v>
      </c>
      <c r="G23" s="68"/>
      <c r="H23" s="771" t="s">
        <v>482</v>
      </c>
      <c r="I23" s="772"/>
      <c r="J23" s="772"/>
      <c r="K23" s="772"/>
      <c r="L23" s="773"/>
      <c r="M23" s="67" t="s">
        <v>403</v>
      </c>
      <c r="N23" s="119"/>
      <c r="O23" s="119"/>
      <c r="P23" s="120"/>
      <c r="Q23" s="120"/>
      <c r="R23" s="120"/>
      <c r="S23" s="146"/>
      <c r="T23" s="147" t="s">
        <v>483</v>
      </c>
      <c r="U23" s="146" t="s">
        <v>484</v>
      </c>
      <c r="V23" s="146" t="s">
        <v>485</v>
      </c>
      <c r="W23" s="146" t="s">
        <v>486</v>
      </c>
      <c r="X23" s="146" t="s">
        <v>484</v>
      </c>
      <c r="Y23" s="146" t="s">
        <v>485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74" t="s">
        <v>487</v>
      </c>
      <c r="C24" s="774"/>
      <c r="D24" s="774"/>
      <c r="E24" s="774"/>
      <c r="F24" s="70">
        <f>L11</f>
        <v>2</v>
      </c>
      <c r="G24" s="71"/>
      <c r="H24" s="69">
        <v>16</v>
      </c>
      <c r="I24" s="774" t="s">
        <v>431</v>
      </c>
      <c r="J24" s="774"/>
      <c r="K24" s="774"/>
      <c r="L24" s="774"/>
      <c r="M24" s="70">
        <f>IF((تسعير!T31=Sheet2!A6),1,IF(K7&lt;=65,1,2))</f>
        <v>1</v>
      </c>
      <c r="N24" s="119"/>
      <c r="O24" s="119"/>
      <c r="P24" s="121"/>
      <c r="Q24" s="121"/>
      <c r="R24" s="121"/>
      <c r="T24" s="61" t="str">
        <f ref="T24:T38" t="shared" si="7">B24</f>
        <v>بالتة تثبيت البروفيل في الحائط</v>
      </c>
      <c r="U24" s="148"/>
      <c r="V24" s="148">
        <v>130</v>
      </c>
      <c r="W24" s="60" t="str">
        <f ref="W24:W38" t="shared" si="8">I24</f>
        <v>ماتور </v>
      </c>
      <c r="X24" s="148"/>
      <c r="Y24" s="148">
        <f>IF((تسعير!T31=Sheet2!A6),Sheet2!B57,IF((N6&lt;600),Sheet2!B33,IF(N6&gt;=600,Sheet2!B55,0)))</f>
        <v>9000</v>
      </c>
      <c r="Z24" s="151"/>
      <c r="AA24" s="60">
        <f>V24*F24</f>
        <v>260</v>
      </c>
      <c r="AB24" s="60">
        <f ref="AB24:AB38" t="shared" si="9">Y24*M24</f>
        <v>9000</v>
      </c>
    </row>
    <row r="25" ht="20.1" customHeight="1">
      <c r="A25" s="72">
        <v>2</v>
      </c>
      <c r="B25" s="775" t="s">
        <v>488</v>
      </c>
      <c r="C25" s="775"/>
      <c r="D25" s="775"/>
      <c r="E25" s="775"/>
      <c r="F25" s="73">
        <f>L11</f>
        <v>2</v>
      </c>
      <c r="G25" s="71"/>
      <c r="H25" s="72">
        <v>17</v>
      </c>
      <c r="I25" s="775" t="s">
        <v>489</v>
      </c>
      <c r="J25" s="775"/>
      <c r="K25" s="775"/>
      <c r="L25" s="775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7"/>
        <v>لسان مشرشر مع المسمار والصمولة</v>
      </c>
      <c r="U25" s="148"/>
      <c r="V25" s="148">
        <v>22</v>
      </c>
      <c r="W25" s="60" t="str">
        <f t="shared" si="8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44</v>
      </c>
      <c r="AB25" s="60">
        <f t="shared" si="9"/>
        <v>2000</v>
      </c>
    </row>
    <row r="26" ht="20.1" customHeight="1">
      <c r="A26" s="72">
        <v>3</v>
      </c>
      <c r="B26" s="775" t="s">
        <v>490</v>
      </c>
      <c r="C26" s="775"/>
      <c r="D26" s="775"/>
      <c r="E26" s="775"/>
      <c r="F26" s="73">
        <f>M24</f>
        <v>1</v>
      </c>
      <c r="G26" s="71"/>
      <c r="H26" s="72">
        <v>18</v>
      </c>
      <c r="I26" s="775" t="s">
        <v>491</v>
      </c>
      <c r="J26" s="775"/>
      <c r="K26" s="775"/>
      <c r="L26" s="775"/>
      <c r="M26" s="73">
        <f>(F24*2)-M27</f>
        <v>3</v>
      </c>
      <c r="N26" s="119"/>
      <c r="O26" s="119"/>
      <c r="P26" s="121"/>
      <c r="Q26" s="121"/>
      <c r="R26" s="121"/>
      <c r="T26" s="61" t="str">
        <f t="shared" si="7"/>
        <v>غطاء ماتور بلاستيك مع 2 صامولة 8 م</v>
      </c>
      <c r="U26" s="148"/>
      <c r="V26" s="148">
        <v>11</v>
      </c>
      <c r="W26" s="60" t="str">
        <f t="shared" si="8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9"/>
        <v>159</v>
      </c>
    </row>
    <row r="27" ht="20.1" customHeight="1">
      <c r="A27" s="72">
        <v>4</v>
      </c>
      <c r="B27" s="776" t="s">
        <v>492</v>
      </c>
      <c r="C27" s="777"/>
      <c r="D27" s="777"/>
      <c r="E27" s="778"/>
      <c r="F27" s="73">
        <v>4</v>
      </c>
      <c r="G27" s="71"/>
      <c r="H27" s="72">
        <v>19</v>
      </c>
      <c r="I27" s="775" t="s">
        <v>493</v>
      </c>
      <c r="J27" s="775"/>
      <c r="K27" s="775"/>
      <c r="L27" s="775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7"/>
        <v>غطاء جانبي مداد كبير  بلاستيك (واحدة)</v>
      </c>
      <c r="U27" s="148"/>
      <c r="V27" s="148">
        <v>3.5</v>
      </c>
      <c r="W27" s="60" t="str">
        <f t="shared" si="8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9"/>
        <v>82</v>
      </c>
    </row>
    <row r="28" ht="20.1" customHeight="1">
      <c r="A28" s="72">
        <v>5</v>
      </c>
      <c r="B28" s="776" t="s">
        <v>494</v>
      </c>
      <c r="C28" s="777"/>
      <c r="D28" s="777"/>
      <c r="E28" s="778"/>
      <c r="F28" s="73">
        <f>L14</f>
        <v>5</v>
      </c>
      <c r="G28" s="71"/>
      <c r="H28" s="72">
        <v>20</v>
      </c>
      <c r="I28" s="775" t="s">
        <v>495</v>
      </c>
      <c r="J28" s="775"/>
      <c r="K28" s="775"/>
      <c r="L28" s="775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7"/>
        <v>غطاء جانبي مداد صغير   بلاستيك (زوج)</v>
      </c>
      <c r="U28" s="148"/>
      <c r="V28" s="148">
        <v>3</v>
      </c>
      <c r="W28" s="60" t="str">
        <f t="shared" si="8"/>
        <v>بالتة تجميع البروفيل (زوج )</v>
      </c>
      <c r="X28" s="148"/>
      <c r="Y28" s="148">
        <v>440</v>
      </c>
      <c r="Z28" s="151"/>
      <c r="AA28" s="60">
        <f t="shared" si="10"/>
        <v>15</v>
      </c>
      <c r="AB28" s="60">
        <f t="shared" si="9"/>
        <v>0</v>
      </c>
    </row>
    <row r="29" ht="20.1" customHeight="1">
      <c r="A29" s="72">
        <v>6</v>
      </c>
      <c r="B29" s="776" t="s">
        <v>496</v>
      </c>
      <c r="C29" s="777"/>
      <c r="D29" s="777"/>
      <c r="E29" s="778"/>
      <c r="F29" s="73">
        <f>L11*2</f>
        <v>4</v>
      </c>
      <c r="G29" s="71"/>
      <c r="H29" s="72">
        <v>21</v>
      </c>
      <c r="I29" s="775" t="s">
        <v>497</v>
      </c>
      <c r="J29" s="775"/>
      <c r="K29" s="775"/>
      <c r="L29" s="775"/>
      <c r="M29" s="122">
        <f>F24</f>
        <v>2</v>
      </c>
      <c r="N29" s="119"/>
      <c r="O29" s="119"/>
      <c r="P29" s="121"/>
      <c r="Q29" s="121"/>
      <c r="R29" s="121"/>
      <c r="T29" s="61" t="str">
        <f t="shared" si="7"/>
        <v>طبة بلاستيك مدور للمداد الكبير</v>
      </c>
      <c r="U29" s="148"/>
      <c r="V29" s="148">
        <v>2</v>
      </c>
      <c r="W29" s="60" t="str">
        <f t="shared" si="8"/>
        <v>طقم اكسسوار امامي بالغطاء الالومنيوم</v>
      </c>
      <c r="X29" s="148"/>
      <c r="Y29" s="148">
        <f>Sheet2!B35</f>
        <v>750</v>
      </c>
      <c r="Z29" s="151"/>
      <c r="AA29" s="60">
        <f t="shared" si="10"/>
        <v>8</v>
      </c>
      <c r="AB29" s="60">
        <f t="shared" si="9"/>
        <v>1500</v>
      </c>
    </row>
    <row r="30" ht="20.1" customHeight="1">
      <c r="A30" s="72">
        <v>7</v>
      </c>
      <c r="B30" s="776" t="s">
        <v>498</v>
      </c>
      <c r="C30" s="777"/>
      <c r="D30" s="777"/>
      <c r="E30" s="778"/>
      <c r="F30" s="73">
        <f>L14*L11</f>
        <v>10</v>
      </c>
      <c r="G30" s="71"/>
      <c r="H30" s="72">
        <v>22</v>
      </c>
      <c r="I30" s="775" t="s">
        <v>499</v>
      </c>
      <c r="J30" s="775"/>
      <c r="K30" s="775"/>
      <c r="L30" s="775"/>
      <c r="M30" s="122">
        <f>F24</f>
        <v>2</v>
      </c>
      <c r="N30" s="119"/>
      <c r="O30" s="119"/>
      <c r="P30" s="121"/>
      <c r="Q30" s="121"/>
      <c r="R30" s="121"/>
      <c r="T30" s="61" t="str">
        <f t="shared" si="7"/>
        <v>طبة بلاستيك مدور للمداد الصغير</v>
      </c>
      <c r="U30" s="148"/>
      <c r="V30" s="148">
        <v>2</v>
      </c>
      <c r="W30" s="60" t="str">
        <f t="shared" si="8"/>
        <v>طقم اكسسوار خلفي</v>
      </c>
      <c r="X30" s="148">
        <v>0</v>
      </c>
      <c r="Y30" s="148">
        <f>Sheet2!B36</f>
        <v>750</v>
      </c>
      <c r="Z30" s="151"/>
      <c r="AA30" s="60">
        <f t="shared" si="10"/>
        <v>20</v>
      </c>
      <c r="AB30" s="60">
        <f t="shared" si="9"/>
        <v>1500</v>
      </c>
    </row>
    <row r="31" ht="20.1" customHeight="1">
      <c r="A31" s="72">
        <v>8</v>
      </c>
      <c r="B31" s="776" t="s">
        <v>500</v>
      </c>
      <c r="C31" s="777"/>
      <c r="D31" s="777"/>
      <c r="E31" s="778"/>
      <c r="F31" s="73">
        <f>(L14+N14)*2</f>
        <v>14</v>
      </c>
      <c r="G31" s="71"/>
      <c r="H31" s="72">
        <v>23</v>
      </c>
      <c r="I31" s="775" t="s">
        <v>501</v>
      </c>
      <c r="J31" s="775"/>
      <c r="K31" s="775"/>
      <c r="L31" s="775"/>
      <c r="M31" s="73">
        <f>F30</f>
        <v>10</v>
      </c>
      <c r="N31" s="119"/>
      <c r="O31" s="119"/>
      <c r="P31" s="121"/>
      <c r="Q31" s="121"/>
      <c r="R31" s="121"/>
      <c r="T31" s="61" t="str">
        <f t="shared" si="7"/>
        <v> وردة بلاستيك شد البى فى سي </v>
      </c>
      <c r="U31" s="148"/>
      <c r="V31" s="148">
        <v>2</v>
      </c>
      <c r="W31" s="60" t="str">
        <f t="shared" si="8"/>
        <v>عربية صغيرة بالصامولة + جلبة بلاستيك</v>
      </c>
      <c r="X31" s="148"/>
      <c r="Y31" s="148">
        <v>80</v>
      </c>
      <c r="Z31" s="151"/>
      <c r="AA31" s="60">
        <f t="shared" si="10"/>
        <v>28</v>
      </c>
      <c r="AB31" s="60">
        <f t="shared" si="9"/>
        <v>800</v>
      </c>
    </row>
    <row r="32" ht="20.1" customHeight="1">
      <c r="A32" s="72">
        <v>9</v>
      </c>
      <c r="B32" s="776" t="s">
        <v>502</v>
      </c>
      <c r="C32" s="777"/>
      <c r="D32" s="777"/>
      <c r="E32" s="778"/>
      <c r="F32" s="73">
        <f>(L14+N14)*2</f>
        <v>14</v>
      </c>
      <c r="G32" s="71"/>
      <c r="H32" s="72">
        <v>24</v>
      </c>
      <c r="I32" s="775" t="s">
        <v>503</v>
      </c>
      <c r="J32" s="775"/>
      <c r="K32" s="775"/>
      <c r="L32" s="775"/>
      <c r="M32" s="122">
        <f>F24</f>
        <v>2</v>
      </c>
      <c r="N32" s="119"/>
      <c r="O32" s="119"/>
      <c r="P32" s="121"/>
      <c r="Q32" s="121"/>
      <c r="R32" s="121"/>
      <c r="T32" s="61" t="str">
        <f t="shared" si="7"/>
        <v>مسمار سن صاج لشد البلاستيك </v>
      </c>
      <c r="U32" s="148"/>
      <c r="V32" s="148">
        <v>5</v>
      </c>
      <c r="W32" s="60" t="str">
        <f t="shared" si="8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70</v>
      </c>
      <c r="AB32" s="60">
        <f t="shared" si="9"/>
        <v>180</v>
      </c>
    </row>
    <row r="33" ht="20.1" customHeight="1" s="58" customFormat="1">
      <c r="A33" s="72">
        <v>10</v>
      </c>
      <c r="B33" s="776" t="s">
        <v>504</v>
      </c>
      <c r="C33" s="777"/>
      <c r="D33" s="777"/>
      <c r="E33" s="778"/>
      <c r="F33" s="73">
        <f>L11*3</f>
        <v>6</v>
      </c>
      <c r="G33" s="71"/>
      <c r="H33" s="72">
        <v>25</v>
      </c>
      <c r="I33" s="775" t="s">
        <v>505</v>
      </c>
      <c r="J33" s="775"/>
      <c r="K33" s="775"/>
      <c r="L33" s="775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7"/>
        <v>مسمار   مجلفن 12M × 80 </v>
      </c>
      <c r="U33" s="148"/>
      <c r="V33" s="148">
        <v>3.5</v>
      </c>
      <c r="W33" s="60" t="str">
        <f t="shared" si="8"/>
        <v>بالتات امامية باللوجو (زوج)</v>
      </c>
      <c r="X33" s="148"/>
      <c r="Y33" s="148">
        <v>165</v>
      </c>
      <c r="Z33" s="151"/>
      <c r="AA33" s="60">
        <f t="shared" si="10"/>
        <v>21</v>
      </c>
      <c r="AB33" s="60">
        <f t="shared" si="9"/>
        <v>330</v>
      </c>
    </row>
    <row r="34" ht="20.1" customHeight="1" s="58" customFormat="1">
      <c r="A34" s="72">
        <v>11</v>
      </c>
      <c r="B34" s="776" t="s">
        <v>506</v>
      </c>
      <c r="C34" s="777"/>
      <c r="D34" s="777"/>
      <c r="E34" s="778"/>
      <c r="F34" s="73">
        <f>L11*3</f>
        <v>6</v>
      </c>
      <c r="G34" s="71"/>
      <c r="H34" s="72">
        <v>26</v>
      </c>
      <c r="I34" s="775" t="s">
        <v>507</v>
      </c>
      <c r="J34" s="775"/>
      <c r="K34" s="775"/>
      <c r="L34" s="775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7"/>
        <v>صامولة مجلفنة 12M</v>
      </c>
      <c r="U34" s="148"/>
      <c r="V34" s="148">
        <v>3.5</v>
      </c>
      <c r="W34" s="60" t="str">
        <f t="shared" si="8"/>
        <v>جهاز كونترول للمواتير</v>
      </c>
      <c r="X34" s="148"/>
      <c r="Y34" s="148">
        <f>Sheet2!B37</f>
        <v>5000</v>
      </c>
      <c r="Z34" s="151"/>
      <c r="AA34" s="60">
        <f t="shared" si="10"/>
        <v>21</v>
      </c>
      <c r="AB34" s="60">
        <f t="shared" si="9"/>
        <v>0</v>
      </c>
    </row>
    <row r="35" ht="20.1" customHeight="1" s="58" customFormat="1">
      <c r="A35" s="72">
        <v>12</v>
      </c>
      <c r="B35" s="776" t="s">
        <v>508</v>
      </c>
      <c r="C35" s="777"/>
      <c r="D35" s="777"/>
      <c r="E35" s="778"/>
      <c r="F35" s="73" t="str">
        <f>IF(L11&gt;2,(L11-2)*2,"0")</f>
        <v>0</v>
      </c>
      <c r="G35" s="74"/>
      <c r="H35" s="72">
        <v>27</v>
      </c>
      <c r="I35" s="775" t="s">
        <v>509</v>
      </c>
      <c r="J35" s="775"/>
      <c r="K35" s="775"/>
      <c r="L35" s="775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7"/>
        <v>وصلة مداد كبير </v>
      </c>
      <c r="U35" s="148"/>
      <c r="V35" s="148">
        <v>45</v>
      </c>
      <c r="W35" s="60" t="str">
        <f t="shared" si="8"/>
        <v>مفتاح تشغيل</v>
      </c>
      <c r="X35" s="148"/>
      <c r="Y35" s="148">
        <f>Sheet2!B38</f>
        <v>800</v>
      </c>
      <c r="Z35" s="151"/>
      <c r="AA35" s="60">
        <f t="shared" si="10"/>
        <v>0</v>
      </c>
      <c r="AB35" s="60">
        <f t="shared" si="9"/>
        <v>0</v>
      </c>
    </row>
    <row r="36" ht="20.1" customHeight="1" s="58" customFormat="1">
      <c r="A36" s="72">
        <v>13</v>
      </c>
      <c r="B36" s="776" t="s">
        <v>510</v>
      </c>
      <c r="C36" s="777"/>
      <c r="D36" s="777"/>
      <c r="E36" s="778"/>
      <c r="F36" s="73" t="str">
        <f>IF(L11&gt;2,(L11-2)*L14,"0")</f>
        <v>0</v>
      </c>
      <c r="G36" s="74"/>
      <c r="H36" s="72">
        <v>28</v>
      </c>
      <c r="I36" s="775" t="s">
        <v>511</v>
      </c>
      <c r="J36" s="775"/>
      <c r="K36" s="775"/>
      <c r="L36" s="775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7"/>
        <v>وصلة مداد صغير </v>
      </c>
      <c r="U36" s="148"/>
      <c r="V36" s="148">
        <v>30</v>
      </c>
      <c r="W36" s="60" t="str">
        <f t="shared" si="8"/>
        <v>زاوية تثبيت المرايه الخلفية زوج </v>
      </c>
      <c r="X36" s="148"/>
      <c r="Y36" s="148">
        <v>100</v>
      </c>
      <c r="Z36" s="151"/>
      <c r="AA36" s="60">
        <f t="shared" si="10"/>
        <v>0</v>
      </c>
      <c r="AB36" s="60">
        <f t="shared" si="9"/>
        <v>100</v>
      </c>
    </row>
    <row r="37" ht="20.1" customHeight="1" s="58" customFormat="1">
      <c r="A37" s="72">
        <v>14</v>
      </c>
      <c r="B37" s="776" t="s">
        <v>512</v>
      </c>
      <c r="C37" s="777"/>
      <c r="D37" s="777"/>
      <c r="E37" s="778"/>
      <c r="F37" s="73">
        <f>M24</f>
        <v>1</v>
      </c>
      <c r="G37" s="74"/>
      <c r="H37" s="72">
        <v>29</v>
      </c>
      <c r="I37" s="775" t="s">
        <v>513</v>
      </c>
      <c r="J37" s="775"/>
      <c r="K37" s="775"/>
      <c r="L37" s="775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7"/>
        <v>ويل و كراون و بسكوتة ستانلس</v>
      </c>
      <c r="U37" s="148"/>
      <c r="V37" s="148">
        <v>52</v>
      </c>
      <c r="W37" s="60" t="str">
        <f t="shared" si="8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9"/>
        <v>90</v>
      </c>
    </row>
    <row r="38" ht="18.6" customHeight="1" s="58" customFormat="1">
      <c r="A38" s="72">
        <v>15</v>
      </c>
      <c r="B38" s="775" t="s">
        <v>514</v>
      </c>
      <c r="C38" s="775"/>
      <c r="D38" s="775"/>
      <c r="E38" s="775"/>
      <c r="F38" s="73">
        <f>تسجيل1!C21</f>
        <v>20</v>
      </c>
      <c r="G38" s="74"/>
      <c r="H38" s="72">
        <v>30</v>
      </c>
      <c r="I38" s="775" t="s">
        <v>515</v>
      </c>
      <c r="J38" s="775"/>
      <c r="K38" s="775"/>
      <c r="L38" s="775"/>
      <c r="M38" s="73">
        <f>IF((تسعير!T31=Sheet2!A6),0,(I11*4)/100)</f>
        <v>0</v>
      </c>
      <c r="N38" s="119"/>
      <c r="O38" s="119"/>
      <c r="P38" s="121"/>
      <c r="Q38" s="121"/>
      <c r="R38" s="121"/>
      <c r="S38" s="60"/>
      <c r="T38" s="61" t="str">
        <f t="shared" si="7"/>
        <v>لمبات ليد بالغطاء و الدويل و وش ستانلس</v>
      </c>
      <c r="U38" s="148"/>
      <c r="V38" s="148">
        <f>Sheet2!B39</f>
        <v>150</v>
      </c>
      <c r="W38" s="60" t="str">
        <f t="shared" si="8"/>
        <v>مانع المياه للبروفيل</v>
      </c>
      <c r="X38" s="148"/>
      <c r="Y38" s="148">
        <v>3.5</v>
      </c>
      <c r="Z38" s="151"/>
      <c r="AA38" s="60">
        <f t="shared" si="10"/>
        <v>3000</v>
      </c>
      <c r="AB38" s="60">
        <f t="shared" si="9"/>
        <v>0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800">
        <f>SUM(AA24:AB38)</f>
        <v>19305</v>
      </c>
      <c r="AB39" s="800"/>
    </row>
    <row r="40" ht="20.4" customHeight="1" s="58" customFormat="1">
      <c r="A40" s="810" t="s">
        <v>516</v>
      </c>
      <c r="B40" s="811"/>
      <c r="C40" s="811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800"/>
      <c r="AB40" s="800"/>
    </row>
    <row r="41" ht="18.75" customHeight="1" s="58" customFormat="1">
      <c r="A41" s="801" t="str">
        <f>IF(Format!I5=1,"-------",IF(Format!I5=2,Format!I3,Format!I4))</f>
        <v>صونفي </v>
      </c>
      <c r="B41" s="802"/>
      <c r="C41" s="803"/>
      <c r="D41" s="81"/>
      <c r="E41" s="81"/>
      <c r="F41" s="76"/>
      <c r="G41" s="68"/>
      <c r="H41" s="75"/>
      <c r="I41" s="81"/>
      <c r="J41" s="81"/>
      <c r="K41" s="81"/>
      <c r="L41" s="812" t="s">
        <v>419</v>
      </c>
      <c r="M41" s="813"/>
      <c r="N41" s="814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815">
        <f>AA39+X22+U8</f>
        <v>55576.381003698771</v>
      </c>
      <c r="AB41" s="815"/>
    </row>
    <row r="42" ht="13.95" customHeight="1" s="58" customFormat="1">
      <c r="A42" s="801"/>
      <c r="B42" s="802"/>
      <c r="C42" s="803"/>
      <c r="D42" s="10"/>
      <c r="E42" s="10"/>
      <c r="F42" s="10"/>
      <c r="G42" s="10"/>
      <c r="H42" s="10"/>
      <c r="I42" s="10"/>
      <c r="J42" s="10"/>
      <c r="K42" s="10"/>
      <c r="L42" s="779" t="str">
        <f>IF(Format!B5=1,Format!B2,IF(Format!B5=2,Format!B3,تسجيل1!F4))</f>
        <v>بيج  Ral 1013</v>
      </c>
      <c r="M42" s="780"/>
      <c r="N42" s="781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782" t="str">
        <f>IF(Format!P5=1,"Τηλεχειρισμος",IF(Format!P5=2,"-------","Διακοπτης"))</f>
        <v>Τηλεχειρισμος</v>
      </c>
      <c r="B43" s="783"/>
      <c r="C43" s="784"/>
      <c r="D43" s="10"/>
      <c r="E43" s="10"/>
      <c r="F43" s="10"/>
      <c r="G43" s="10"/>
      <c r="H43" s="10"/>
      <c r="I43" s="10"/>
      <c r="J43" s="10"/>
      <c r="K43" s="10"/>
      <c r="L43" s="785" t="s">
        <v>421</v>
      </c>
      <c r="M43" s="786"/>
      <c r="N43" s="787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788" t="str">
        <f>IF(Format!C8=1,Format!C2,IF(Format!C8=2,Format!C3,IF(Format!C8=3,Format!C4,IF(Format!C8=4,Format!C5,IF(Format!C8=5,Format!C6,تسجيل1!F5)))))</f>
        <v>بيج  Ral 1013</v>
      </c>
      <c r="M44" s="789"/>
      <c r="N44" s="790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791" t="str">
        <f>A3</f>
        <v>اسم العميل </v>
      </c>
      <c r="B96" s="792"/>
      <c r="C96" s="792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399</v>
      </c>
      <c r="L97" s="177" t="str">
        <f>M8</f>
        <v>Χ</v>
      </c>
      <c r="M97" s="793">
        <f>N8</f>
        <v>372</v>
      </c>
      <c r="N97" s="794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795" t="str">
        <f>L44</f>
        <v>بيج  Ral 1013</v>
      </c>
      <c r="K98" s="796"/>
      <c r="L98" s="796"/>
      <c r="M98" s="796"/>
      <c r="N98" s="797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:X82"/>
  <sheetViews>
    <sheetView topLeftCell="F1" workbookViewId="0">
      <selection activeCell="AF16" sqref="AF16"/>
    </sheetView>
  </sheetViews>
  <sheetFormatPr defaultColWidth="9.109375" defaultRowHeight="14.4"/>
  <cols>
    <col min="1" max="1" width="15.88671875" customWidth="1" style="10"/>
    <col min="2" max="2" width="18" customWidth="1" style="10"/>
    <col min="3" max="3" width="17.33203125" customWidth="1" style="10"/>
    <col min="4" max="4" width="14.6640625" customWidth="1" style="10"/>
    <col min="5" max="5" width="15.88671875" customWidth="1" style="10"/>
    <col min="6" max="6" width="10" customWidth="1" style="10"/>
    <col min="7" max="9" width="9.109375" customWidth="1" style="10"/>
    <col min="10" max="10" width="7.44140625" customWidth="1" style="10"/>
    <col min="11" max="11" width="9.5546875" customWidth="1" style="10"/>
    <col min="12" max="12" width="11.6640625" customWidth="1" style="10"/>
    <col min="13" max="13" width="9.109375" customWidth="1" style="10"/>
    <col min="14" max="14" width="23.33203125" customWidth="1" style="1"/>
    <col min="15" max="15" width="22.33203125" customWidth="1" style="10"/>
    <col min="16" max="16" width="13.6640625" customWidth="1" style="10"/>
    <col min="17" max="16384" width="9.109375" customWidth="1" style="10"/>
  </cols>
  <sheetData>
    <row r="1">
      <c r="A1" s="20" t="s">
        <v>452</v>
      </c>
      <c r="B1" s="20" t="s">
        <v>419</v>
      </c>
      <c r="C1" s="20" t="s">
        <v>421</v>
      </c>
      <c r="D1" s="20" t="s">
        <v>424</v>
      </c>
      <c r="E1" s="20" t="s">
        <v>425</v>
      </c>
      <c r="F1" s="20" t="s">
        <v>429</v>
      </c>
      <c r="G1" s="20" t="s">
        <v>434</v>
      </c>
      <c r="H1" s="20" t="s">
        <v>518</v>
      </c>
      <c r="I1" s="20" t="s">
        <v>431</v>
      </c>
      <c r="J1" s="816" t="s">
        <v>519</v>
      </c>
      <c r="K1" s="817"/>
      <c r="L1" s="817"/>
      <c r="M1" s="818"/>
      <c r="N1" s="20" t="s">
        <v>520</v>
      </c>
      <c r="O1" s="20" t="s">
        <v>431</v>
      </c>
      <c r="P1" s="20" t="s">
        <v>521</v>
      </c>
    </row>
    <row r="2">
      <c r="A2" s="21" t="s">
        <v>522</v>
      </c>
      <c r="B2" s="21" t="s">
        <v>523</v>
      </c>
      <c r="C2" s="21" t="s">
        <v>523</v>
      </c>
      <c r="D2" s="21" t="s">
        <v>524</v>
      </c>
      <c r="E2" s="21" t="s">
        <v>525</v>
      </c>
      <c r="F2" s="21" t="s">
        <v>526</v>
      </c>
      <c r="G2" s="21" t="s">
        <v>526</v>
      </c>
      <c r="H2" s="21" t="s">
        <v>526</v>
      </c>
      <c r="I2" s="21" t="s">
        <v>525</v>
      </c>
      <c r="J2" s="4" t="s">
        <v>445</v>
      </c>
      <c r="K2" s="1" t="s">
        <v>446</v>
      </c>
      <c r="L2" s="1" t="s">
        <v>527</v>
      </c>
      <c r="M2" s="18" t="s">
        <v>426</v>
      </c>
      <c r="N2" s="21" t="s">
        <v>528</v>
      </c>
      <c r="O2" s="21" t="s">
        <v>529</v>
      </c>
      <c r="P2" s="21" t="s">
        <v>526</v>
      </c>
    </row>
    <row r="3">
      <c r="A3" s="21" t="s">
        <v>530</v>
      </c>
      <c r="B3" s="21" t="s">
        <v>531</v>
      </c>
      <c r="C3" s="21" t="s">
        <v>531</v>
      </c>
      <c r="D3" s="21" t="s">
        <v>532</v>
      </c>
      <c r="E3" s="21" t="s">
        <v>533</v>
      </c>
      <c r="F3" s="21" t="s">
        <v>525</v>
      </c>
      <c r="G3" s="21" t="s">
        <v>525</v>
      </c>
      <c r="H3" s="21" t="s">
        <v>525</v>
      </c>
      <c r="I3" s="21" t="s">
        <v>534</v>
      </c>
      <c r="J3" s="49">
        <v>-2</v>
      </c>
      <c r="K3" s="10">
        <v>-5</v>
      </c>
      <c r="L3" s="10">
        <v>-5</v>
      </c>
      <c r="M3" s="18">
        <v>-2</v>
      </c>
      <c r="N3" s="21" t="s">
        <v>535</v>
      </c>
      <c r="O3" s="21" t="s">
        <v>536</v>
      </c>
      <c r="P3" s="21" t="s">
        <v>525</v>
      </c>
    </row>
    <row r="4">
      <c r="A4" s="21" t="s">
        <v>537</v>
      </c>
      <c r="B4" s="21" t="s">
        <v>538</v>
      </c>
      <c r="C4" s="21" t="s">
        <v>539</v>
      </c>
      <c r="D4" s="21">
        <v>1</v>
      </c>
      <c r="E4" s="21" t="s">
        <v>540</v>
      </c>
      <c r="F4" s="21">
        <v>1</v>
      </c>
      <c r="G4" s="21">
        <v>1</v>
      </c>
      <c r="H4" s="21">
        <v>2</v>
      </c>
      <c r="I4" s="21" t="s">
        <v>541</v>
      </c>
      <c r="J4" s="49">
        <v>-1</v>
      </c>
      <c r="K4" s="10">
        <v>-4</v>
      </c>
      <c r="L4" s="10">
        <v>-4</v>
      </c>
      <c r="M4" s="18">
        <v>-1</v>
      </c>
      <c r="N4" s="21" t="s">
        <v>542</v>
      </c>
      <c r="O4" s="21">
        <v>1</v>
      </c>
      <c r="P4" s="21" t="s">
        <v>543</v>
      </c>
    </row>
    <row r="5">
      <c r="A5" s="21" t="s">
        <v>544</v>
      </c>
      <c r="B5" s="21">
        <v>1</v>
      </c>
      <c r="C5" s="21" t="s">
        <v>545</v>
      </c>
      <c r="D5" s="21"/>
      <c r="E5" s="21" t="s">
        <v>546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547</v>
      </c>
      <c r="O5" s="21"/>
      <c r="P5" s="21">
        <v>1</v>
      </c>
    </row>
    <row r="6">
      <c r="A6" s="21" t="s">
        <v>548</v>
      </c>
      <c r="B6" s="21"/>
      <c r="C6" s="21" t="s">
        <v>549</v>
      </c>
      <c r="D6" s="21"/>
      <c r="E6" s="21" t="s">
        <v>550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551</v>
      </c>
      <c r="O6" s="21"/>
      <c r="P6" s="21"/>
    </row>
    <row r="7">
      <c r="A7" s="21">
        <v>2</v>
      </c>
      <c r="B7" s="21"/>
      <c r="C7" s="21" t="s">
        <v>538</v>
      </c>
      <c r="D7" s="21"/>
      <c r="E7" s="21" t="s">
        <v>552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553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554</v>
      </c>
      <c r="B17" s="24" t="str">
        <f>IF(A7=1,A2,IF(A7=2,A3,IF(A7=3,A4,IF(A7=4,A5,IF(A7=5,A6,IF(A7=6,A7,IF(A7=7,A8,IF(A7=8,A9,IF(A7=9,A10,IF(A7=10,A11,IF(A7=11,A12,IF(A7=12,A13,A14))))))))))))</f>
        <v>EVO 150X70</v>
      </c>
      <c r="C17" s="819" t="s">
        <v>555</v>
      </c>
      <c r="D17" s="820"/>
      <c r="E17" s="820"/>
      <c r="F17" s="821"/>
      <c r="G17" s="1"/>
      <c r="H17" s="1"/>
      <c r="I17" s="1"/>
    </row>
    <row r="18">
      <c r="A18" s="26" t="s">
        <v>556</v>
      </c>
      <c r="B18" s="27">
        <f>تسجيل2!C7</f>
        <v>400</v>
      </c>
      <c r="C18" s="28" t="s">
        <v>557</v>
      </c>
      <c r="D18" s="28"/>
      <c r="E18" s="28"/>
      <c r="F18" s="25"/>
      <c r="G18" s="1"/>
      <c r="H18" s="1"/>
      <c r="I18" s="1"/>
    </row>
    <row r="19">
      <c r="A19" s="29" t="s">
        <v>558</v>
      </c>
      <c r="B19" s="30">
        <f>'Format διαστασης οδηγου (2)'!F16</f>
        <v>400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822" t="s">
        <v>559</v>
      </c>
      <c r="B29" s="823"/>
      <c r="C29" s="823"/>
      <c r="D29" s="823"/>
      <c r="E29" s="823"/>
      <c r="F29" s="823"/>
      <c r="G29" s="823"/>
      <c r="H29" s="824"/>
      <c r="I29" s="822" t="s">
        <v>560</v>
      </c>
      <c r="J29" s="823"/>
      <c r="K29" s="823"/>
      <c r="L29" s="823"/>
      <c r="M29" s="823"/>
      <c r="N29" s="823"/>
      <c r="O29" s="823"/>
      <c r="P29" s="824"/>
      <c r="Q29" s="822" t="s">
        <v>561</v>
      </c>
      <c r="R29" s="823"/>
      <c r="S29" s="823"/>
      <c r="T29" s="823"/>
      <c r="U29" s="823"/>
      <c r="V29" s="823"/>
      <c r="W29" s="823"/>
      <c r="X29" s="824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825" t="s">
        <v>562</v>
      </c>
      <c r="B31" s="826"/>
      <c r="C31" s="36">
        <f>B19</f>
        <v>400</v>
      </c>
      <c r="D31" s="34" t="s">
        <v>563</v>
      </c>
      <c r="E31" s="36">
        <f>H34</f>
        <v>5</v>
      </c>
      <c r="F31" s="34"/>
      <c r="G31" s="34"/>
      <c r="H31" s="35"/>
      <c r="I31" s="825" t="s">
        <v>562</v>
      </c>
      <c r="J31" s="826"/>
      <c r="K31" s="36">
        <f>B19</f>
        <v>400</v>
      </c>
      <c r="L31" s="34" t="s">
        <v>563</v>
      </c>
      <c r="M31" s="36">
        <f>P34</f>
        <v>5</v>
      </c>
      <c r="N31" s="15"/>
      <c r="O31" s="34"/>
      <c r="P31" s="35"/>
      <c r="Q31" s="827" t="s">
        <v>562</v>
      </c>
      <c r="R31" s="828"/>
      <c r="S31" s="57">
        <f>B19</f>
        <v>400</v>
      </c>
      <c r="T31" s="47" t="s">
        <v>564</v>
      </c>
      <c r="U31" s="57">
        <f>INT((S31-4)/25)+1</f>
        <v>16</v>
      </c>
      <c r="V31" s="47"/>
      <c r="W31" s="47"/>
      <c r="X31" s="48"/>
    </row>
    <row r="32">
      <c r="A32" s="829" t="s">
        <v>563</v>
      </c>
      <c r="B32" s="830"/>
      <c r="C32" s="830"/>
      <c r="D32" s="34"/>
      <c r="E32" s="34"/>
      <c r="F32" s="38"/>
      <c r="G32" s="34"/>
      <c r="H32" s="35"/>
      <c r="I32" s="829" t="s">
        <v>565</v>
      </c>
      <c r="J32" s="830"/>
      <c r="K32" s="830"/>
      <c r="L32" s="34"/>
      <c r="M32" s="34"/>
      <c r="N32" s="54"/>
      <c r="O32" s="34"/>
      <c r="P32" s="35"/>
    </row>
    <row r="33">
      <c r="A33" s="39" t="s">
        <v>566</v>
      </c>
      <c r="B33" s="40" t="s">
        <v>567</v>
      </c>
      <c r="C33" s="40" t="s">
        <v>568</v>
      </c>
      <c r="D33" s="34"/>
      <c r="E33" s="40" t="s">
        <v>566</v>
      </c>
      <c r="F33" s="40" t="s">
        <v>567</v>
      </c>
      <c r="G33" s="40" t="s">
        <v>568</v>
      </c>
      <c r="H33" s="35"/>
      <c r="I33" s="39" t="s">
        <v>566</v>
      </c>
      <c r="J33" s="40" t="s">
        <v>567</v>
      </c>
      <c r="K33" s="40" t="s">
        <v>568</v>
      </c>
      <c r="L33" s="34"/>
      <c r="M33" s="40" t="s">
        <v>566</v>
      </c>
      <c r="N33" s="37" t="s">
        <v>567</v>
      </c>
      <c r="O33" s="40" t="s">
        <v>568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569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5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569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5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570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6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570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6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571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571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572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572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573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573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R25"/>
  <sheetViews>
    <sheetView topLeftCell="B1" workbookViewId="0">
      <selection activeCell="AF16" sqref="AF16"/>
    </sheetView>
  </sheetViews>
  <sheetFormatPr defaultColWidth="9.109375" defaultRowHeight="14.4"/>
  <cols>
    <col min="1" max="2" width="9.109375" customWidth="1" style="10"/>
    <col min="3" max="3" width="25.88671875" customWidth="1" style="10"/>
    <col min="4" max="4" width="11.44140625" customWidth="1" style="1"/>
    <col min="5" max="5" width="11.6640625" customWidth="1" style="1"/>
    <col min="6" max="6" width="12" customWidth="1" style="1"/>
    <col min="7" max="7" width="10.5546875" customWidth="1" style="1"/>
    <col min="8" max="9" width="9.109375" customWidth="1" style="10"/>
    <col min="10" max="10" width="12" customWidth="1" style="10"/>
    <col min="11" max="11" width="9.109375" customWidth="1" style="1"/>
    <col min="12" max="16384" width="9.109375" customWidth="1" style="10"/>
  </cols>
  <sheetData>
    <row r="1">
      <c r="A1" s="831" t="s">
        <v>574</v>
      </c>
      <c r="B1" s="832"/>
      <c r="C1" s="17"/>
      <c r="D1" s="3" t="s">
        <v>575</v>
      </c>
      <c r="E1" s="3" t="s">
        <v>576</v>
      </c>
      <c r="F1" s="3" t="s">
        <v>577</v>
      </c>
      <c r="G1" s="3" t="s">
        <v>578</v>
      </c>
      <c r="H1" s="7" t="s">
        <v>579</v>
      </c>
    </row>
    <row r="2">
      <c r="A2" s="833"/>
      <c r="B2" s="834"/>
      <c r="C2" s="10" t="s">
        <v>580</v>
      </c>
      <c r="D2" s="1">
        <f>تسجيل2!E7</f>
        <v>400</v>
      </c>
      <c r="E2" s="1">
        <f>تسجيل2!E7</f>
        <v>400</v>
      </c>
      <c r="F2" s="1">
        <f>تسجيل2!E7</f>
        <v>400</v>
      </c>
      <c r="G2" s="1">
        <f>تسجيل2!E7</f>
        <v>400</v>
      </c>
      <c r="H2" s="8">
        <f>تسجيل2!E7</f>
        <v>400</v>
      </c>
    </row>
    <row r="3">
      <c r="A3" s="833"/>
      <c r="B3" s="834"/>
      <c r="C3" s="10" t="s">
        <v>581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833"/>
      <c r="B4" s="834"/>
      <c r="C4" s="10" t="s">
        <v>582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833"/>
      <c r="B5" s="834"/>
      <c r="H5" s="18"/>
      <c r="K5" s="1" t="s">
        <v>583</v>
      </c>
      <c r="L5" s="10" t="s">
        <v>584</v>
      </c>
    </row>
    <row r="6">
      <c r="A6" s="833"/>
      <c r="B6" s="834"/>
      <c r="C6" s="10" t="s">
        <v>585</v>
      </c>
      <c r="D6" s="1">
        <f>IF(D3=0,D2,D2-D3-D4+10)</f>
        <v>400</v>
      </c>
      <c r="E6" s="1">
        <f>IF(E3=0,E2,E2-E3-E4+10)</f>
        <v>400</v>
      </c>
      <c r="F6" s="1">
        <f>IF(F3=0,F2,F2-F3-F4+10)</f>
        <v>400</v>
      </c>
      <c r="G6" s="1">
        <f>IF(G3=0,G2,G2-G3-G4+10)</f>
        <v>400</v>
      </c>
      <c r="H6" s="8">
        <f>IF(H3=0,H2,H2-H3-H4+10)</f>
        <v>400</v>
      </c>
      <c r="J6" s="10" t="s">
        <v>586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400</v>
      </c>
      <c r="L6" s="10">
        <f>IF('Format (2)'!E8=1,تسجيل2!E7-30,IF('Format (2)'!E8=2,D7,IF('Format (2)'!E8=3,E7,IF('Format (2)'!E8=4,F7,IF('Format (2)'!E8=5,G7,IF('Format (2)'!E8=6,H7,"-----"))))))</f>
        <v>370</v>
      </c>
    </row>
    <row r="7">
      <c r="A7" s="835"/>
      <c r="B7" s="836"/>
      <c r="C7" s="19" t="s">
        <v>587</v>
      </c>
      <c r="D7" s="6">
        <f>D6-30</f>
        <v>370</v>
      </c>
      <c r="E7" s="6">
        <f>E6-17</f>
        <v>383</v>
      </c>
      <c r="F7" s="6">
        <f>F6-30</f>
        <v>370</v>
      </c>
      <c r="G7" s="6">
        <f>G6-17</f>
        <v>383</v>
      </c>
      <c r="H7" s="9">
        <f>H6-30</f>
        <v>370</v>
      </c>
    </row>
    <row r="10">
      <c r="A10" s="837" t="s">
        <v>588</v>
      </c>
      <c r="B10" s="838"/>
      <c r="C10" s="17"/>
      <c r="D10" s="3" t="s">
        <v>575</v>
      </c>
      <c r="E10" s="3" t="s">
        <v>576</v>
      </c>
      <c r="F10" s="3" t="s">
        <v>577</v>
      </c>
      <c r="G10" s="3" t="s">
        <v>578</v>
      </c>
      <c r="H10" s="7" t="s">
        <v>579</v>
      </c>
    </row>
    <row r="11">
      <c r="A11" s="839"/>
      <c r="B11" s="840"/>
      <c r="C11" s="10" t="s">
        <v>580</v>
      </c>
      <c r="D11" s="1">
        <f>تسجيل2!E7</f>
        <v>400</v>
      </c>
      <c r="E11" s="1">
        <f>تسجيل2!E7</f>
        <v>400</v>
      </c>
      <c r="F11" s="1">
        <f>تسجيل2!E7</f>
        <v>400</v>
      </c>
      <c r="G11" s="1">
        <f>تسجيل2!E7</f>
        <v>400</v>
      </c>
      <c r="H11" s="8">
        <f>تسجيل2!E7</f>
        <v>400</v>
      </c>
    </row>
    <row r="12">
      <c r="A12" s="839"/>
      <c r="B12" s="840"/>
      <c r="C12" s="10" t="s">
        <v>581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839"/>
      <c r="B13" s="840"/>
      <c r="C13" s="10" t="s">
        <v>582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583</v>
      </c>
      <c r="L13" s="10" t="s">
        <v>584</v>
      </c>
    </row>
    <row r="14">
      <c r="A14" s="839"/>
      <c r="B14" s="840"/>
      <c r="H14" s="18"/>
      <c r="J14" s="10" t="s">
        <v>586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400</v>
      </c>
      <c r="L14" s="10">
        <f>IF('Format (2)'!E8=1,تسجيل2!E7-30,IF('Format (2)'!E8=2,D16,IF('Format (2)'!E8=3,E16,IF('Format (2)'!E8=4,F16,IF('Format (2)'!E8=5,G16,IF('Format (2)'!E8=6,H16))))))</f>
        <v>370</v>
      </c>
    </row>
    <row r="15">
      <c r="A15" s="839"/>
      <c r="B15" s="840"/>
      <c r="C15" s="10" t="s">
        <v>585</v>
      </c>
      <c r="D15" s="1">
        <f>IF(D12=0,D11,D11-D12-D13+11)</f>
        <v>400</v>
      </c>
      <c r="E15" s="1">
        <f>IF(E12=0,E11,E11-E12-E13+11)</f>
        <v>400</v>
      </c>
      <c r="F15" s="1">
        <f>IF(F12=0,F11,F11-F12-F13+11)</f>
        <v>400</v>
      </c>
      <c r="G15" s="1">
        <f>IF(G12=0,G11,G11-G12-G13+11)</f>
        <v>400</v>
      </c>
      <c r="H15" s="8">
        <f>IF(H12=0,H11,H11-H12-H13+11)</f>
        <v>400</v>
      </c>
      <c r="Q15" s="1" t="s">
        <v>558</v>
      </c>
      <c r="R15" s="10" t="s">
        <v>589</v>
      </c>
    </row>
    <row r="16">
      <c r="A16" s="841"/>
      <c r="B16" s="842"/>
      <c r="C16" s="19" t="s">
        <v>587</v>
      </c>
      <c r="D16" s="6">
        <f>D15-30</f>
        <v>370</v>
      </c>
      <c r="E16" s="6">
        <f>E15-17</f>
        <v>383</v>
      </c>
      <c r="F16" s="6">
        <f>F15-30</f>
        <v>370</v>
      </c>
      <c r="G16" s="6">
        <f>G15-17</f>
        <v>383</v>
      </c>
      <c r="H16" s="9">
        <f>H15-30</f>
        <v>370</v>
      </c>
      <c r="Q16" s="10">
        <f>IF('Format (2)'!A7=1,K6,IF('Format (2)'!A7=3,K6,IF('Format (2)'!A7=4,K23,IF('Format (2)'!A7=2,K23,IF('Format (2)'!A7=5,K14,"------")))))</f>
        <v>400</v>
      </c>
      <c r="R16" s="10">
        <f>IF('Format (2)'!A7=1,L6,IF('Format (2)'!A7=3,L6,IF('Format (2)'!A7=4,L23,IF('Format (2)'!A7=2,L23+2,IF('Format (2)'!A7=5,L14,"------")))))</f>
        <v>372</v>
      </c>
    </row>
    <row r="19">
      <c r="A19" s="843" t="s">
        <v>590</v>
      </c>
      <c r="B19" s="844"/>
      <c r="C19" s="17"/>
      <c r="D19" s="3" t="s">
        <v>575</v>
      </c>
      <c r="E19" s="3" t="s">
        <v>576</v>
      </c>
      <c r="F19" s="3" t="s">
        <v>577</v>
      </c>
      <c r="G19" s="3" t="s">
        <v>578</v>
      </c>
      <c r="H19" s="7" t="s">
        <v>579</v>
      </c>
    </row>
    <row r="20">
      <c r="A20" s="845"/>
      <c r="B20" s="846"/>
      <c r="C20" s="10" t="s">
        <v>580</v>
      </c>
      <c r="D20" s="1">
        <f>تسجيل2!E7</f>
        <v>400</v>
      </c>
      <c r="E20" s="1">
        <f>تسجيل2!E7</f>
        <v>400</v>
      </c>
      <c r="F20" s="1">
        <f>تسجيل2!E7</f>
        <v>400</v>
      </c>
      <c r="G20" s="1">
        <f>تسجيل2!E7</f>
        <v>400</v>
      </c>
      <c r="H20" s="8">
        <f>تسجيل2!E7</f>
        <v>400</v>
      </c>
    </row>
    <row r="21">
      <c r="A21" s="845"/>
      <c r="B21" s="846"/>
      <c r="C21" s="10" t="s">
        <v>581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845"/>
      <c r="B22" s="846"/>
      <c r="C22" s="10" t="s">
        <v>582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583</v>
      </c>
      <c r="L22" s="10" t="s">
        <v>584</v>
      </c>
    </row>
    <row r="23">
      <c r="A23" s="845"/>
      <c r="B23" s="846"/>
      <c r="H23" s="18"/>
      <c r="J23" s="10" t="s">
        <v>586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400</v>
      </c>
      <c r="L23" s="10">
        <f>IF('Format (2)'!E8=1,تسجيل2!E7-30,IF('Format (2)'!E8=2,D25,IF('Format (2)'!E8=3,E25,IF('Format (2)'!E8=4,F25,IF('Format (2)'!E8=5,G25,IF('Format (2)'!E8=6,H25))))))</f>
        <v>370</v>
      </c>
    </row>
    <row r="24">
      <c r="A24" s="845"/>
      <c r="B24" s="846"/>
      <c r="C24" s="10" t="s">
        <v>585</v>
      </c>
      <c r="D24" s="1">
        <f>IF(D21=0,D20,D20-D21-D22+11)</f>
        <v>400</v>
      </c>
      <c r="E24" s="1">
        <f>IF(E21=0,E20,E20-E21-E22+11)</f>
        <v>400</v>
      </c>
      <c r="F24" s="1">
        <f>IF(F21=0,F20,F20-F21-F22+11)</f>
        <v>400</v>
      </c>
      <c r="G24" s="1">
        <f>IF(G21=0,G20,G20-G21-G22+11)</f>
        <v>400</v>
      </c>
      <c r="H24" s="8">
        <f>IF(H21=0,H20,H20-H21-H22+11)</f>
        <v>400</v>
      </c>
    </row>
    <row r="25">
      <c r="A25" s="847"/>
      <c r="B25" s="848"/>
      <c r="C25" s="19" t="s">
        <v>587</v>
      </c>
      <c r="D25" s="6">
        <f>D24-30</f>
        <v>370</v>
      </c>
      <c r="E25" s="6">
        <f>E24-13</f>
        <v>387</v>
      </c>
      <c r="F25" s="6">
        <f>F24-30</f>
        <v>370</v>
      </c>
      <c r="G25" s="6">
        <f>G24-13</f>
        <v>387</v>
      </c>
      <c r="H25" s="9">
        <f>H24-30</f>
        <v>370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/>
  <dimension ref="A1:O20"/>
  <sheetViews>
    <sheetView workbookViewId="0">
      <selection activeCell="AF16" sqref="AF16"/>
    </sheetView>
  </sheetViews>
  <sheetFormatPr defaultColWidth="9.109375" defaultRowHeight="14.4"/>
  <cols>
    <col min="1" max="1" width="20.6640625" customWidth="1" style="10"/>
    <col min="2" max="2" width="12" customWidth="1" style="1"/>
    <col min="3" max="9" width="9.109375" customWidth="1" style="10"/>
    <col min="10" max="10" width="9.5546875" customWidth="1" style="10"/>
    <col min="11" max="11" width="20.5546875" customWidth="1" style="10"/>
    <col min="12" max="12" width="9.109375" customWidth="1" style="1"/>
    <col min="13" max="14" width="9.109375" customWidth="1" style="10"/>
    <col min="15" max="15" width="32.5546875" customWidth="1" style="10"/>
    <col min="16" max="16384" width="9.109375" customWidth="1" style="10"/>
  </cols>
  <sheetData>
    <row r="1">
      <c r="A1" s="1"/>
    </row>
    <row r="2">
      <c r="A2" s="1"/>
      <c r="J2" s="1" t="s">
        <v>469</v>
      </c>
      <c r="K2" s="1" t="s">
        <v>591</v>
      </c>
      <c r="O2" s="1" t="s">
        <v>592</v>
      </c>
    </row>
    <row r="3">
      <c r="A3" s="1" t="s">
        <v>452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593</v>
      </c>
      <c r="B4" s="1">
        <f>تسجيل2!C7</f>
        <v>400</v>
      </c>
      <c r="J4" s="15">
        <v>4</v>
      </c>
      <c r="K4" s="15">
        <v>2</v>
      </c>
    </row>
    <row r="5">
      <c r="A5" s="1" t="s">
        <v>583</v>
      </c>
      <c r="B5" s="1">
        <f>تسجيل2!E7</f>
        <v>400</v>
      </c>
      <c r="J5" s="15">
        <v>5</v>
      </c>
      <c r="K5" s="15">
        <v>3</v>
      </c>
      <c r="L5" s="1">
        <f>IF(B6&lt;3,2,IF(B6&lt;4,2,IF(B6&lt;5,2,IF(B6&lt;6,3,IF(B6&lt;7,3,IF(B6&lt;8,3,IF(B6&lt;8,4,L11)))))))</f>
        <v>3</v>
      </c>
    </row>
    <row r="6">
      <c r="A6" s="1" t="s">
        <v>469</v>
      </c>
      <c r="B6" s="1">
        <f>'Cutting Ro-2'!L14</f>
        <v>5</v>
      </c>
      <c r="C6" s="1" t="s">
        <v>471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3</v>
      </c>
    </row>
    <row r="9">
      <c r="A9" s="1" t="s">
        <v>594</v>
      </c>
      <c r="B9" s="1">
        <f>O8</f>
        <v>3</v>
      </c>
      <c r="J9" s="15">
        <v>9</v>
      </c>
      <c r="K9" s="15">
        <v>4</v>
      </c>
    </row>
    <row r="10">
      <c r="A10" s="12" t="s">
        <v>595</v>
      </c>
      <c r="B10" s="13">
        <f>(((B4-(تسجيل2!C22*2))/200)+1)*B9</f>
        <v>7.5</v>
      </c>
      <c r="C10" s="710" t="s">
        <v>596</v>
      </c>
      <c r="D10" s="710"/>
      <c r="E10" s="14">
        <f>ROUND(B10,0)</f>
        <v>8</v>
      </c>
      <c r="J10" s="15">
        <v>10</v>
      </c>
      <c r="K10" s="15">
        <v>4</v>
      </c>
    </row>
    <row r="11">
      <c r="A11" s="12" t="s">
        <v>597</v>
      </c>
      <c r="B11" s="13">
        <f>E10/B9</f>
        <v>2.6666666666666665</v>
      </c>
      <c r="C11" s="710" t="s">
        <v>596</v>
      </c>
      <c r="D11" s="710"/>
      <c r="E11" s="14">
        <f>ROUND(B11,0)</f>
        <v>3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598</v>
      </c>
      <c r="B12" s="14">
        <f>E11*B9</f>
        <v>9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/>
  <dimension ref="A1:K19"/>
  <sheetViews>
    <sheetView workbookViewId="0">
      <selection activeCell="AF16" sqref="AF16"/>
    </sheetView>
  </sheetViews>
  <sheetFormatPr defaultColWidth="9.109375" defaultRowHeight="14.4"/>
  <cols>
    <col min="1" max="1" width="15.109375" customWidth="1" style="1"/>
    <col min="2" max="2" width="12.109375" customWidth="1" style="1"/>
    <col min="3" max="3" width="23.33203125" customWidth="1" style="1"/>
    <col min="4" max="16384" width="9.109375" customWidth="1" style="1"/>
  </cols>
  <sheetData>
    <row r="1">
      <c r="A1" s="1" t="s">
        <v>452</v>
      </c>
      <c r="B1" s="1" t="s">
        <v>583</v>
      </c>
      <c r="C1" s="1" t="s">
        <v>599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400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600</v>
      </c>
      <c r="C6" s="1">
        <f>IF('Format (2)'!N8=1,'Format διαστασης οδηγου (2)'!B2-32,IF('Format (2)'!N8=2,'Format διαστασης οδηγου (2)'!B2-43,"-------"))</f>
        <v>368</v>
      </c>
      <c r="K6" s="8"/>
    </row>
    <row r="7">
      <c r="A7" s="4" t="s">
        <v>601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365</v>
      </c>
      <c r="H7" s="849" t="s">
        <v>602</v>
      </c>
      <c r="I7" s="849"/>
      <c r="J7" s="849"/>
      <c r="K7" s="850"/>
    </row>
    <row r="8">
      <c r="A8" s="4" t="s">
        <v>603</v>
      </c>
      <c r="C8" s="1">
        <f>IF('Format (2)'!N8=1,'Format διαστασης οδηγου (2)'!B2-32,"-------")</f>
        <v>368</v>
      </c>
      <c r="F8" s="1">
        <f>IF('Format (2)'!A7=1,C6,IF('Format (2)'!A7=2,C7,IF('Format (2)'!A7=3,C8,IF('Format (2)'!A7=4,C9,IF('Format (2)'!A7=5,C10)))))</f>
        <v>365</v>
      </c>
      <c r="H8" s="849"/>
      <c r="I8" s="849"/>
      <c r="J8" s="849"/>
      <c r="K8" s="850"/>
    </row>
    <row r="9">
      <c r="A9" s="4" t="s">
        <v>604</v>
      </c>
      <c r="C9" s="1" t="str">
        <f>IF('Format (2)'!N8=5,'Format διαστασης οδηγου (2)'!B2-35,IF('Format (2)'!N8=6,'Format διαστασης οδηγου (2)'!B2-31,"-------"))</f>
        <v>-------</v>
      </c>
      <c r="H9" s="849"/>
      <c r="I9" s="849"/>
      <c r="J9" s="849"/>
      <c r="K9" s="850"/>
    </row>
    <row r="10">
      <c r="A10" s="4" t="s">
        <v>605</v>
      </c>
      <c r="C10" s="1">
        <f>B2-32</f>
        <v>368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600</v>
      </c>
      <c r="C14" s="1">
        <f>IF('Format (2)'!N8=1,B2,IF('Format (2)'!N8=2,'Format διαστασης οδηγου (2)'!B2-11,"-------"))</f>
        <v>400</v>
      </c>
      <c r="K14" s="8"/>
    </row>
    <row r="15">
      <c r="A15" s="4" t="s">
        <v>601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400</v>
      </c>
      <c r="H15" s="849" t="s">
        <v>606</v>
      </c>
      <c r="I15" s="849"/>
      <c r="J15" s="849"/>
      <c r="K15" s="850"/>
    </row>
    <row r="16">
      <c r="A16" s="4" t="s">
        <v>603</v>
      </c>
      <c r="C16" s="1">
        <f>IF('Format (2)'!N8=1,'Format διαστασης οδηγου (2)'!B2,"-------")</f>
        <v>400</v>
      </c>
      <c r="F16" s="1">
        <f>IF('Format (2)'!A7=1,C14,IF('Format (2)'!A7=2,C15,IF('Format (2)'!A7=3,C16,IF('Format (2)'!A7=4,C17,IF('Format (2)'!A7=5,C118)))))</f>
        <v>400</v>
      </c>
      <c r="H16" s="849"/>
      <c r="I16" s="849"/>
      <c r="J16" s="849"/>
      <c r="K16" s="850"/>
    </row>
    <row r="17">
      <c r="A17" s="4" t="s">
        <v>604</v>
      </c>
      <c r="C17" s="1" t="str">
        <f>IF('Format (2)'!N8=5,'Format διαστασης οδηγου (2)'!B2-6,IF('Format (2)'!N8=6,'Format διαστασης οδηγου (2)'!B2-2,"-------"))</f>
        <v>-------</v>
      </c>
      <c r="H17" s="849"/>
      <c r="I17" s="849"/>
      <c r="J17" s="849"/>
      <c r="K17" s="850"/>
    </row>
    <row r="18">
      <c r="A18" s="4" t="s">
        <v>605</v>
      </c>
      <c r="C18" s="1">
        <f>B2</f>
        <v>400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8"/>
  <dimension ref="A1:X82"/>
  <sheetViews>
    <sheetView topLeftCell="F1" workbookViewId="0">
      <selection activeCell="AF16" sqref="AF16"/>
    </sheetView>
  </sheetViews>
  <sheetFormatPr defaultColWidth="9.109375" defaultRowHeight="14.4"/>
  <cols>
    <col min="1" max="1" width="15.88671875" customWidth="1" style="10"/>
    <col min="2" max="2" width="18" customWidth="1" style="10"/>
    <col min="3" max="3" width="17.33203125" customWidth="1" style="10"/>
    <col min="4" max="4" width="14.6640625" customWidth="1" style="10"/>
    <col min="5" max="5" width="15.88671875" customWidth="1" style="10"/>
    <col min="6" max="6" width="10" customWidth="1" style="10"/>
    <col min="7" max="9" width="9.109375" customWidth="1" style="10"/>
    <col min="10" max="10" width="7.44140625" customWidth="1" style="10"/>
    <col min="11" max="11" width="9.5546875" customWidth="1" style="10"/>
    <col min="12" max="12" width="11.6640625" customWidth="1" style="10"/>
    <col min="13" max="13" width="9.109375" customWidth="1" style="10"/>
    <col min="14" max="14" width="23.33203125" customWidth="1" style="1"/>
    <col min="15" max="15" width="22.33203125" customWidth="1" style="10"/>
    <col min="16" max="16" width="13.6640625" customWidth="1" style="10"/>
    <col min="17" max="16384" width="9.109375" customWidth="1" style="10"/>
  </cols>
  <sheetData>
    <row r="1">
      <c r="A1" s="20" t="s">
        <v>452</v>
      </c>
      <c r="B1" s="20" t="s">
        <v>419</v>
      </c>
      <c r="C1" s="20" t="s">
        <v>421</v>
      </c>
      <c r="D1" s="20" t="s">
        <v>424</v>
      </c>
      <c r="E1" s="20" t="s">
        <v>425</v>
      </c>
      <c r="F1" s="20" t="s">
        <v>429</v>
      </c>
      <c r="G1" s="20" t="s">
        <v>434</v>
      </c>
      <c r="H1" s="20" t="s">
        <v>518</v>
      </c>
      <c r="I1" s="20" t="s">
        <v>431</v>
      </c>
      <c r="J1" s="816" t="s">
        <v>519</v>
      </c>
      <c r="K1" s="817"/>
      <c r="L1" s="817"/>
      <c r="M1" s="818"/>
      <c r="N1" s="20" t="s">
        <v>520</v>
      </c>
      <c r="O1" s="20" t="s">
        <v>431</v>
      </c>
      <c r="P1" s="20" t="s">
        <v>521</v>
      </c>
    </row>
    <row r="2">
      <c r="A2" s="21" t="s">
        <v>522</v>
      </c>
      <c r="B2" s="21" t="s">
        <v>523</v>
      </c>
      <c r="C2" s="21" t="s">
        <v>523</v>
      </c>
      <c r="D2" s="21" t="s">
        <v>524</v>
      </c>
      <c r="E2" s="21" t="s">
        <v>525</v>
      </c>
      <c r="F2" s="21" t="s">
        <v>526</v>
      </c>
      <c r="G2" s="21" t="s">
        <v>526</v>
      </c>
      <c r="H2" s="21" t="s">
        <v>526</v>
      </c>
      <c r="I2" s="21" t="s">
        <v>525</v>
      </c>
      <c r="J2" s="4" t="s">
        <v>445</v>
      </c>
      <c r="K2" s="1" t="s">
        <v>446</v>
      </c>
      <c r="L2" s="1" t="s">
        <v>527</v>
      </c>
      <c r="M2" s="18" t="s">
        <v>426</v>
      </c>
      <c r="N2" s="21" t="s">
        <v>528</v>
      </c>
      <c r="O2" s="21" t="s">
        <v>529</v>
      </c>
      <c r="P2" s="21" t="s">
        <v>526</v>
      </c>
    </row>
    <row r="3">
      <c r="A3" s="21" t="s">
        <v>530</v>
      </c>
      <c r="B3" s="21" t="s">
        <v>531</v>
      </c>
      <c r="C3" s="21" t="s">
        <v>531</v>
      </c>
      <c r="D3" s="21" t="s">
        <v>532</v>
      </c>
      <c r="E3" s="21" t="s">
        <v>533</v>
      </c>
      <c r="F3" s="21" t="s">
        <v>525</v>
      </c>
      <c r="G3" s="21" t="s">
        <v>525</v>
      </c>
      <c r="H3" s="21" t="s">
        <v>525</v>
      </c>
      <c r="I3" s="21" t="s">
        <v>534</v>
      </c>
      <c r="J3" s="49">
        <v>-2</v>
      </c>
      <c r="K3" s="10">
        <v>-5</v>
      </c>
      <c r="L3" s="10">
        <v>-5</v>
      </c>
      <c r="M3" s="18">
        <v>-2</v>
      </c>
      <c r="N3" s="21" t="s">
        <v>535</v>
      </c>
      <c r="O3" s="21" t="s">
        <v>536</v>
      </c>
      <c r="P3" s="21" t="s">
        <v>525</v>
      </c>
    </row>
    <row r="4">
      <c r="A4" s="21" t="s">
        <v>537</v>
      </c>
      <c r="B4" s="21" t="s">
        <v>538</v>
      </c>
      <c r="C4" s="21" t="s">
        <v>539</v>
      </c>
      <c r="D4" s="21">
        <v>1</v>
      </c>
      <c r="E4" s="21" t="s">
        <v>540</v>
      </c>
      <c r="F4" s="21">
        <v>1</v>
      </c>
      <c r="G4" s="21">
        <v>1</v>
      </c>
      <c r="H4" s="21">
        <v>2</v>
      </c>
      <c r="I4" s="21" t="s">
        <v>541</v>
      </c>
      <c r="J4" s="49">
        <v>-1</v>
      </c>
      <c r="K4" s="10">
        <v>-4</v>
      </c>
      <c r="L4" s="10">
        <v>-4</v>
      </c>
      <c r="M4" s="18">
        <v>-1</v>
      </c>
      <c r="N4" s="21" t="s">
        <v>542</v>
      </c>
      <c r="O4" s="21">
        <v>1</v>
      </c>
      <c r="P4" s="21" t="s">
        <v>543</v>
      </c>
    </row>
    <row r="5">
      <c r="A5" s="21" t="s">
        <v>544</v>
      </c>
      <c r="B5" s="21">
        <v>1</v>
      </c>
      <c r="C5" s="21" t="s">
        <v>545</v>
      </c>
      <c r="D5" s="21"/>
      <c r="E5" s="21" t="s">
        <v>546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547</v>
      </c>
      <c r="O5" s="21"/>
      <c r="P5" s="21">
        <v>1</v>
      </c>
    </row>
    <row r="6">
      <c r="A6" s="21" t="s">
        <v>548</v>
      </c>
      <c r="B6" s="21"/>
      <c r="C6" s="21" t="s">
        <v>549</v>
      </c>
      <c r="D6" s="21"/>
      <c r="E6" s="21" t="s">
        <v>550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551</v>
      </c>
      <c r="O6" s="21"/>
      <c r="P6" s="21"/>
    </row>
    <row r="7">
      <c r="A7" s="21">
        <v>2</v>
      </c>
      <c r="B7" s="21"/>
      <c r="C7" s="21" t="s">
        <v>538</v>
      </c>
      <c r="D7" s="21"/>
      <c r="E7" s="21" t="s">
        <v>552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553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554</v>
      </c>
      <c r="B17" s="24" t="str">
        <f>IF(A7=1,A2,IF(A7=2,A3,IF(A7=3,A4,IF(A7=4,A5,IF(A7=5,A6,IF(A7=6,A7,IF(A7=7,A8,IF(A7=8,A9,IF(A7=9,A10,IF(A7=10,A11,IF(A7=11,A12,IF(A7=12,A13,A14))))))))))))</f>
        <v>EVO 150X70</v>
      </c>
      <c r="C17" s="819" t="s">
        <v>555</v>
      </c>
      <c r="D17" s="820"/>
      <c r="E17" s="820"/>
      <c r="F17" s="821"/>
      <c r="G17" s="1"/>
      <c r="H17" s="1"/>
      <c r="I17" s="1"/>
    </row>
    <row r="18">
      <c r="A18" s="26" t="s">
        <v>556</v>
      </c>
      <c r="B18" s="27">
        <f>تسجيل1!C7</f>
        <v>400</v>
      </c>
      <c r="C18" s="28" t="s">
        <v>557</v>
      </c>
      <c r="D18" s="28"/>
      <c r="E18" s="28"/>
      <c r="F18" s="25"/>
      <c r="G18" s="1"/>
      <c r="H18" s="1"/>
      <c r="I18" s="1"/>
    </row>
    <row r="19">
      <c r="A19" s="29" t="s">
        <v>558</v>
      </c>
      <c r="B19" s="30">
        <f>'Format διαστασης οδηγου'!F16</f>
        <v>400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822" t="s">
        <v>559</v>
      </c>
      <c r="B29" s="823"/>
      <c r="C29" s="823"/>
      <c r="D29" s="823"/>
      <c r="E29" s="823"/>
      <c r="F29" s="823"/>
      <c r="G29" s="823"/>
      <c r="H29" s="824"/>
      <c r="I29" s="822" t="s">
        <v>560</v>
      </c>
      <c r="J29" s="823"/>
      <c r="K29" s="823"/>
      <c r="L29" s="823"/>
      <c r="M29" s="823"/>
      <c r="N29" s="823"/>
      <c r="O29" s="823"/>
      <c r="P29" s="824"/>
      <c r="Q29" s="822" t="s">
        <v>561</v>
      </c>
      <c r="R29" s="823"/>
      <c r="S29" s="823"/>
      <c r="T29" s="823"/>
      <c r="U29" s="823"/>
      <c r="V29" s="823"/>
      <c r="W29" s="823"/>
      <c r="X29" s="824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825" t="s">
        <v>562</v>
      </c>
      <c r="B31" s="826"/>
      <c r="C31" s="36">
        <f>B19</f>
        <v>400</v>
      </c>
      <c r="D31" s="34" t="s">
        <v>563</v>
      </c>
      <c r="E31" s="36">
        <f>H34</f>
        <v>5</v>
      </c>
      <c r="F31" s="34"/>
      <c r="G31" s="34"/>
      <c r="H31" s="35"/>
      <c r="I31" s="825" t="s">
        <v>562</v>
      </c>
      <c r="J31" s="826"/>
      <c r="K31" s="36">
        <f>B19</f>
        <v>400</v>
      </c>
      <c r="L31" s="34" t="s">
        <v>563</v>
      </c>
      <c r="M31" s="36">
        <f>P34</f>
        <v>5</v>
      </c>
      <c r="N31" s="15"/>
      <c r="O31" s="34"/>
      <c r="P31" s="35"/>
      <c r="Q31" s="827" t="s">
        <v>562</v>
      </c>
      <c r="R31" s="828"/>
      <c r="S31" s="57">
        <f>B19</f>
        <v>400</v>
      </c>
      <c r="T31" s="47" t="s">
        <v>564</v>
      </c>
      <c r="U31" s="57">
        <f>INT((S31-4)/25)+1</f>
        <v>16</v>
      </c>
      <c r="V31" s="47"/>
      <c r="W31" s="47"/>
      <c r="X31" s="48"/>
    </row>
    <row r="32">
      <c r="A32" s="829" t="s">
        <v>563</v>
      </c>
      <c r="B32" s="830"/>
      <c r="C32" s="830"/>
      <c r="D32" s="34"/>
      <c r="E32" s="34"/>
      <c r="F32" s="38"/>
      <c r="G32" s="34"/>
      <c r="H32" s="35"/>
      <c r="I32" s="829" t="s">
        <v>565</v>
      </c>
      <c r="J32" s="830"/>
      <c r="K32" s="830"/>
      <c r="L32" s="34"/>
      <c r="M32" s="34"/>
      <c r="N32" s="54"/>
      <c r="O32" s="34"/>
      <c r="P32" s="35"/>
    </row>
    <row r="33">
      <c r="A33" s="39" t="s">
        <v>566</v>
      </c>
      <c r="B33" s="40" t="s">
        <v>567</v>
      </c>
      <c r="C33" s="40" t="s">
        <v>568</v>
      </c>
      <c r="D33" s="34"/>
      <c r="E33" s="40" t="s">
        <v>566</v>
      </c>
      <c r="F33" s="40" t="s">
        <v>567</v>
      </c>
      <c r="G33" s="40" t="s">
        <v>568</v>
      </c>
      <c r="H33" s="35"/>
      <c r="I33" s="39" t="s">
        <v>566</v>
      </c>
      <c r="J33" s="40" t="s">
        <v>567</v>
      </c>
      <c r="K33" s="40" t="s">
        <v>568</v>
      </c>
      <c r="L33" s="34"/>
      <c r="M33" s="40" t="s">
        <v>566</v>
      </c>
      <c r="N33" s="37" t="s">
        <v>567</v>
      </c>
      <c r="O33" s="40" t="s">
        <v>568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569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5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569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5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570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6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570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6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571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571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572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572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573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573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A31:B31"/>
    <mergeCell ref="I31:J31"/>
    <mergeCell ref="Q31:R31"/>
    <mergeCell ref="A32:C32"/>
    <mergeCell ref="I32:K32"/>
    <mergeCell ref="J1:M1"/>
    <mergeCell ref="C17:F17"/>
    <mergeCell ref="A29:H29"/>
    <mergeCell ref="I29:P29"/>
    <mergeCell ref="Q29:X29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/>
  <dimension ref="A1:R25"/>
  <sheetViews>
    <sheetView topLeftCell="A10" workbookViewId="0">
      <selection activeCell="AF16" sqref="AF16"/>
    </sheetView>
  </sheetViews>
  <sheetFormatPr defaultColWidth="9.109375" defaultRowHeight="14.4"/>
  <cols>
    <col min="1" max="2" width="9.109375" customWidth="1" style="10"/>
    <col min="3" max="3" width="25.88671875" customWidth="1" style="10"/>
    <col min="4" max="4" width="11.44140625" customWidth="1" style="1"/>
    <col min="5" max="5" width="11.6640625" customWidth="1" style="1"/>
    <col min="6" max="6" width="12" customWidth="1" style="1"/>
    <col min="7" max="7" width="10.5546875" customWidth="1" style="1"/>
    <col min="8" max="9" width="9.109375" customWidth="1" style="10"/>
    <col min="10" max="10" width="12" customWidth="1" style="10"/>
    <col min="11" max="11" width="9.109375" customWidth="1" style="1"/>
    <col min="12" max="16384" width="9.109375" customWidth="1" style="10"/>
  </cols>
  <sheetData>
    <row r="1">
      <c r="A1" s="831" t="s">
        <v>574</v>
      </c>
      <c r="B1" s="832"/>
      <c r="C1" s="17"/>
      <c r="D1" s="3" t="s">
        <v>575</v>
      </c>
      <c r="E1" s="3" t="s">
        <v>576</v>
      </c>
      <c r="F1" s="3" t="s">
        <v>577</v>
      </c>
      <c r="G1" s="3" t="s">
        <v>578</v>
      </c>
      <c r="H1" s="7" t="s">
        <v>579</v>
      </c>
    </row>
    <row r="2">
      <c r="A2" s="833"/>
      <c r="B2" s="834"/>
      <c r="C2" s="10" t="s">
        <v>580</v>
      </c>
      <c r="D2" s="1">
        <f>تسجيل1!E7</f>
        <v>400</v>
      </c>
      <c r="E2" s="1">
        <f>تسجيل1!E7</f>
        <v>400</v>
      </c>
      <c r="F2" s="1">
        <f>تسجيل1!E7</f>
        <v>400</v>
      </c>
      <c r="G2" s="1">
        <f>تسجيل1!E7</f>
        <v>400</v>
      </c>
      <c r="H2" s="8">
        <f>تسجيل1!E7</f>
        <v>400</v>
      </c>
    </row>
    <row r="3">
      <c r="A3" s="833"/>
      <c r="B3" s="834"/>
      <c r="C3" s="10" t="s">
        <v>581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833"/>
      <c r="B4" s="834"/>
      <c r="C4" s="10" t="s">
        <v>582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833"/>
      <c r="B5" s="834"/>
      <c r="H5" s="18"/>
      <c r="K5" s="1" t="s">
        <v>583</v>
      </c>
      <c r="L5" s="10" t="s">
        <v>584</v>
      </c>
    </row>
    <row r="6">
      <c r="A6" s="833"/>
      <c r="B6" s="834"/>
      <c r="C6" s="10" t="s">
        <v>585</v>
      </c>
      <c r="D6" s="1">
        <f>IF(D3=0,D2,D2-D3-D4+10)</f>
        <v>400</v>
      </c>
      <c r="E6" s="1">
        <f>IF(E3=0,E2,E2-E3-E4+10)</f>
        <v>400</v>
      </c>
      <c r="F6" s="1">
        <f>IF(F3=0,F2,F2-F3-F4+10)</f>
        <v>400</v>
      </c>
      <c r="G6" s="1">
        <f>IF(G3=0,G2,G2-G3-G4+10)</f>
        <v>400</v>
      </c>
      <c r="H6" s="8">
        <f>IF(H3=0,H2,H2-H3-H4+10)</f>
        <v>400</v>
      </c>
      <c r="J6" s="10" t="s">
        <v>586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400</v>
      </c>
      <c r="L6" s="10">
        <f>IF(Format!E8=1,تسجيل1!E7-30,IF(Format!E8=2,D7,IF(Format!E8=3,E7,IF(Format!E8=4,F7,IF(Format!E8=5,G7,IF(Format!E8=6,H7,"-----"))))))</f>
        <v>370</v>
      </c>
    </row>
    <row r="7">
      <c r="A7" s="835"/>
      <c r="B7" s="836"/>
      <c r="C7" s="19" t="s">
        <v>587</v>
      </c>
      <c r="D7" s="6">
        <f>D6-30</f>
        <v>370</v>
      </c>
      <c r="E7" s="6">
        <f>E6-17</f>
        <v>383</v>
      </c>
      <c r="F7" s="6">
        <f>F6-30</f>
        <v>370</v>
      </c>
      <c r="G7" s="6">
        <f>G6-17</f>
        <v>383</v>
      </c>
      <c r="H7" s="9">
        <f>H6-30</f>
        <v>370</v>
      </c>
    </row>
    <row r="10">
      <c r="A10" s="837" t="s">
        <v>588</v>
      </c>
      <c r="B10" s="838"/>
      <c r="C10" s="17"/>
      <c r="D10" s="3" t="s">
        <v>575</v>
      </c>
      <c r="E10" s="3" t="s">
        <v>576</v>
      </c>
      <c r="F10" s="3" t="s">
        <v>577</v>
      </c>
      <c r="G10" s="3" t="s">
        <v>578</v>
      </c>
      <c r="H10" s="7" t="s">
        <v>579</v>
      </c>
    </row>
    <row r="11">
      <c r="A11" s="839"/>
      <c r="B11" s="840"/>
      <c r="C11" s="10" t="s">
        <v>580</v>
      </c>
      <c r="D11" s="1">
        <f>تسجيل1!E7</f>
        <v>400</v>
      </c>
      <c r="E11" s="1">
        <f>تسجيل1!E7</f>
        <v>400</v>
      </c>
      <c r="F11" s="1">
        <f>تسجيل1!E7</f>
        <v>400</v>
      </c>
      <c r="G11" s="1">
        <f>تسجيل1!E7</f>
        <v>400</v>
      </c>
      <c r="H11" s="8">
        <f>تسجيل1!E7</f>
        <v>400</v>
      </c>
    </row>
    <row r="12">
      <c r="A12" s="839"/>
      <c r="B12" s="840"/>
      <c r="C12" s="10" t="s">
        <v>581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839"/>
      <c r="B13" s="840"/>
      <c r="C13" s="10" t="s">
        <v>582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583</v>
      </c>
      <c r="L13" s="10" t="s">
        <v>584</v>
      </c>
    </row>
    <row r="14">
      <c r="A14" s="839"/>
      <c r="B14" s="840"/>
      <c r="H14" s="18"/>
      <c r="J14" s="10" t="s">
        <v>586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400</v>
      </c>
      <c r="L14" s="10">
        <f>IF(Format!E8=1,تسجيل1!E7-30,IF(Format!E8=2,D16,IF(Format!E8=3,E16,IF(Format!E8=4,F16,IF(Format!E8=5,G16,IF(Format!E8=6,H16))))))</f>
        <v>370</v>
      </c>
    </row>
    <row r="15">
      <c r="A15" s="839"/>
      <c r="B15" s="840"/>
      <c r="C15" s="10" t="s">
        <v>585</v>
      </c>
      <c r="D15" s="1">
        <f>IF(D12=0,D11,D11-D12-D13+11)</f>
        <v>400</v>
      </c>
      <c r="E15" s="1">
        <f>IF(E12=0,E11,E11-E12-E13+11)</f>
        <v>400</v>
      </c>
      <c r="F15" s="1">
        <f>IF(F12=0,F11,F11-F12-F13+11)</f>
        <v>400</v>
      </c>
      <c r="G15" s="1">
        <f>IF(G12=0,G11,G11-G12-G13+11)</f>
        <v>400</v>
      </c>
      <c r="H15" s="8">
        <f>IF(H12=0,H11,H11-H12-H13+11)</f>
        <v>400</v>
      </c>
      <c r="Q15" s="1" t="s">
        <v>558</v>
      </c>
      <c r="R15" s="10" t="s">
        <v>589</v>
      </c>
    </row>
    <row r="16">
      <c r="A16" s="841"/>
      <c r="B16" s="842"/>
      <c r="C16" s="19" t="s">
        <v>587</v>
      </c>
      <c r="D16" s="6">
        <f>D15-30</f>
        <v>370</v>
      </c>
      <c r="E16" s="6">
        <f>E15-17</f>
        <v>383</v>
      </c>
      <c r="F16" s="6">
        <f>F15-30</f>
        <v>370</v>
      </c>
      <c r="G16" s="6">
        <f>G15-17</f>
        <v>383</v>
      </c>
      <c r="H16" s="9">
        <f>H15-30</f>
        <v>370</v>
      </c>
      <c r="Q16" s="10">
        <f>IF(Format!A7=1,K6,IF(Format!A7=3,K6,IF(Format!A7=4,K23,IF(Format!A7=2,K23,IF(Format!A7=5,K14,"------")))))</f>
        <v>400</v>
      </c>
      <c r="R16" s="10">
        <f>IF(Format!A7=1,L6,IF(Format!A7=3,L6,IF(Format!A7=4,L23,IF(Format!A7=2,L23+2,IF(Format!A7=5,L14,"------")))))</f>
        <v>372</v>
      </c>
    </row>
    <row r="19">
      <c r="A19" s="843" t="s">
        <v>590</v>
      </c>
      <c r="B19" s="844"/>
      <c r="C19" s="17"/>
      <c r="D19" s="3" t="s">
        <v>575</v>
      </c>
      <c r="E19" s="3" t="s">
        <v>576</v>
      </c>
      <c r="F19" s="3" t="s">
        <v>577</v>
      </c>
      <c r="G19" s="3" t="s">
        <v>578</v>
      </c>
      <c r="H19" s="7" t="s">
        <v>579</v>
      </c>
    </row>
    <row r="20">
      <c r="A20" s="845"/>
      <c r="B20" s="846"/>
      <c r="C20" s="10" t="s">
        <v>580</v>
      </c>
      <c r="D20" s="1">
        <f>تسجيل1!E7</f>
        <v>400</v>
      </c>
      <c r="E20" s="1">
        <f>تسجيل1!E7</f>
        <v>400</v>
      </c>
      <c r="F20" s="1">
        <f>تسجيل1!E7</f>
        <v>400</v>
      </c>
      <c r="G20" s="1">
        <f>تسجيل1!E7</f>
        <v>400</v>
      </c>
      <c r="H20" s="8">
        <f>تسجيل1!E7</f>
        <v>400</v>
      </c>
    </row>
    <row r="21">
      <c r="A21" s="845"/>
      <c r="B21" s="846"/>
      <c r="C21" s="10" t="s">
        <v>581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845"/>
      <c r="B22" s="846"/>
      <c r="C22" s="10" t="s">
        <v>582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583</v>
      </c>
      <c r="L22" s="10" t="s">
        <v>584</v>
      </c>
    </row>
    <row r="23">
      <c r="A23" s="845"/>
      <c r="B23" s="846"/>
      <c r="H23" s="18"/>
      <c r="J23" s="10" t="s">
        <v>586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400</v>
      </c>
      <c r="L23" s="10">
        <f>IF(Format!E8=1,تسجيل1!E7-30,IF(Format!E8=2,D25,IF(Format!E8=3,E25,IF(Format!E8=4,F25,IF(Format!E8=5,G25,IF(Format!E8=6,H25))))))</f>
        <v>370</v>
      </c>
    </row>
    <row r="24">
      <c r="A24" s="845"/>
      <c r="B24" s="846"/>
      <c r="C24" s="10" t="s">
        <v>585</v>
      </c>
      <c r="D24" s="1">
        <f>IF(D21=0,D20,D20-D21-D22+11)</f>
        <v>400</v>
      </c>
      <c r="E24" s="1">
        <f>IF(E21=0,E20,E20-E21-E22+11)</f>
        <v>400</v>
      </c>
      <c r="F24" s="1">
        <f>IF(F21=0,F20,F20-F21-F22+11)</f>
        <v>400</v>
      </c>
      <c r="G24" s="1">
        <f>IF(G21=0,G20,G20-G21-G22+11)</f>
        <v>400</v>
      </c>
      <c r="H24" s="8">
        <f>IF(H21=0,H20,H20-H21-H22+11)</f>
        <v>400</v>
      </c>
    </row>
    <row r="25">
      <c r="A25" s="847"/>
      <c r="B25" s="848"/>
      <c r="C25" s="19" t="s">
        <v>587</v>
      </c>
      <c r="D25" s="6">
        <f>D24-30</f>
        <v>370</v>
      </c>
      <c r="E25" s="6">
        <f>E24-13</f>
        <v>387</v>
      </c>
      <c r="F25" s="6">
        <f>F24-30</f>
        <v>370</v>
      </c>
      <c r="G25" s="6">
        <f>G24-13</f>
        <v>387</v>
      </c>
      <c r="H25" s="9">
        <f>H24-30</f>
        <v>370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9" tint="-0.249977111117893"/>
  </sheetPr>
  <dimension ref="A1:BT186"/>
  <sheetViews>
    <sheetView rightToLeft="1" topLeftCell="AC17" zoomScale="55" zoomScaleNormal="55" zoomScaleSheetLayoutView="70" zoomScalePageLayoutView="25" workbookViewId="0">
      <selection activeCell="AC17" sqref="AC17"/>
    </sheetView>
  </sheetViews>
  <sheetFormatPr defaultColWidth="9" defaultRowHeight="14.4"/>
  <cols>
    <col min="1" max="1" width="4.6640625" customWidth="1"/>
    <col min="2" max="4" width="20.5546875" customWidth="1"/>
    <col min="5" max="5" width="4.5546875" customWidth="1"/>
    <col min="6" max="8" width="20.5546875" customWidth="1"/>
    <col min="9" max="9" width="4.5546875" customWidth="1"/>
    <col min="10" max="12" width="20.5546875" customWidth="1" style="405"/>
    <col min="13" max="13" width="5.109375" customWidth="1" style="405"/>
    <col min="14" max="16" width="20.5546875" customWidth="1" style="405"/>
    <col min="17" max="17" width="6.109375" customWidth="1" style="405"/>
    <col min="18" max="18" width="61.5546875" customWidth="1" style="405"/>
    <col min="19" max="19" width="24.88671875" customWidth="1"/>
    <col min="20" max="20" width="27.109375" customWidth="1"/>
    <col min="21" max="21" width="24.88671875" customWidth="1"/>
    <col min="22" max="22" width="28.44140625" customWidth="1"/>
    <col min="23" max="26" width="24.88671875" customWidth="1"/>
    <col min="27" max="27" width="26.33203125" customWidth="1"/>
    <col min="28" max="28" width="20.6640625" customWidth="1"/>
    <col min="29" max="29" width="19.5546875" customWidth="1"/>
    <col min="30" max="30" width="61.44140625" customWidth="1"/>
    <col min="31" max="31" width="5.33203125" customWidth="1"/>
    <col min="32" max="33" width="23" customWidth="1"/>
    <col min="34" max="34" width="24.5546875" customWidth="1"/>
    <col min="35" max="42" width="23" customWidth="1"/>
    <col min="43" max="43" width="10.109375" customWidth="1"/>
    <col min="44" max="44" width="61.44140625" customWidth="1"/>
    <col min="45" max="53" width="24.33203125" customWidth="1"/>
    <col min="54" max="54" width="26.5546875" customWidth="1"/>
    <col min="55" max="55" width="7.5546875" customWidth="1" style="406"/>
    <col min="56" max="66" width="24.5546875" customWidth="1"/>
  </cols>
  <sheetData>
    <row r="1" ht="45.75" customHeight="1">
      <c r="A1" s="663"/>
      <c r="B1" s="663"/>
      <c r="C1" s="663"/>
      <c r="D1" s="663"/>
      <c r="E1" s="663"/>
      <c r="F1" s="663"/>
      <c r="G1" s="663"/>
      <c r="H1" s="663"/>
      <c r="I1" s="663"/>
      <c r="J1" s="663"/>
      <c r="K1" s="663"/>
      <c r="L1" s="663"/>
      <c r="M1" s="663"/>
      <c r="N1" s="663"/>
      <c r="O1" s="663"/>
      <c r="P1" s="663"/>
      <c r="Q1" s="663"/>
      <c r="R1" s="651"/>
      <c r="S1" s="408" t="s">
        <v>643</v>
      </c>
      <c r="T1" s="408"/>
      <c r="U1" s="408"/>
      <c r="V1" s="407"/>
      <c r="W1" s="409"/>
      <c r="X1" s="407"/>
      <c r="Y1" s="407"/>
      <c r="Z1" s="407"/>
      <c r="AA1" s="407"/>
      <c r="AB1" s="407"/>
      <c r="AC1" s="407"/>
      <c r="AD1" s="406"/>
      <c r="AE1" s="407"/>
      <c r="AF1" s="407"/>
      <c r="AG1" s="407"/>
      <c r="AH1" s="407"/>
      <c r="AI1" s="407"/>
      <c r="AJ1" s="407"/>
      <c r="AK1" s="407"/>
      <c r="AR1" s="406"/>
      <c r="AS1" s="408" t="s">
        <v>644</v>
      </c>
      <c r="AT1" s="408"/>
      <c r="AU1" s="408"/>
      <c r="AV1" s="407"/>
      <c r="AW1" s="409"/>
      <c r="AX1" s="407"/>
      <c r="AY1" s="407"/>
      <c r="AZ1" s="407"/>
      <c r="BA1" s="407"/>
      <c r="BB1" s="407"/>
      <c r="BD1" s="408" t="s">
        <v>645</v>
      </c>
      <c r="BE1" s="408"/>
      <c r="BF1" s="629"/>
      <c r="BG1" s="629"/>
      <c r="BH1" s="629"/>
      <c r="BI1" s="629"/>
      <c r="BJ1" s="629"/>
      <c r="BK1" s="629"/>
      <c r="BL1" s="629"/>
      <c r="BM1" s="629"/>
      <c r="BN1" s="629"/>
    </row>
    <row r="2" ht="45" customHeight="1">
      <c r="A2" s="663"/>
      <c r="B2" s="663"/>
      <c r="C2" s="663"/>
      <c r="D2" s="663"/>
      <c r="E2" s="663"/>
      <c r="F2" s="663"/>
      <c r="G2" s="663"/>
      <c r="H2" s="663"/>
      <c r="I2" s="663"/>
      <c r="J2" s="663"/>
      <c r="K2" s="663"/>
      <c r="L2" s="663"/>
      <c r="M2" s="663"/>
      <c r="N2" s="663"/>
      <c r="O2" s="663"/>
      <c r="P2" s="663"/>
      <c r="Q2" s="663"/>
      <c r="R2" s="651"/>
      <c r="S2" s="410" t="s">
        <v>646</v>
      </c>
      <c r="T2" s="411">
        <f>IF((V14="ok"),Royal!G84,"R")</f>
        <v>182889.72007338447</v>
      </c>
      <c r="U2" s="412"/>
      <c r="V2" s="407"/>
      <c r="W2" s="407"/>
      <c r="X2" s="407"/>
      <c r="Y2" s="407"/>
      <c r="Z2" s="407"/>
      <c r="AA2" s="407"/>
      <c r="AB2" s="407"/>
      <c r="AC2" s="407"/>
      <c r="AD2" s="406"/>
      <c r="AE2" s="407"/>
      <c r="AF2" s="652" t="s">
        <v>646</v>
      </c>
      <c r="AG2" s="628" t="str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error</v>
      </c>
      <c r="AH2" s="628"/>
      <c r="AI2" s="414"/>
      <c r="AJ2" s="414"/>
      <c r="AK2" s="414"/>
      <c r="AR2" s="406"/>
      <c r="AS2" s="464" t="s">
        <v>646</v>
      </c>
      <c r="AT2" s="465">
        <f>IF((AV14="OK"),wavy1!R72,"R")</f>
        <v>105702.19833333333</v>
      </c>
      <c r="AU2" s="412"/>
      <c r="AV2" s="407"/>
      <c r="AW2" s="407"/>
      <c r="AX2" s="407"/>
      <c r="AY2" s="407"/>
      <c r="AZ2" s="407"/>
      <c r="BA2" s="407"/>
      <c r="BB2" s="407"/>
      <c r="BD2" s="479" t="s">
        <v>646</v>
      </c>
      <c r="BE2" s="479">
        <f>IF((BG14="OK"),wavy2!R72,"R")</f>
        <v>148729.5376666667</v>
      </c>
      <c r="BF2" s="629"/>
      <c r="BG2" s="629"/>
      <c r="BH2" s="629"/>
      <c r="BI2" s="629"/>
      <c r="BJ2" s="629"/>
      <c r="BK2" s="629"/>
      <c r="BL2" s="629"/>
      <c r="BM2" s="629"/>
      <c r="BN2" s="629"/>
    </row>
    <row r="3" ht="54.75" customHeight="1">
      <c r="A3" s="663"/>
      <c r="B3" s="663"/>
      <c r="C3" s="663"/>
      <c r="D3" s="663"/>
      <c r="E3" s="663"/>
      <c r="F3" s="663"/>
      <c r="G3" s="663"/>
      <c r="H3" s="663"/>
      <c r="I3" s="663"/>
      <c r="J3" s="663"/>
      <c r="K3" s="663"/>
      <c r="L3" s="663"/>
      <c r="M3" s="663"/>
      <c r="N3" s="663"/>
      <c r="O3" s="663"/>
      <c r="P3" s="663"/>
      <c r="Q3" s="663"/>
      <c r="R3" s="651"/>
      <c r="S3" s="517" t="s">
        <v>215</v>
      </c>
      <c r="T3" s="413">
        <f>T2/(AA10*X8)*10000</f>
        <v>11430.607504586529</v>
      </c>
      <c r="U3" s="412"/>
      <c r="V3" s="414"/>
      <c r="W3" s="407"/>
      <c r="X3" s="407"/>
      <c r="Y3" s="407"/>
      <c r="Z3" s="407"/>
      <c r="AA3" s="407"/>
      <c r="AB3" s="407"/>
      <c r="AC3" s="407"/>
      <c r="AD3" s="406"/>
      <c r="AE3" s="407"/>
      <c r="AF3" s="652"/>
      <c r="AG3" s="628"/>
      <c r="AH3" s="628"/>
      <c r="AI3" s="414"/>
      <c r="AJ3" s="414"/>
      <c r="AK3" s="414"/>
      <c r="AL3" s="407"/>
      <c r="AM3" s="407"/>
      <c r="AN3" s="407"/>
      <c r="AO3" s="407"/>
      <c r="AP3" s="407"/>
      <c r="AQ3" s="407"/>
      <c r="AR3" s="406"/>
      <c r="AS3" s="464" t="s">
        <v>215</v>
      </c>
      <c r="AT3" s="466">
        <f>AT2/(AV10*BA12)*10000</f>
        <v>8456.1758666666665</v>
      </c>
      <c r="AU3" s="412"/>
      <c r="AV3" s="414"/>
      <c r="AW3" s="407"/>
      <c r="AX3" s="407"/>
      <c r="AY3" s="407"/>
      <c r="AZ3" s="407"/>
      <c r="BA3" s="407"/>
      <c r="BB3" s="407"/>
      <c r="BD3" s="480" t="s">
        <v>215</v>
      </c>
      <c r="BE3" s="487">
        <f>BE2/(BG10*BL12)*10000</f>
        <v>4249.4153619047629</v>
      </c>
      <c r="BF3" s="629"/>
      <c r="BG3" s="629"/>
      <c r="BH3" s="629"/>
      <c r="BI3" s="629"/>
      <c r="BJ3" s="629"/>
      <c r="BK3" s="629"/>
      <c r="BL3" s="629"/>
      <c r="BM3" s="629"/>
      <c r="BN3" s="629"/>
    </row>
    <row r="4" ht="55.5" customHeight="1">
      <c r="A4" s="663"/>
      <c r="B4" s="663"/>
      <c r="C4" s="663"/>
      <c r="D4" s="663"/>
      <c r="E4" s="663"/>
      <c r="F4" s="663"/>
      <c r="G4" s="663"/>
      <c r="H4" s="663"/>
      <c r="I4" s="663"/>
      <c r="J4" s="663"/>
      <c r="K4" s="663"/>
      <c r="L4" s="663"/>
      <c r="M4" s="663"/>
      <c r="N4" s="663"/>
      <c r="O4" s="663"/>
      <c r="P4" s="663"/>
      <c r="Q4" s="663"/>
      <c r="R4" s="651"/>
      <c r="S4" s="519" t="s">
        <v>647</v>
      </c>
      <c r="T4" s="520" t="s">
        <v>114</v>
      </c>
      <c r="U4" s="417"/>
      <c r="V4" s="417"/>
      <c r="W4" s="417"/>
      <c r="X4" s="417"/>
      <c r="Y4" s="417"/>
      <c r="Z4" s="417"/>
      <c r="AA4" s="417"/>
      <c r="AB4" s="407"/>
      <c r="AC4" s="412"/>
      <c r="AD4" s="406"/>
      <c r="AE4" s="407"/>
      <c r="AF4" s="652"/>
      <c r="AG4" s="628"/>
      <c r="AH4" s="628"/>
      <c r="AI4" s="407"/>
      <c r="AJ4" s="407"/>
      <c r="AK4" s="407"/>
      <c r="AL4" s="407"/>
      <c r="AM4" s="407"/>
      <c r="AN4" s="407"/>
      <c r="AO4" s="407"/>
      <c r="AP4" s="407"/>
      <c r="AQ4" s="407"/>
      <c r="AR4" s="406"/>
      <c r="AS4" s="418" t="s">
        <v>647</v>
      </c>
      <c r="AT4" s="416" t="s">
        <v>114</v>
      </c>
      <c r="AU4" s="417"/>
      <c r="AV4" s="417"/>
      <c r="AW4" s="417"/>
      <c r="AX4" s="417"/>
      <c r="AY4" s="417"/>
      <c r="AZ4" s="417"/>
      <c r="BA4" s="417"/>
      <c r="BB4" s="407"/>
      <c r="BD4" s="481" t="s">
        <v>647</v>
      </c>
      <c r="BE4" s="487" t="s">
        <v>127</v>
      </c>
      <c r="BF4" s="630"/>
      <c r="BG4" s="631"/>
      <c r="BH4" s="631"/>
      <c r="BI4" s="631"/>
      <c r="BJ4" s="631"/>
      <c r="BK4" s="631"/>
      <c r="BL4" s="631"/>
      <c r="BM4" s="631"/>
      <c r="BN4" s="627"/>
    </row>
    <row r="5" ht="55.5" customHeight="1">
      <c r="A5" s="663"/>
      <c r="B5" s="663"/>
      <c r="C5" s="663"/>
      <c r="D5" s="663"/>
      <c r="E5" s="663"/>
      <c r="F5" s="663"/>
      <c r="G5" s="663"/>
      <c r="H5" s="663"/>
      <c r="I5" s="663"/>
      <c r="J5" s="663"/>
      <c r="K5" s="663"/>
      <c r="L5" s="663"/>
      <c r="M5" s="663"/>
      <c r="N5" s="663"/>
      <c r="O5" s="663"/>
      <c r="P5" s="663"/>
      <c r="Q5" s="663"/>
      <c r="R5" s="651"/>
      <c r="S5" s="519" t="s">
        <v>608</v>
      </c>
      <c r="T5" s="521" t="s">
        <v>612</v>
      </c>
      <c r="U5" s="417"/>
      <c r="V5" s="417"/>
      <c r="W5" s="417"/>
      <c r="X5" s="417"/>
      <c r="Y5" s="417"/>
      <c r="Z5" s="417"/>
      <c r="AA5" s="417"/>
      <c r="AB5" s="405"/>
      <c r="AC5" s="407"/>
      <c r="AD5" s="406"/>
      <c r="AE5" s="407"/>
      <c r="AF5" s="407"/>
      <c r="AG5" s="407"/>
      <c r="AH5" s="407"/>
      <c r="AI5" s="407"/>
      <c r="AJ5" s="457"/>
      <c r="AK5" s="457"/>
      <c r="AL5" s="407"/>
      <c r="AM5" s="407"/>
      <c r="AN5" s="407"/>
      <c r="AO5" s="407"/>
      <c r="AP5" s="407"/>
      <c r="AQ5" s="407"/>
      <c r="AR5" s="406"/>
      <c r="AS5" s="418" t="s">
        <v>608</v>
      </c>
      <c r="AT5" s="530" t="s">
        <v>612</v>
      </c>
      <c r="AU5" s="417"/>
      <c r="AV5" s="417"/>
      <c r="AW5" s="417"/>
      <c r="AX5" s="417"/>
      <c r="AY5" s="417"/>
      <c r="AZ5" s="417"/>
      <c r="BA5" s="417"/>
      <c r="BB5" s="405"/>
      <c r="BD5" s="482" t="s">
        <v>608</v>
      </c>
      <c r="BE5" s="531" t="s">
        <v>615</v>
      </c>
      <c r="BF5" s="630"/>
      <c r="BG5" s="631"/>
      <c r="BH5" s="631"/>
      <c r="BI5" s="631"/>
      <c r="BJ5" s="631"/>
      <c r="BK5" s="631"/>
      <c r="BL5" s="631"/>
      <c r="BM5" s="631"/>
      <c r="BN5" s="627"/>
      <c r="BT5" s="0">
        <v>0</v>
      </c>
    </row>
    <row r="6" ht="55.5" customHeight="1">
      <c r="A6" s="663"/>
      <c r="B6" s="663"/>
      <c r="C6" s="663"/>
      <c r="D6" s="663"/>
      <c r="E6" s="663"/>
      <c r="F6" s="663"/>
      <c r="G6" s="663"/>
      <c r="H6" s="663"/>
      <c r="I6" s="663"/>
      <c r="J6" s="663"/>
      <c r="K6" s="663"/>
      <c r="L6" s="663"/>
      <c r="M6" s="663"/>
      <c r="N6" s="663"/>
      <c r="O6" s="663"/>
      <c r="P6" s="663"/>
      <c r="Q6" s="663"/>
      <c r="R6" s="651"/>
      <c r="S6" s="519" t="s">
        <v>609</v>
      </c>
      <c r="T6" s="520" t="s">
        <v>318</v>
      </c>
      <c r="U6" s="417"/>
      <c r="V6" s="417"/>
      <c r="W6" s="417"/>
      <c r="X6" s="417"/>
      <c r="Y6" s="417"/>
      <c r="Z6" s="417"/>
      <c r="AA6" s="417"/>
      <c r="AB6" s="405"/>
      <c r="AC6" s="407"/>
      <c r="AD6" s="406"/>
      <c r="AE6" s="407"/>
      <c r="AF6" s="407"/>
      <c r="AG6" s="407"/>
      <c r="AH6" s="407"/>
      <c r="AI6" s="458" t="s">
        <v>648</v>
      </c>
      <c r="AJ6" s="458" t="s">
        <v>649</v>
      </c>
      <c r="AK6" s="459" t="s">
        <v>650</v>
      </c>
      <c r="AL6" s="458" t="s">
        <v>376</v>
      </c>
      <c r="AM6" s="458" t="s">
        <v>651</v>
      </c>
      <c r="AN6" s="460" t="s">
        <v>652</v>
      </c>
      <c r="AO6" s="634" t="s">
        <v>653</v>
      </c>
      <c r="AP6" s="635"/>
      <c r="AQ6" s="407"/>
      <c r="AR6" s="406"/>
      <c r="AS6" s="420" t="s">
        <v>609</v>
      </c>
      <c r="AT6" s="421" t="s">
        <v>318</v>
      </c>
      <c r="AU6" s="467"/>
      <c r="AV6" s="467"/>
      <c r="AW6" s="467"/>
      <c r="AX6" s="467"/>
      <c r="AY6" s="467"/>
      <c r="AZ6" s="467"/>
      <c r="BA6" s="467"/>
      <c r="BB6" s="467"/>
      <c r="BD6" s="482" t="s">
        <v>609</v>
      </c>
      <c r="BE6" s="487" t="s">
        <v>36</v>
      </c>
      <c r="BF6" s="467"/>
      <c r="BG6" s="467"/>
      <c r="BH6" s="467"/>
      <c r="BI6" s="467"/>
      <c r="BJ6" s="467"/>
      <c r="BK6" s="467"/>
      <c r="BL6" s="467"/>
      <c r="BM6" s="467"/>
      <c r="BN6" s="627"/>
    </row>
    <row r="7" ht="18.75" customHeight="1">
      <c r="A7" s="663"/>
      <c r="B7" s="663"/>
      <c r="C7" s="663"/>
      <c r="D7" s="663"/>
      <c r="E7" s="663"/>
      <c r="F7" s="663"/>
      <c r="G7" s="663"/>
      <c r="H7" s="663"/>
      <c r="I7" s="663"/>
      <c r="J7" s="663"/>
      <c r="K7" s="663"/>
      <c r="L7" s="663"/>
      <c r="M7" s="663"/>
      <c r="N7" s="663"/>
      <c r="O7" s="663"/>
      <c r="P7" s="663"/>
      <c r="Q7" s="663"/>
      <c r="R7" s="651"/>
      <c r="S7" s="515"/>
      <c r="T7" s="516"/>
      <c r="U7" s="424"/>
      <c r="V7" s="424"/>
      <c r="W7" s="424"/>
      <c r="X7" s="425"/>
      <c r="Y7" s="425"/>
      <c r="Z7" s="417"/>
      <c r="AA7" s="417"/>
      <c r="AB7" s="405"/>
      <c r="AC7" s="407"/>
      <c r="AD7" s="406"/>
      <c r="AE7" s="407"/>
      <c r="AF7" s="407"/>
      <c r="AG7" s="407"/>
      <c r="AH7" s="407"/>
      <c r="AI7" s="407"/>
      <c r="AJ7" s="407"/>
      <c r="AK7" s="407"/>
      <c r="AL7" s="407"/>
      <c r="AM7" s="407"/>
      <c r="AN7" s="407"/>
      <c r="AO7" s="407"/>
      <c r="AP7" s="407"/>
      <c r="AQ7" s="407"/>
      <c r="AR7" s="406"/>
      <c r="AS7" s="422"/>
      <c r="AT7" s="423"/>
      <c r="AU7" s="468"/>
      <c r="AV7" s="468"/>
      <c r="AW7" s="468"/>
      <c r="AX7" s="483"/>
      <c r="AY7" s="483"/>
      <c r="AZ7" s="467"/>
      <c r="BA7" s="467"/>
      <c r="BB7" s="467"/>
      <c r="BD7" s="422"/>
      <c r="BE7" s="423"/>
      <c r="BF7" s="467"/>
      <c r="BG7" s="467"/>
      <c r="BH7" s="467"/>
      <c r="BI7" s="467"/>
      <c r="BJ7" s="467"/>
      <c r="BK7" s="467"/>
      <c r="BL7" s="467"/>
      <c r="BM7" s="467"/>
      <c r="BN7" s="627"/>
    </row>
    <row r="8" ht="55.5" customHeight="1">
      <c r="A8" s="407"/>
      <c r="B8" s="672"/>
      <c r="C8" s="672"/>
      <c r="D8" s="672"/>
      <c r="E8" s="407"/>
      <c r="F8" s="674"/>
      <c r="G8" s="674"/>
      <c r="H8" s="674"/>
      <c r="I8" s="663"/>
      <c r="J8" s="671"/>
      <c r="K8" s="671"/>
      <c r="L8" s="671"/>
      <c r="M8" s="663"/>
      <c r="N8" s="673"/>
      <c r="O8" s="673"/>
      <c r="P8" s="673"/>
      <c r="Q8" s="407"/>
      <c r="R8" s="651"/>
      <c r="S8" s="675"/>
      <c r="T8" s="675"/>
      <c r="U8" s="405"/>
      <c r="V8" s="405"/>
      <c r="W8" s="405"/>
      <c r="X8" s="426">
        <v>400</v>
      </c>
      <c r="Y8" s="405"/>
      <c r="Z8" s="405"/>
      <c r="AA8" s="405"/>
      <c r="AB8" s="405"/>
      <c r="AC8" s="407"/>
      <c r="AD8" s="406"/>
      <c r="AE8" s="407"/>
      <c r="AF8" s="407"/>
      <c r="AG8" s="407"/>
      <c r="AH8" s="407"/>
      <c r="AI8" s="461" t="s">
        <v>339</v>
      </c>
      <c r="AJ8" s="462" t="s">
        <v>295</v>
      </c>
      <c r="AK8" s="462">
        <v>2.5</v>
      </c>
      <c r="AL8" s="462" t="s">
        <v>318</v>
      </c>
      <c r="AM8" s="462" t="s">
        <v>309</v>
      </c>
      <c r="AN8" s="463" t="s">
        <v>340</v>
      </c>
      <c r="AO8" s="636"/>
      <c r="AP8" s="637"/>
      <c r="AQ8" s="407"/>
      <c r="AR8" s="406"/>
      <c r="AS8" s="431"/>
      <c r="AT8" s="431"/>
      <c r="AU8" s="467"/>
      <c r="AV8" s="467"/>
      <c r="AW8" s="467"/>
      <c r="AX8" s="467"/>
      <c r="AY8" s="467"/>
      <c r="AZ8" s="467"/>
      <c r="BA8" s="467"/>
      <c r="BB8" s="467"/>
      <c r="BD8" s="431"/>
      <c r="BE8" s="431"/>
      <c r="BF8" s="467"/>
      <c r="BG8" s="467"/>
      <c r="BH8" s="467"/>
      <c r="BI8" s="467"/>
      <c r="BJ8" s="467"/>
      <c r="BK8" s="467"/>
      <c r="BL8" s="467"/>
      <c r="BM8" s="467"/>
      <c r="BN8" s="627"/>
    </row>
    <row r="9" ht="55.5" customHeight="1">
      <c r="A9" s="407"/>
      <c r="B9" s="672"/>
      <c r="C9" s="672"/>
      <c r="D9" s="672"/>
      <c r="E9" s="407"/>
      <c r="F9" s="674"/>
      <c r="G9" s="674"/>
      <c r="H9" s="674"/>
      <c r="I9" s="663"/>
      <c r="J9" s="671"/>
      <c r="K9" s="671"/>
      <c r="L9" s="671"/>
      <c r="M9" s="663"/>
      <c r="N9" s="673"/>
      <c r="O9" s="673"/>
      <c r="P9" s="673"/>
      <c r="Q9" s="407"/>
      <c r="R9" s="651"/>
      <c r="S9" s="676"/>
      <c r="T9" s="676"/>
      <c r="U9" s="405"/>
      <c r="V9" s="405"/>
      <c r="W9" s="405"/>
      <c r="X9" s="405"/>
      <c r="Y9" s="405"/>
      <c r="Z9" s="405"/>
      <c r="AA9" s="405"/>
      <c r="AB9" s="405"/>
      <c r="AC9" s="407"/>
      <c r="AD9" s="406"/>
      <c r="AE9" s="407"/>
      <c r="AF9" s="407"/>
      <c r="AG9" s="407"/>
      <c r="AH9" s="407"/>
      <c r="AI9" s="407"/>
      <c r="AJ9" s="407"/>
      <c r="AK9" s="407"/>
      <c r="AL9" s="407"/>
      <c r="AM9" s="407"/>
      <c r="AN9" s="407"/>
      <c r="AO9" s="407"/>
      <c r="AP9" s="407"/>
      <c r="AQ9" s="407"/>
      <c r="AR9" s="406"/>
      <c r="AS9" s="415" t="s">
        <v>654</v>
      </c>
      <c r="AT9" s="416" t="s">
        <v>277</v>
      </c>
      <c r="AU9" s="467"/>
      <c r="AV9" s="467"/>
      <c r="AW9" s="467"/>
      <c r="AX9" s="467"/>
      <c r="AY9" s="467"/>
      <c r="AZ9" s="467"/>
      <c r="BA9" s="467"/>
      <c r="BB9" s="467"/>
      <c r="BD9" s="415" t="s">
        <v>654</v>
      </c>
      <c r="BE9" s="416" t="s">
        <v>277</v>
      </c>
      <c r="BF9" s="467"/>
      <c r="BG9" s="467"/>
      <c r="BH9" s="467"/>
      <c r="BI9" s="467"/>
      <c r="BJ9" s="467"/>
      <c r="BK9" s="467"/>
      <c r="BL9" s="467"/>
      <c r="BM9" s="467"/>
      <c r="BN9" s="627"/>
    </row>
    <row r="10" ht="55.5" customHeight="1">
      <c r="A10" s="407"/>
      <c r="B10" s="672"/>
      <c r="C10" s="672"/>
      <c r="D10" s="672"/>
      <c r="E10" s="407"/>
      <c r="F10" s="674"/>
      <c r="G10" s="674"/>
      <c r="H10" s="674"/>
      <c r="I10" s="663"/>
      <c r="J10" s="671"/>
      <c r="K10" s="671"/>
      <c r="L10" s="671"/>
      <c r="M10" s="663"/>
      <c r="N10" s="673"/>
      <c r="O10" s="673"/>
      <c r="P10" s="673"/>
      <c r="Q10" s="407"/>
      <c r="R10" s="651"/>
      <c r="S10" s="518" t="s">
        <v>655</v>
      </c>
      <c r="T10" s="416" t="s">
        <v>614</v>
      </c>
      <c r="U10" s="405"/>
      <c r="V10" s="427"/>
      <c r="W10" s="427"/>
      <c r="X10" s="427"/>
      <c r="Y10" s="427"/>
      <c r="Z10" s="427"/>
      <c r="AA10" s="426">
        <v>400</v>
      </c>
      <c r="AB10" s="405"/>
      <c r="AC10" s="407"/>
      <c r="AD10" s="406"/>
      <c r="AE10" s="638" t="s">
        <v>656</v>
      </c>
      <c r="AF10" s="638"/>
      <c r="AG10" s="638"/>
      <c r="AH10" s="638"/>
      <c r="AI10" s="638"/>
      <c r="AJ10" s="638"/>
      <c r="AK10" s="638"/>
      <c r="AL10" s="638"/>
      <c r="AM10" s="638"/>
      <c r="AN10" s="638"/>
      <c r="AO10" s="638"/>
      <c r="AP10" s="638"/>
      <c r="AQ10" s="638"/>
      <c r="AR10" s="406"/>
      <c r="AS10" s="415" t="s">
        <v>607</v>
      </c>
      <c r="AT10" s="416" t="s">
        <v>657</v>
      </c>
      <c r="AU10" s="467"/>
      <c r="AV10" s="469">
        <v>250</v>
      </c>
      <c r="AW10" s="470"/>
      <c r="AX10" s="470"/>
      <c r="AY10" s="470"/>
      <c r="AZ10" s="470"/>
      <c r="BA10" s="467"/>
      <c r="BB10" s="467"/>
      <c r="BD10" s="415" t="s">
        <v>607</v>
      </c>
      <c r="BE10" s="416" t="s">
        <v>657</v>
      </c>
      <c r="BF10" s="467"/>
      <c r="BG10" s="469">
        <v>500</v>
      </c>
      <c r="BH10" s="470"/>
      <c r="BI10" s="470"/>
      <c r="BJ10" s="470"/>
      <c r="BK10" s="470"/>
      <c r="BL10" s="467"/>
      <c r="BM10" s="467"/>
      <c r="BN10" s="627"/>
    </row>
    <row r="11" ht="18.75" customHeight="1">
      <c r="A11" s="407"/>
      <c r="B11" s="407"/>
      <c r="C11" s="407"/>
      <c r="D11" s="407"/>
      <c r="E11" s="407"/>
      <c r="F11" s="407"/>
      <c r="G11" s="407"/>
      <c r="H11" s="407"/>
      <c r="I11" s="407"/>
      <c r="J11" s="407"/>
      <c r="K11" s="407"/>
      <c r="L11" s="407"/>
      <c r="M11" s="407"/>
      <c r="N11" s="407"/>
      <c r="O11" s="407"/>
      <c r="P11" s="407"/>
      <c r="Q11" s="407"/>
      <c r="R11" s="651"/>
      <c r="S11" s="428"/>
      <c r="T11" s="429"/>
      <c r="U11" s="405"/>
      <c r="V11" s="427"/>
      <c r="W11" s="427"/>
      <c r="X11" s="427"/>
      <c r="Y11" s="427"/>
      <c r="Z11" s="427"/>
      <c r="AA11" s="427"/>
      <c r="AB11" s="405"/>
      <c r="AC11" s="407"/>
      <c r="AD11" s="406"/>
      <c r="AE11" s="590"/>
      <c r="AF11" s="590"/>
      <c r="AG11" s="590"/>
      <c r="AH11" s="590"/>
      <c r="AI11" s="590"/>
      <c r="AJ11" s="590"/>
      <c r="AK11" s="590"/>
      <c r="AL11" s="590"/>
      <c r="AM11" s="590"/>
      <c r="AN11" s="590"/>
      <c r="AO11" s="590"/>
      <c r="AP11" s="590"/>
      <c r="AQ11" s="590"/>
      <c r="AR11" s="406"/>
      <c r="AS11" s="428"/>
      <c r="AT11" s="429"/>
      <c r="AU11" s="467"/>
      <c r="AV11" s="470"/>
      <c r="AW11" s="470"/>
      <c r="AX11" s="470"/>
      <c r="AY11" s="470"/>
      <c r="AZ11" s="470"/>
      <c r="BA11" s="470"/>
      <c r="BB11" s="467"/>
      <c r="BD11" s="428"/>
      <c r="BE11" s="429"/>
      <c r="BF11" s="467"/>
      <c r="BG11" s="470"/>
      <c r="BH11" s="470"/>
      <c r="BI11" s="470"/>
      <c r="BJ11" s="470"/>
      <c r="BK11" s="470"/>
      <c r="BL11" s="470"/>
      <c r="BM11" s="467"/>
      <c r="BN11" s="627"/>
    </row>
    <row r="12" ht="42" customHeight="1" s="405" customFormat="1">
      <c r="A12" s="407"/>
      <c r="B12" s="671"/>
      <c r="C12" s="671"/>
      <c r="D12" s="671"/>
      <c r="E12" s="407"/>
      <c r="F12" s="678"/>
      <c r="G12" s="678"/>
      <c r="H12" s="678"/>
      <c r="I12" s="663"/>
      <c r="J12" s="671"/>
      <c r="K12" s="671"/>
      <c r="L12" s="671"/>
      <c r="M12" s="663"/>
      <c r="N12" s="677"/>
      <c r="O12" s="677"/>
      <c r="P12" s="677"/>
      <c r="Q12" s="407"/>
      <c r="R12" s="651"/>
      <c r="S12" s="519" t="s">
        <v>658</v>
      </c>
      <c r="T12" s="522"/>
      <c r="AC12" s="602"/>
      <c r="AD12" s="603"/>
      <c r="AE12" s="602"/>
      <c r="AF12" s="602"/>
      <c r="AG12" s="602"/>
      <c r="AH12" s="604"/>
      <c r="AI12" s="605"/>
      <c r="AJ12" s="605"/>
      <c r="AK12" s="605"/>
      <c r="AL12" s="602"/>
      <c r="AM12" s="602"/>
      <c r="AN12" s="602"/>
      <c r="AO12" s="602"/>
      <c r="AP12" s="602"/>
      <c r="AQ12" s="602"/>
      <c r="AR12" s="603"/>
      <c r="AS12" s="430" t="s">
        <v>658</v>
      </c>
      <c r="AT12" s="431"/>
      <c r="AU12" s="467"/>
      <c r="AV12" s="467"/>
      <c r="AW12" s="467"/>
      <c r="AX12" s="467"/>
      <c r="AY12" s="467"/>
      <c r="AZ12" s="467"/>
      <c r="BA12" s="469">
        <v>500</v>
      </c>
      <c r="BB12" s="467"/>
      <c r="BC12" s="406"/>
      <c r="BD12" s="484" t="s">
        <v>658</v>
      </c>
      <c r="BE12" s="488"/>
      <c r="BF12" s="467"/>
      <c r="BG12" s="467"/>
      <c r="BH12" s="467"/>
      <c r="BI12" s="467"/>
      <c r="BJ12" s="467"/>
      <c r="BK12" s="467"/>
      <c r="BL12" s="469">
        <v>700</v>
      </c>
      <c r="BM12" s="467"/>
      <c r="BN12" s="627"/>
    </row>
    <row r="13" ht="55.5" customHeight="1" s="405" customFormat="1">
      <c r="A13" s="407"/>
      <c r="B13" s="671"/>
      <c r="C13" s="671"/>
      <c r="D13" s="671"/>
      <c r="E13" s="407"/>
      <c r="F13" s="678"/>
      <c r="G13" s="678"/>
      <c r="H13" s="678"/>
      <c r="I13" s="663"/>
      <c r="J13" s="671"/>
      <c r="K13" s="671"/>
      <c r="L13" s="671"/>
      <c r="M13" s="663"/>
      <c r="N13" s="677"/>
      <c r="O13" s="677"/>
      <c r="P13" s="677"/>
      <c r="Q13" s="407"/>
      <c r="R13" s="651"/>
      <c r="S13" s="524" t="s">
        <v>659</v>
      </c>
      <c r="T13" s="488"/>
      <c r="AC13" s="407"/>
      <c r="AD13" s="406"/>
      <c r="AE13" s="407"/>
      <c r="AF13" s="640" t="s">
        <v>646</v>
      </c>
      <c r="AG13" s="639">
        <f>IF(AND(AJ18='شماسي كانتليفر'!K11,AK18=3),'شماسي كانتليفر'!I1,IF(AND(تسعير!AJ18='شماسي كانتليفر'!P1,تسعير!AK18=3),'شماسي كانتليفر'!V23,IF(AND(تسعير!AJ18='شماسي كانتليفر'!P1,تسعير!AK18=2.5),'شماسي كانتليفر'!W23,0)))</f>
        <v>13740.738750000002</v>
      </c>
      <c r="AH13" s="639"/>
      <c r="AI13" s="414"/>
      <c r="AJ13" s="414"/>
      <c r="AK13" s="414"/>
      <c r="AL13" s="407"/>
      <c r="AM13" s="407"/>
      <c r="AN13" s="407"/>
      <c r="AO13" s="407"/>
      <c r="AP13" s="407"/>
      <c r="AQ13" s="407"/>
      <c r="AR13" s="406"/>
      <c r="AS13" s="430" t="s">
        <v>659</v>
      </c>
      <c r="AT13" s="430"/>
      <c r="AU13" s="467"/>
      <c r="AV13" s="467"/>
      <c r="AW13" s="467"/>
      <c r="AX13" s="467"/>
      <c r="AY13" s="467"/>
      <c r="AZ13" s="467"/>
      <c r="BA13" s="467" t="s">
        <v>660</v>
      </c>
      <c r="BB13" s="467"/>
      <c r="BC13" s="406"/>
      <c r="BD13" s="484" t="s">
        <v>659</v>
      </c>
      <c r="BE13" s="484"/>
      <c r="BF13" s="467"/>
      <c r="BG13" s="467"/>
      <c r="BH13" s="467"/>
      <c r="BI13" s="467"/>
      <c r="BJ13" s="467"/>
      <c r="BK13" s="467"/>
      <c r="BL13" s="467"/>
      <c r="BM13" s="467"/>
      <c r="BN13" s="627"/>
    </row>
    <row r="14" ht="55.5" customHeight="1" s="405" customFormat="1">
      <c r="A14" s="407"/>
      <c r="B14" s="671"/>
      <c r="C14" s="671"/>
      <c r="D14" s="671"/>
      <c r="E14" s="407"/>
      <c r="F14" s="678"/>
      <c r="G14" s="678"/>
      <c r="H14" s="678"/>
      <c r="I14" s="663"/>
      <c r="J14" s="671"/>
      <c r="K14" s="671"/>
      <c r="L14" s="671"/>
      <c r="M14" s="663"/>
      <c r="N14" s="677"/>
      <c r="O14" s="677"/>
      <c r="P14" s="677"/>
      <c r="Q14" s="407"/>
      <c r="R14" s="651"/>
      <c r="S14" s="525" t="s">
        <v>661</v>
      </c>
      <c r="T14" s="523"/>
      <c r="U14" s="489" t="s">
        <v>616</v>
      </c>
      <c r="V14" s="632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633"/>
      <c r="X14" s="633"/>
      <c r="Y14" s="633"/>
      <c r="Z14" s="633"/>
      <c r="AA14" s="633"/>
      <c r="AB14" s="633"/>
      <c r="AC14" s="633"/>
      <c r="AD14" s="406"/>
      <c r="AE14" s="407"/>
      <c r="AF14" s="640"/>
      <c r="AG14" s="639"/>
      <c r="AH14" s="639"/>
      <c r="AI14" s="407"/>
      <c r="AJ14" s="407"/>
      <c r="AK14" s="407"/>
      <c r="AL14" s="407"/>
      <c r="AM14" s="407"/>
      <c r="AN14" s="407"/>
      <c r="AO14" s="407"/>
      <c r="AP14" s="407"/>
      <c r="AQ14" s="407"/>
      <c r="AR14" s="406"/>
      <c r="AS14" s="430" t="s">
        <v>661</v>
      </c>
      <c r="AT14" s="430"/>
      <c r="AU14" s="426" t="s">
        <v>616</v>
      </c>
      <c r="AV14" s="632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633"/>
      <c r="AX14" s="633"/>
      <c r="AY14" s="633"/>
      <c r="AZ14" s="633"/>
      <c r="BA14" s="633"/>
      <c r="BB14" s="633"/>
      <c r="BC14" s="406"/>
      <c r="BD14" s="484" t="s">
        <v>661</v>
      </c>
      <c r="BE14" s="484"/>
      <c r="BF14" s="489" t="s">
        <v>613</v>
      </c>
      <c r="BG14" s="632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633"/>
      <c r="BI14" s="633"/>
      <c r="BJ14" s="633"/>
      <c r="BK14" s="633"/>
      <c r="BL14" s="633"/>
      <c r="BM14" s="633"/>
      <c r="BN14" s="529"/>
    </row>
    <row r="15" ht="18.75" customHeight="1" s="405" customFormat="1">
      <c r="A15" s="407"/>
      <c r="B15" s="663"/>
      <c r="C15" s="663"/>
      <c r="D15" s="663"/>
      <c r="E15" s="663"/>
      <c r="F15" s="663"/>
      <c r="G15" s="663"/>
      <c r="H15" s="663"/>
      <c r="I15" s="663"/>
      <c r="J15" s="663"/>
      <c r="K15" s="663"/>
      <c r="L15" s="663"/>
      <c r="M15" s="663"/>
      <c r="N15" s="663"/>
      <c r="O15" s="663"/>
      <c r="P15" s="663"/>
      <c r="Q15" s="407"/>
      <c r="R15" s="651"/>
      <c r="S15" s="407"/>
      <c r="T15" s="407"/>
      <c r="U15" s="407"/>
      <c r="V15" s="407"/>
      <c r="W15" s="407"/>
      <c r="X15" s="407"/>
      <c r="Y15" s="407"/>
      <c r="Z15" s="407"/>
      <c r="AA15" s="407"/>
      <c r="AB15" s="407"/>
      <c r="AC15" s="407"/>
      <c r="AD15" s="406"/>
      <c r="AE15" s="407"/>
      <c r="AF15" s="407"/>
      <c r="AG15" s="407"/>
      <c r="AH15" s="407"/>
      <c r="AI15" s="407"/>
      <c r="AJ15" s="457"/>
      <c r="AK15" s="457"/>
      <c r="AL15" s="407"/>
      <c r="AM15" s="407"/>
      <c r="AN15" s="407"/>
      <c r="AO15" s="407"/>
      <c r="AP15" s="407"/>
      <c r="AQ15" s="407"/>
      <c r="AR15" s="406"/>
      <c r="AS15" s="407"/>
      <c r="AT15" s="407"/>
      <c r="AU15" s="407"/>
      <c r="AV15" s="407"/>
      <c r="AW15" s="407"/>
      <c r="AX15" s="407"/>
      <c r="AY15" s="407"/>
      <c r="AZ15" s="407"/>
      <c r="BA15" s="407"/>
      <c r="BB15" s="407"/>
      <c r="BC15" s="406"/>
      <c r="BD15" s="407"/>
      <c r="BE15" s="407"/>
      <c r="BF15" s="407"/>
      <c r="BG15" s="407"/>
      <c r="BH15" s="407"/>
      <c r="BI15" s="407"/>
      <c r="BJ15" s="407"/>
      <c r="BK15" s="407"/>
      <c r="BL15" s="407"/>
      <c r="BM15" s="407"/>
      <c r="BN15" s="407"/>
    </row>
    <row r="16" ht="39.75" customHeight="1" s="405" customFormat="1">
      <c r="A16" s="663"/>
      <c r="B16" s="663"/>
      <c r="C16" s="663"/>
      <c r="D16" s="663"/>
      <c r="E16" s="663"/>
      <c r="F16" s="663"/>
      <c r="G16" s="663"/>
      <c r="H16" s="663"/>
      <c r="I16" s="663"/>
      <c r="J16" s="663"/>
      <c r="K16" s="663"/>
      <c r="L16" s="663"/>
      <c r="M16" s="663"/>
      <c r="N16" s="663"/>
      <c r="O16" s="663"/>
      <c r="P16" s="663"/>
      <c r="Q16" s="663"/>
      <c r="R16" s="651"/>
      <c r="S16" s="407"/>
      <c r="T16" s="407"/>
      <c r="U16" s="407"/>
      <c r="V16" s="407"/>
      <c r="W16" s="407"/>
      <c r="X16" s="407"/>
      <c r="Y16" s="407"/>
      <c r="Z16" s="407"/>
      <c r="AA16" s="407"/>
      <c r="AB16" s="407"/>
      <c r="AC16" s="407"/>
      <c r="AD16" s="406"/>
      <c r="AE16" s="407"/>
      <c r="AF16" s="407"/>
      <c r="AG16" s="407"/>
      <c r="AH16" s="407"/>
      <c r="AI16" s="458" t="s">
        <v>648</v>
      </c>
      <c r="AJ16" s="458" t="s">
        <v>649</v>
      </c>
      <c r="AK16" s="459" t="s">
        <v>650</v>
      </c>
      <c r="AL16" s="458" t="s">
        <v>376</v>
      </c>
      <c r="AM16" s="458" t="s">
        <v>651</v>
      </c>
      <c r="AN16" s="460" t="s">
        <v>652</v>
      </c>
      <c r="AO16" s="634" t="s">
        <v>653</v>
      </c>
      <c r="AP16" s="635"/>
      <c r="AQ16" s="407"/>
      <c r="AR16" s="406"/>
      <c r="AS16" s="407"/>
      <c r="AT16" s="407"/>
      <c r="AU16" s="407"/>
      <c r="AV16" s="407"/>
      <c r="AW16" s="407"/>
      <c r="AX16" s="407"/>
      <c r="AY16" s="407"/>
      <c r="AZ16" s="407"/>
      <c r="BA16" s="407"/>
      <c r="BB16" s="407"/>
      <c r="BC16" s="406"/>
      <c r="BD16" s="407"/>
      <c r="BE16" s="407"/>
      <c r="BF16" s="407"/>
      <c r="BG16" s="407"/>
      <c r="BH16" s="407"/>
      <c r="BI16" s="407"/>
      <c r="BJ16" s="407"/>
      <c r="BK16" s="407"/>
      <c r="BL16" s="407"/>
      <c r="BM16" s="407"/>
      <c r="BN16" s="407"/>
    </row>
    <row r="17" ht="39.75" customHeight="1" s="405" customFormat="1">
      <c r="A17" s="663"/>
      <c r="B17" s="663"/>
      <c r="C17" s="663"/>
      <c r="D17" s="663"/>
      <c r="E17" s="663"/>
      <c r="F17" s="663"/>
      <c r="G17" s="663"/>
      <c r="H17" s="663"/>
      <c r="I17" s="663"/>
      <c r="J17" s="663"/>
      <c r="K17" s="663"/>
      <c r="L17" s="663"/>
      <c r="M17" s="663"/>
      <c r="N17" s="663"/>
      <c r="O17" s="663"/>
      <c r="P17" s="663"/>
      <c r="Q17" s="663"/>
      <c r="R17" s="651"/>
      <c r="S17" s="407"/>
      <c r="T17" s="407"/>
      <c r="U17" s="407"/>
      <c r="V17" s="407"/>
      <c r="W17" s="407"/>
      <c r="X17" s="407"/>
      <c r="Y17" s="407"/>
      <c r="Z17" s="407"/>
      <c r="AA17" s="407"/>
      <c r="AB17" s="407"/>
      <c r="AC17" s="407"/>
      <c r="AD17" s="406"/>
      <c r="AE17" s="407"/>
      <c r="AF17" s="407"/>
      <c r="AG17" s="407"/>
      <c r="AH17" s="407"/>
      <c r="AI17" s="407"/>
      <c r="AJ17" s="407"/>
      <c r="AK17" s="407"/>
      <c r="AL17" s="407"/>
      <c r="AM17" s="407"/>
      <c r="AN17" s="407"/>
      <c r="AO17" s="407"/>
      <c r="AP17" s="407"/>
      <c r="AQ17" s="407"/>
      <c r="AR17" s="406"/>
      <c r="AS17" s="407"/>
      <c r="AT17" s="407"/>
      <c r="AU17" s="407"/>
      <c r="AV17" s="407"/>
      <c r="AW17" s="407"/>
      <c r="AX17" s="407"/>
      <c r="AY17" s="407"/>
      <c r="AZ17" s="407"/>
      <c r="BA17" s="407"/>
      <c r="BB17" s="407"/>
      <c r="BC17" s="406"/>
      <c r="BD17" s="407"/>
      <c r="BE17" s="407"/>
      <c r="BF17" s="407"/>
      <c r="BG17" s="407"/>
      <c r="BH17" s="407"/>
      <c r="BI17" s="407"/>
      <c r="BJ17" s="407"/>
      <c r="BK17" s="407"/>
      <c r="BL17" s="407"/>
      <c r="BM17" s="407"/>
      <c r="BN17" s="407"/>
    </row>
    <row r="18" ht="39.75" customHeight="1" s="405" customFormat="1">
      <c r="A18" s="663"/>
      <c r="B18" s="663"/>
      <c r="C18" s="663"/>
      <c r="D18" s="663"/>
      <c r="E18" s="663"/>
      <c r="F18" s="663"/>
      <c r="G18" s="663"/>
      <c r="H18" s="663"/>
      <c r="I18" s="663"/>
      <c r="J18" s="663"/>
      <c r="K18" s="663"/>
      <c r="L18" s="663"/>
      <c r="M18" s="663"/>
      <c r="N18" s="663"/>
      <c r="O18" s="663"/>
      <c r="P18" s="663"/>
      <c r="Q18" s="663"/>
      <c r="R18" s="651"/>
      <c r="S18" s="407"/>
      <c r="T18" s="407"/>
      <c r="U18" s="407"/>
      <c r="V18" s="407"/>
      <c r="W18" s="407"/>
      <c r="X18" s="407"/>
      <c r="Y18" s="407"/>
      <c r="Z18" s="407"/>
      <c r="AA18" s="407"/>
      <c r="AB18" s="407"/>
      <c r="AC18" s="407"/>
      <c r="AD18" s="406"/>
      <c r="AE18" s="407"/>
      <c r="AF18" s="407"/>
      <c r="AG18" s="407"/>
      <c r="AH18" s="407"/>
      <c r="AI18" s="461" t="s">
        <v>339</v>
      </c>
      <c r="AJ18" s="462" t="s">
        <v>5</v>
      </c>
      <c r="AK18" s="462">
        <v>2.5</v>
      </c>
      <c r="AL18" s="462" t="s">
        <v>318</v>
      </c>
      <c r="AM18" s="462" t="s">
        <v>39</v>
      </c>
      <c r="AN18" s="463" t="s">
        <v>340</v>
      </c>
      <c r="AO18" s="636"/>
      <c r="AP18" s="637"/>
      <c r="AQ18" s="407"/>
      <c r="AR18" s="406"/>
      <c r="AS18" s="407"/>
      <c r="AT18" s="407"/>
      <c r="AU18" s="407"/>
      <c r="AV18" s="407"/>
      <c r="AW18" s="407"/>
      <c r="AX18" s="407"/>
      <c r="AY18" s="407"/>
      <c r="AZ18" s="407"/>
      <c r="BA18" s="407"/>
      <c r="BB18" s="407"/>
      <c r="BC18" s="406"/>
      <c r="BD18" s="407"/>
      <c r="BE18" s="407"/>
      <c r="BF18" s="407"/>
      <c r="BG18" s="407"/>
      <c r="BH18" s="407"/>
      <c r="BI18" s="407"/>
      <c r="BJ18" s="407"/>
      <c r="BK18" s="407"/>
      <c r="BL18" s="407"/>
      <c r="BM18" s="407"/>
      <c r="BN18" s="407"/>
    </row>
    <row r="19" ht="39.75" customHeight="1" s="405" customFormat="1">
      <c r="A19" s="663"/>
      <c r="B19" s="663"/>
      <c r="C19" s="663"/>
      <c r="D19" s="663"/>
      <c r="E19" s="663"/>
      <c r="F19" s="663"/>
      <c r="G19" s="663"/>
      <c r="H19" s="663"/>
      <c r="I19" s="663"/>
      <c r="J19" s="663"/>
      <c r="K19" s="663"/>
      <c r="L19" s="663"/>
      <c r="M19" s="663"/>
      <c r="N19" s="663"/>
      <c r="O19" s="663"/>
      <c r="P19" s="663"/>
      <c r="Q19" s="663"/>
      <c r="R19" s="651"/>
      <c r="S19" s="407"/>
      <c r="T19" s="407"/>
      <c r="U19" s="407"/>
      <c r="V19" s="407"/>
      <c r="W19" s="407"/>
      <c r="X19" s="407"/>
      <c r="Y19" s="407"/>
      <c r="Z19" s="407"/>
      <c r="AA19" s="407"/>
      <c r="AB19" s="407"/>
      <c r="AC19" s="407"/>
      <c r="AD19" s="406"/>
      <c r="AE19" s="407"/>
      <c r="AF19" s="407"/>
      <c r="AG19" s="407"/>
      <c r="AH19" s="407"/>
      <c r="AI19" s="407"/>
      <c r="AJ19" s="407"/>
      <c r="AK19" s="407"/>
      <c r="AL19" s="407"/>
      <c r="AM19" s="407"/>
      <c r="AN19" s="407"/>
      <c r="AO19" s="407"/>
      <c r="AP19" s="407"/>
      <c r="AQ19" s="407"/>
      <c r="AR19" s="406"/>
      <c r="AS19" s="407"/>
      <c r="AT19" s="407"/>
      <c r="AU19" s="407"/>
      <c r="AV19" s="407"/>
      <c r="AW19" s="407"/>
      <c r="AX19" s="407"/>
      <c r="AY19" s="407"/>
      <c r="AZ19" s="407"/>
      <c r="BA19" s="407"/>
      <c r="BB19" s="407"/>
      <c r="BC19" s="406"/>
      <c r="BD19" s="407"/>
      <c r="BE19" s="407"/>
      <c r="BF19" s="407"/>
      <c r="BG19" s="407"/>
      <c r="BH19" s="407"/>
      <c r="BI19" s="407"/>
      <c r="BJ19" s="407"/>
      <c r="BK19" s="407"/>
      <c r="BL19" s="407"/>
      <c r="BM19" s="407"/>
      <c r="BN19" s="407"/>
    </row>
    <row r="20" ht="39.75" customHeight="1" s="405" customFormat="1">
      <c r="A20" s="663"/>
      <c r="B20" s="663"/>
      <c r="C20" s="663"/>
      <c r="D20" s="663"/>
      <c r="E20" s="663"/>
      <c r="F20" s="663"/>
      <c r="G20" s="663"/>
      <c r="H20" s="663"/>
      <c r="I20" s="663"/>
      <c r="J20" s="663"/>
      <c r="K20" s="663"/>
      <c r="L20" s="663"/>
      <c r="M20" s="663"/>
      <c r="N20" s="663"/>
      <c r="O20" s="663"/>
      <c r="P20" s="663"/>
      <c r="Q20" s="663"/>
      <c r="R20" s="651"/>
      <c r="S20" s="407"/>
      <c r="T20" s="407"/>
      <c r="U20" s="407"/>
      <c r="V20" s="407"/>
      <c r="W20" s="407"/>
      <c r="X20" s="407"/>
      <c r="Y20" s="407"/>
      <c r="Z20" s="407"/>
      <c r="AA20" s="407"/>
      <c r="AB20" s="407"/>
      <c r="AC20" s="407"/>
      <c r="AD20" s="406"/>
      <c r="AE20" s="638" t="s">
        <v>662</v>
      </c>
      <c r="AF20" s="638"/>
      <c r="AG20" s="638"/>
      <c r="AH20" s="638"/>
      <c r="AI20" s="638"/>
      <c r="AJ20" s="638"/>
      <c r="AK20" s="638"/>
      <c r="AL20" s="638"/>
      <c r="AM20" s="638"/>
      <c r="AN20" s="638"/>
      <c r="AO20" s="638"/>
      <c r="AP20" s="638"/>
      <c r="AQ20" s="638"/>
      <c r="AR20" s="406"/>
      <c r="AS20" s="407"/>
      <c r="AT20" s="407"/>
      <c r="AU20" s="407"/>
      <c r="AV20" s="407"/>
      <c r="AW20" s="407"/>
      <c r="AX20" s="407"/>
      <c r="AY20" s="407"/>
      <c r="AZ20" s="407"/>
      <c r="BA20" s="407"/>
      <c r="BB20" s="407"/>
      <c r="BC20" s="406"/>
      <c r="BD20" s="407"/>
      <c r="BE20" s="407"/>
      <c r="BF20" s="407"/>
      <c r="BG20" s="407"/>
      <c r="BH20" s="407"/>
      <c r="BI20" s="407"/>
      <c r="BJ20" s="407"/>
      <c r="BK20" s="407"/>
      <c r="BL20" s="407"/>
      <c r="BM20" s="407"/>
      <c r="BN20" s="407"/>
    </row>
    <row r="21" ht="39.75" customHeight="1" s="405" customFormat="1">
      <c r="A21" s="662"/>
      <c r="B21" s="662"/>
      <c r="C21" s="662"/>
      <c r="D21" s="662"/>
      <c r="E21" s="662"/>
      <c r="F21" s="662"/>
      <c r="G21" s="662"/>
      <c r="H21" s="662"/>
      <c r="I21" s="662"/>
      <c r="J21" s="662"/>
      <c r="K21" s="662"/>
      <c r="L21" s="662"/>
      <c r="M21" s="662"/>
      <c r="N21" s="662"/>
      <c r="O21" s="662"/>
      <c r="P21" s="662"/>
      <c r="Q21" s="662"/>
      <c r="R21" s="651"/>
      <c r="S21" s="649" t="s">
        <v>663</v>
      </c>
      <c r="T21" s="650"/>
      <c r="U21" s="407"/>
      <c r="V21" s="407"/>
      <c r="W21" s="407"/>
      <c r="X21" s="407"/>
      <c r="Y21" s="407"/>
      <c r="Z21" s="407"/>
      <c r="AA21" s="407"/>
      <c r="AB21" s="407"/>
      <c r="AC21" s="407"/>
      <c r="AD21" s="406"/>
      <c r="AE21" s="638"/>
      <c r="AF21" s="638"/>
      <c r="AG21" s="638"/>
      <c r="AH21" s="638"/>
      <c r="AI21" s="638"/>
      <c r="AJ21" s="638"/>
      <c r="AK21" s="638"/>
      <c r="AL21" s="638"/>
      <c r="AM21" s="638"/>
      <c r="AN21" s="638"/>
      <c r="AO21" s="638"/>
      <c r="AP21" s="638"/>
      <c r="AQ21" s="638"/>
      <c r="AR21" s="406"/>
      <c r="AS21" s="408" t="s">
        <v>664</v>
      </c>
      <c r="AT21" s="408"/>
      <c r="AU21" s="471"/>
      <c r="AW21" s="477"/>
      <c r="BC21" s="406"/>
      <c r="BD21" s="408" t="s">
        <v>665</v>
      </c>
      <c r="BE21" s="408"/>
      <c r="BF21" s="471"/>
      <c r="BH21" s="477"/>
      <c r="BN21" s="407"/>
    </row>
    <row r="22" ht="39.75" customHeight="1" s="405" customFormat="1">
      <c r="A22" s="662"/>
      <c r="B22" s="662"/>
      <c r="C22" s="662"/>
      <c r="D22" s="662"/>
      <c r="E22" s="662"/>
      <c r="F22" s="662"/>
      <c r="G22" s="662"/>
      <c r="H22" s="662"/>
      <c r="I22" s="662"/>
      <c r="J22" s="662"/>
      <c r="K22" s="662"/>
      <c r="L22" s="662"/>
      <c r="M22" s="662"/>
      <c r="N22" s="662"/>
      <c r="O22" s="662"/>
      <c r="P22" s="662"/>
      <c r="Q22" s="662"/>
      <c r="R22" s="651"/>
      <c r="S22" s="434" t="s">
        <v>646</v>
      </c>
      <c r="T22" s="435">
        <f>Royal2!G86</f>
        <v>208462.49983528923</v>
      </c>
      <c r="U22" s="407"/>
      <c r="V22" s="407"/>
      <c r="W22" s="407"/>
      <c r="X22" s="407"/>
      <c r="Y22" s="407"/>
      <c r="Z22" s="407"/>
      <c r="AA22" s="407"/>
      <c r="AB22" s="407"/>
      <c r="AC22" s="407"/>
      <c r="AD22" s="603"/>
      <c r="AE22" s="602"/>
      <c r="AF22" s="602"/>
      <c r="AG22" s="602"/>
      <c r="AH22" s="606"/>
      <c r="AI22" s="602"/>
      <c r="AJ22" s="602"/>
      <c r="AK22" s="602"/>
      <c r="AL22" s="602"/>
      <c r="AM22" s="602"/>
      <c r="AN22" s="602"/>
      <c r="AO22" s="602"/>
      <c r="AP22" s="602"/>
      <c r="AQ22" s="602"/>
      <c r="AR22" s="603"/>
      <c r="AS22" s="464" t="s">
        <v>646</v>
      </c>
      <c r="AT22" s="465">
        <f>'بيرسا و لوفرز'!R69</f>
        <v>353289</v>
      </c>
      <c r="AU22" s="472"/>
      <c r="BC22" s="406"/>
      <c r="BD22" s="464" t="s">
        <v>646</v>
      </c>
      <c r="BE22" s="465">
        <f>'بيرسا و لوفرز'!R140</f>
        <v>230906.83849999998</v>
      </c>
      <c r="BF22" s="472"/>
      <c r="BN22" s="407"/>
    </row>
    <row r="23" ht="39.75" customHeight="1" s="405" customFormat="1">
      <c r="A23" s="662"/>
      <c r="B23" s="662"/>
      <c r="C23" s="662"/>
      <c r="D23" s="662"/>
      <c r="E23" s="662"/>
      <c r="F23" s="662"/>
      <c r="G23" s="662"/>
      <c r="H23" s="662"/>
      <c r="I23" s="662"/>
      <c r="J23" s="662"/>
      <c r="K23" s="662"/>
      <c r="L23" s="662"/>
      <c r="M23" s="662"/>
      <c r="N23" s="662"/>
      <c r="O23" s="662"/>
      <c r="P23" s="662"/>
      <c r="Q23" s="662"/>
      <c r="R23" s="651"/>
      <c r="S23" s="436" t="s">
        <v>215</v>
      </c>
      <c r="T23" s="435">
        <f>T22/(AA33*X31)*10000</f>
        <v>13028.906239705577</v>
      </c>
      <c r="U23" s="407"/>
      <c r="V23" s="407"/>
      <c r="W23" s="407"/>
      <c r="X23" s="407"/>
      <c r="Y23" s="407"/>
      <c r="Z23" s="407"/>
      <c r="AA23" s="407"/>
      <c r="AB23" s="407"/>
      <c r="AC23" s="407"/>
      <c r="AD23" s="406"/>
      <c r="AE23" s="652" t="s">
        <v>646</v>
      </c>
      <c r="AF23" s="652"/>
      <c r="AG23" s="679">
        <f>'شماسي و كانتليفر'!AE12</f>
        <v>25920.7</v>
      </c>
      <c r="AH23" s="679"/>
      <c r="AI23" s="414"/>
      <c r="AJ23" s="414"/>
      <c r="AK23" s="407"/>
      <c r="AL23" s="407"/>
      <c r="AM23" s="407"/>
      <c r="AN23" s="407"/>
      <c r="AO23" s="407"/>
      <c r="AP23" s="407"/>
      <c r="AQ23" s="407"/>
      <c r="AR23" s="406"/>
      <c r="AS23" s="464" t="s">
        <v>215</v>
      </c>
      <c r="AT23" s="466">
        <f>AT22/(AT33*AT34/10000)</f>
        <v>17318.088235294119</v>
      </c>
      <c r="AU23" s="472"/>
      <c r="AV23" s="473"/>
      <c r="BC23" s="406"/>
      <c r="BD23" s="464" t="s">
        <v>215</v>
      </c>
      <c r="BE23" s="466">
        <f>BE22/(BE33*BE34/10000)</f>
        <v>26725.328530092589</v>
      </c>
      <c r="BF23" s="472"/>
      <c r="BG23" s="473"/>
      <c r="BN23" s="407"/>
    </row>
    <row r="24" ht="39.75" customHeight="1" s="405" customFormat="1">
      <c r="A24" s="662"/>
      <c r="B24" s="662"/>
      <c r="C24" s="662"/>
      <c r="D24" s="662"/>
      <c r="E24" s="662"/>
      <c r="F24" s="662"/>
      <c r="G24" s="662"/>
      <c r="H24" s="662"/>
      <c r="I24" s="662"/>
      <c r="J24" s="662"/>
      <c r="K24" s="662"/>
      <c r="L24" s="662"/>
      <c r="M24" s="662"/>
      <c r="N24" s="662"/>
      <c r="O24" s="662"/>
      <c r="P24" s="662"/>
      <c r="Q24" s="662"/>
      <c r="R24" s="651"/>
      <c r="S24" s="432" t="s">
        <v>647</v>
      </c>
      <c r="T24" s="433" t="s">
        <v>114</v>
      </c>
      <c r="U24" s="417"/>
      <c r="V24" s="417"/>
      <c r="W24" s="417"/>
      <c r="X24" s="417"/>
      <c r="Y24" s="417"/>
      <c r="Z24" s="417"/>
      <c r="AA24" s="417"/>
      <c r="AB24" s="417"/>
      <c r="AC24" s="417"/>
      <c r="AD24" s="406"/>
      <c r="AE24" s="652"/>
      <c r="AF24" s="652"/>
      <c r="AG24" s="679"/>
      <c r="AH24" s="679"/>
      <c r="AI24" s="414"/>
      <c r="AJ24" s="414"/>
      <c r="AK24" s="407"/>
      <c r="AL24" s="407"/>
      <c r="AM24" s="407"/>
      <c r="AN24" s="407"/>
      <c r="AO24" s="407"/>
      <c r="AP24" s="407"/>
      <c r="AQ24" s="407"/>
      <c r="AR24" s="406"/>
      <c r="AS24" s="418" t="s">
        <v>647</v>
      </c>
      <c r="AT24" s="416" t="s">
        <v>109</v>
      </c>
      <c r="BC24" s="406"/>
      <c r="BD24" s="418" t="s">
        <v>647</v>
      </c>
      <c r="BE24" s="416" t="s">
        <v>114</v>
      </c>
      <c r="BN24" s="407"/>
    </row>
    <row r="25" ht="39.75" customHeight="1">
      <c r="A25" s="662"/>
      <c r="B25" s="662"/>
      <c r="C25" s="662"/>
      <c r="D25" s="662"/>
      <c r="E25" s="662"/>
      <c r="F25" s="662"/>
      <c r="G25" s="662"/>
      <c r="H25" s="662"/>
      <c r="I25" s="662"/>
      <c r="J25" s="662"/>
      <c r="K25" s="662"/>
      <c r="L25" s="662"/>
      <c r="M25" s="662"/>
      <c r="N25" s="662"/>
      <c r="O25" s="662"/>
      <c r="P25" s="662"/>
      <c r="Q25" s="662"/>
      <c r="R25" s="651"/>
      <c r="S25" s="437" t="s">
        <v>608</v>
      </c>
      <c r="T25" s="438" t="s">
        <v>612</v>
      </c>
      <c r="U25" s="417"/>
      <c r="V25" s="417"/>
      <c r="W25" s="417"/>
      <c r="X25" s="417"/>
      <c r="Y25" s="417"/>
      <c r="Z25" s="417"/>
      <c r="AA25" s="417"/>
      <c r="AB25" s="417"/>
      <c r="AC25" s="417"/>
      <c r="AD25" s="406"/>
      <c r="AE25" s="453"/>
      <c r="AF25" s="454"/>
      <c r="AG25" s="454"/>
      <c r="AH25" s="414"/>
      <c r="AI25" s="414"/>
      <c r="AJ25" s="414"/>
      <c r="AK25" s="407"/>
      <c r="AL25" s="407"/>
      <c r="AM25" s="407"/>
      <c r="AN25" s="407"/>
      <c r="AO25" s="407"/>
      <c r="AP25" s="407"/>
      <c r="AQ25" s="407"/>
      <c r="AR25" s="406"/>
      <c r="AS25" s="418" t="s">
        <v>608</v>
      </c>
      <c r="AT25" s="419" t="s">
        <v>612</v>
      </c>
      <c r="AW25" s="485">
        <f>AT34</f>
        <v>510</v>
      </c>
      <c r="BD25" s="418" t="s">
        <v>608</v>
      </c>
      <c r="BE25" s="419" t="s">
        <v>615</v>
      </c>
      <c r="BH25" s="485">
        <f>BE34</f>
        <v>270</v>
      </c>
      <c r="BN25" s="407"/>
    </row>
    <row r="26" ht="39.75" customHeight="1">
      <c r="A26" s="662"/>
      <c r="B26" s="662"/>
      <c r="C26" s="662"/>
      <c r="D26" s="662"/>
      <c r="E26" s="662"/>
      <c r="F26" s="662"/>
      <c r="G26" s="662"/>
      <c r="H26" s="662"/>
      <c r="I26" s="662"/>
      <c r="J26" s="662"/>
      <c r="K26" s="662"/>
      <c r="L26" s="662"/>
      <c r="M26" s="662"/>
      <c r="N26" s="662"/>
      <c r="O26" s="662"/>
      <c r="P26" s="662"/>
      <c r="Q26" s="662"/>
      <c r="R26" s="651"/>
      <c r="S26" s="432" t="s">
        <v>609</v>
      </c>
      <c r="T26" s="439" t="s">
        <v>318</v>
      </c>
      <c r="U26" s="417"/>
      <c r="V26" s="417"/>
      <c r="W26" s="417"/>
      <c r="X26" s="417"/>
      <c r="Y26" s="417"/>
      <c r="Z26" s="417"/>
      <c r="AA26" s="417"/>
      <c r="AB26" s="417"/>
      <c r="AC26" s="417"/>
      <c r="AD26" s="406"/>
      <c r="AE26" s="407"/>
      <c r="AF26" s="407"/>
      <c r="AG26" s="653" t="s">
        <v>648</v>
      </c>
      <c r="AH26" s="657" t="s">
        <v>288</v>
      </c>
      <c r="AI26" s="653" t="s">
        <v>376</v>
      </c>
      <c r="AJ26" s="653" t="s">
        <v>651</v>
      </c>
      <c r="AK26" s="653" t="s">
        <v>652</v>
      </c>
      <c r="AL26" s="666" t="s">
        <v>653</v>
      </c>
      <c r="AM26" s="666"/>
      <c r="AN26" s="407"/>
      <c r="AO26" s="407"/>
      <c r="AP26" s="407"/>
      <c r="AQ26" s="407"/>
      <c r="AR26" s="406"/>
      <c r="AS26" s="420" t="s">
        <v>609</v>
      </c>
      <c r="AT26" s="421" t="s">
        <v>36</v>
      </c>
      <c r="BD26" s="420" t="s">
        <v>609</v>
      </c>
      <c r="BE26" s="421" t="s">
        <v>318</v>
      </c>
      <c r="BN26" s="407"/>
    </row>
    <row r="27" ht="39.75" customHeight="1">
      <c r="A27" s="662"/>
      <c r="B27" s="662"/>
      <c r="C27" s="662"/>
      <c r="D27" s="662"/>
      <c r="E27" s="662"/>
      <c r="F27" s="662"/>
      <c r="G27" s="662"/>
      <c r="H27" s="662"/>
      <c r="I27" s="662"/>
      <c r="J27" s="662"/>
      <c r="K27" s="662"/>
      <c r="L27" s="662"/>
      <c r="M27" s="662"/>
      <c r="N27" s="662"/>
      <c r="O27" s="662"/>
      <c r="P27" s="662"/>
      <c r="Q27" s="662"/>
      <c r="R27" s="651"/>
      <c r="S27" s="440"/>
      <c r="T27" s="441"/>
      <c r="U27" s="417"/>
      <c r="V27" s="417"/>
      <c r="W27" s="417"/>
      <c r="X27" s="417"/>
      <c r="Y27" s="417"/>
      <c r="Z27" s="417"/>
      <c r="AA27" s="417"/>
      <c r="AB27" s="417"/>
      <c r="AC27" s="417"/>
      <c r="AD27" s="406"/>
      <c r="AE27" s="407"/>
      <c r="AF27" s="407"/>
      <c r="AG27" s="654"/>
      <c r="AH27" s="658"/>
      <c r="AI27" s="654"/>
      <c r="AJ27" s="654"/>
      <c r="AK27" s="654"/>
      <c r="AL27" s="667"/>
      <c r="AM27" s="667"/>
      <c r="AN27" s="407"/>
      <c r="AO27" s="407"/>
      <c r="AP27" s="407"/>
      <c r="AQ27" s="407"/>
      <c r="AR27" s="406"/>
      <c r="AS27" s="422"/>
      <c r="AT27" s="423"/>
      <c r="AU27" s="474"/>
      <c r="AV27" s="474"/>
      <c r="AW27" s="474"/>
      <c r="AX27" s="486"/>
      <c r="AY27" s="486"/>
      <c r="BD27" s="422"/>
      <c r="BE27" s="423"/>
      <c r="BF27" s="474"/>
      <c r="BG27" s="474"/>
      <c r="BH27" s="474"/>
      <c r="BI27" s="486"/>
      <c r="BJ27" s="486"/>
      <c r="BN27" s="407"/>
    </row>
    <row r="28" ht="39.75" customHeight="1">
      <c r="A28" s="662"/>
      <c r="B28" s="662"/>
      <c r="C28" s="662"/>
      <c r="D28" s="662"/>
      <c r="E28" s="662"/>
      <c r="F28" s="662"/>
      <c r="G28" s="662"/>
      <c r="H28" s="662"/>
      <c r="I28" s="662"/>
      <c r="J28" s="662"/>
      <c r="K28" s="662"/>
      <c r="L28" s="662"/>
      <c r="M28" s="662"/>
      <c r="N28" s="662"/>
      <c r="O28" s="662"/>
      <c r="P28" s="662"/>
      <c r="Q28" s="662"/>
      <c r="R28" s="651"/>
      <c r="S28" s="440"/>
      <c r="T28" s="440"/>
      <c r="U28" s="405"/>
      <c r="V28" s="405"/>
      <c r="W28" s="405"/>
      <c r="X28" s="405"/>
      <c r="Y28" s="405"/>
      <c r="Z28" s="405"/>
      <c r="AA28" s="405"/>
      <c r="AB28" s="405"/>
      <c r="AC28" s="405"/>
      <c r="AD28" s="406"/>
      <c r="AE28" s="407"/>
      <c r="AF28" s="407"/>
      <c r="AG28" s="655" t="s">
        <v>339</v>
      </c>
      <c r="AH28" s="655" t="s">
        <v>261</v>
      </c>
      <c r="AI28" s="655" t="s">
        <v>318</v>
      </c>
      <c r="AJ28" s="655" t="s">
        <v>44</v>
      </c>
      <c r="AK28" s="655" t="s">
        <v>344</v>
      </c>
      <c r="AL28" s="664"/>
      <c r="AM28" s="664"/>
      <c r="AN28" s="407"/>
      <c r="AO28" s="407"/>
      <c r="AP28" s="407"/>
      <c r="AQ28" s="407"/>
      <c r="AR28" s="406"/>
      <c r="AS28" s="431"/>
      <c r="AT28" s="431"/>
      <c r="BD28" s="431"/>
      <c r="BE28" s="431"/>
      <c r="BN28" s="407"/>
    </row>
    <row r="29" ht="39.75" customHeight="1">
      <c r="A29" s="662"/>
      <c r="B29" s="662"/>
      <c r="C29" s="662"/>
      <c r="D29" s="662"/>
      <c r="E29" s="662"/>
      <c r="F29" s="662"/>
      <c r="G29" s="662"/>
      <c r="H29" s="662"/>
      <c r="I29" s="662"/>
      <c r="J29" s="662"/>
      <c r="K29" s="662"/>
      <c r="L29" s="662"/>
      <c r="M29" s="662"/>
      <c r="N29" s="662"/>
      <c r="O29" s="662"/>
      <c r="P29" s="662"/>
      <c r="Q29" s="662"/>
      <c r="R29" s="651"/>
      <c r="S29" s="440"/>
      <c r="T29" s="441"/>
      <c r="U29" s="405"/>
      <c r="V29" s="405"/>
      <c r="W29" s="405"/>
      <c r="X29" s="405"/>
      <c r="Y29" s="405"/>
      <c r="Z29" s="405"/>
      <c r="AA29" s="405"/>
      <c r="AB29" s="405"/>
      <c r="AC29" s="405"/>
      <c r="AD29" s="406"/>
      <c r="AE29" s="407"/>
      <c r="AF29" s="407"/>
      <c r="AG29" s="656"/>
      <c r="AH29" s="656"/>
      <c r="AI29" s="656"/>
      <c r="AJ29" s="656"/>
      <c r="AK29" s="656"/>
      <c r="AL29" s="665"/>
      <c r="AM29" s="665"/>
      <c r="AN29" s="407"/>
      <c r="AO29" s="407"/>
      <c r="AP29" s="407"/>
      <c r="AQ29" s="407"/>
      <c r="AR29" s="406"/>
      <c r="AS29" s="415" t="s">
        <v>654</v>
      </c>
      <c r="AT29" s="475" t="s">
        <v>277</v>
      </c>
      <c r="BD29" s="415" t="s">
        <v>654</v>
      </c>
      <c r="BE29" s="475" t="s">
        <v>277</v>
      </c>
      <c r="BN29" s="407"/>
    </row>
    <row r="30" ht="39.75" customHeight="1">
      <c r="A30" s="662"/>
      <c r="B30" s="662"/>
      <c r="C30" s="662"/>
      <c r="D30" s="662"/>
      <c r="E30" s="662"/>
      <c r="F30" s="662"/>
      <c r="G30" s="662"/>
      <c r="H30" s="662"/>
      <c r="I30" s="662"/>
      <c r="J30" s="662"/>
      <c r="K30" s="662"/>
      <c r="L30" s="662"/>
      <c r="M30" s="662"/>
      <c r="N30" s="662"/>
      <c r="O30" s="662"/>
      <c r="P30" s="662"/>
      <c r="Q30" s="662"/>
      <c r="R30" s="651"/>
      <c r="S30" s="432" t="s">
        <v>666</v>
      </c>
      <c r="T30" s="442"/>
      <c r="U30" s="405"/>
      <c r="V30" s="405"/>
      <c r="W30" s="405"/>
      <c r="X30" s="405"/>
      <c r="Y30" s="405"/>
      <c r="Z30" s="405"/>
      <c r="AA30" s="405"/>
      <c r="AB30" s="405"/>
      <c r="AC30" s="405"/>
      <c r="AD30" s="406"/>
      <c r="AE30" s="407"/>
      <c r="AF30" s="407"/>
      <c r="AG30" s="407"/>
      <c r="AH30" s="407"/>
      <c r="AI30" s="457"/>
      <c r="AJ30" s="457"/>
      <c r="AK30" s="407"/>
      <c r="AL30" s="407"/>
      <c r="AM30" s="407"/>
      <c r="AN30" s="407"/>
      <c r="AO30" s="407"/>
      <c r="AP30" s="407"/>
      <c r="AQ30" s="407"/>
      <c r="AR30" s="406"/>
      <c r="AS30" s="415" t="s">
        <v>607</v>
      </c>
      <c r="AT30" s="475" t="s">
        <v>657</v>
      </c>
      <c r="AV30" s="476"/>
      <c r="AW30" s="477"/>
      <c r="AX30" s="477"/>
      <c r="AY30" s="477"/>
      <c r="AZ30" s="477"/>
      <c r="BD30" s="415" t="s">
        <v>607</v>
      </c>
      <c r="BE30" s="475" t="s">
        <v>657</v>
      </c>
      <c r="BG30" s="476"/>
      <c r="BH30" s="477"/>
      <c r="BI30" s="477"/>
      <c r="BJ30" s="477"/>
      <c r="BK30" s="477"/>
      <c r="BN30" s="407"/>
    </row>
    <row r="31" ht="39.75" customHeight="1">
      <c r="A31" s="662"/>
      <c r="B31" s="662"/>
      <c r="C31" s="662"/>
      <c r="D31" s="662"/>
      <c r="E31" s="662"/>
      <c r="F31" s="662"/>
      <c r="G31" s="662"/>
      <c r="H31" s="662"/>
      <c r="I31" s="662"/>
      <c r="J31" s="662"/>
      <c r="K31" s="662"/>
      <c r="L31" s="662"/>
      <c r="M31" s="662"/>
      <c r="N31" s="662"/>
      <c r="O31" s="662"/>
      <c r="P31" s="662"/>
      <c r="Q31" s="662"/>
      <c r="R31" s="651"/>
      <c r="S31" s="432" t="s">
        <v>655</v>
      </c>
      <c r="T31" s="584" t="s">
        <v>614</v>
      </c>
      <c r="U31" s="443" t="s">
        <v>657</v>
      </c>
      <c r="V31" s="405"/>
      <c r="W31" s="405"/>
      <c r="X31" s="444">
        <v>400</v>
      </c>
      <c r="Y31" s="405"/>
      <c r="Z31" s="405"/>
      <c r="AA31" s="405"/>
      <c r="AB31" s="405"/>
      <c r="AC31" s="405"/>
      <c r="AD31" s="406"/>
      <c r="AE31" s="669" t="s">
        <v>667</v>
      </c>
      <c r="AF31" s="669"/>
      <c r="AG31" s="669"/>
      <c r="AH31" s="669"/>
      <c r="AI31" s="669"/>
      <c r="AJ31" s="669"/>
      <c r="AK31" s="669"/>
      <c r="AL31" s="669"/>
      <c r="AM31" s="669"/>
      <c r="AN31" s="669"/>
      <c r="AO31" s="669"/>
      <c r="AP31" s="669"/>
      <c r="AQ31" s="407"/>
      <c r="AR31" s="406"/>
      <c r="AS31" s="428"/>
      <c r="AT31" s="429"/>
      <c r="AV31" s="477"/>
      <c r="AW31" s="477"/>
      <c r="AX31" s="477"/>
      <c r="AY31" s="477"/>
      <c r="AZ31" s="477"/>
      <c r="BA31" s="477"/>
      <c r="BD31" s="428"/>
      <c r="BE31" s="429"/>
      <c r="BG31" s="477"/>
      <c r="BH31" s="477"/>
      <c r="BI31" s="477"/>
      <c r="BJ31" s="477"/>
      <c r="BK31" s="477"/>
      <c r="BL31" s="477"/>
      <c r="BN31" s="407"/>
    </row>
    <row r="32" ht="39.75" customHeight="1">
      <c r="A32" s="662"/>
      <c r="B32" s="662"/>
      <c r="C32" s="662"/>
      <c r="D32" s="662"/>
      <c r="E32" s="662"/>
      <c r="F32" s="662"/>
      <c r="G32" s="662"/>
      <c r="H32" s="662"/>
      <c r="I32" s="662"/>
      <c r="J32" s="662"/>
      <c r="K32" s="662"/>
      <c r="L32" s="662"/>
      <c r="M32" s="662"/>
      <c r="N32" s="662"/>
      <c r="O32" s="662"/>
      <c r="P32" s="662"/>
      <c r="Q32" s="662"/>
      <c r="R32" s="651"/>
      <c r="S32" s="432" t="s">
        <v>658</v>
      </c>
      <c r="T32" s="445" t="s">
        <v>613</v>
      </c>
      <c r="U32" s="446"/>
      <c r="V32" s="446"/>
      <c r="W32" s="446"/>
      <c r="X32" s="446"/>
      <c r="Y32" s="446"/>
      <c r="Z32" s="446"/>
      <c r="AA32" s="446"/>
      <c r="AB32" s="446"/>
      <c r="AC32" s="446"/>
      <c r="AD32" s="406"/>
      <c r="AE32" s="407"/>
      <c r="AF32" s="455"/>
      <c r="AG32" s="455"/>
      <c r="AH32" s="455"/>
      <c r="AI32" s="455"/>
      <c r="AJ32" s="455"/>
      <c r="AK32" s="455"/>
      <c r="AL32" s="455"/>
      <c r="AM32" s="455"/>
      <c r="AN32" s="455"/>
      <c r="AO32" s="455"/>
      <c r="AP32" s="455"/>
      <c r="AQ32" s="407"/>
      <c r="AR32" s="406"/>
      <c r="AS32" s="430" t="s">
        <v>658</v>
      </c>
      <c r="AT32" s="426" t="s">
        <v>613</v>
      </c>
      <c r="BA32" s="476"/>
      <c r="BD32" s="430" t="s">
        <v>658</v>
      </c>
      <c r="BE32" s="426" t="s">
        <v>616</v>
      </c>
      <c r="BL32" s="476"/>
      <c r="BN32" s="407"/>
    </row>
    <row r="33" ht="39.75" customHeight="1">
      <c r="A33" s="662"/>
      <c r="B33" s="662"/>
      <c r="C33" s="662"/>
      <c r="D33" s="662"/>
      <c r="E33" s="662"/>
      <c r="F33" s="662"/>
      <c r="G33" s="662"/>
      <c r="H33" s="662"/>
      <c r="I33" s="662"/>
      <c r="J33" s="662"/>
      <c r="K33" s="662"/>
      <c r="L33" s="662"/>
      <c r="M33" s="662"/>
      <c r="N33" s="662"/>
      <c r="O33" s="662"/>
      <c r="P33" s="662"/>
      <c r="Q33" s="662"/>
      <c r="R33" s="651"/>
      <c r="S33" s="432" t="s">
        <v>659</v>
      </c>
      <c r="T33" s="447"/>
      <c r="U33" s="446"/>
      <c r="V33" s="670"/>
      <c r="W33" s="670"/>
      <c r="X33" s="448"/>
      <c r="Y33" s="446"/>
      <c r="Z33" s="446"/>
      <c r="AA33" s="445">
        <v>400</v>
      </c>
      <c r="AB33" s="446"/>
      <c r="AC33" s="446"/>
      <c r="AD33" s="603"/>
      <c r="AE33" s="602"/>
      <c r="AF33" s="602"/>
      <c r="AG33" s="602"/>
      <c r="AH33" s="602"/>
      <c r="AI33" s="602"/>
      <c r="AJ33" s="602"/>
      <c r="AK33" s="602"/>
      <c r="AL33" s="602"/>
      <c r="AM33" s="602"/>
      <c r="AN33" s="602"/>
      <c r="AO33" s="602"/>
      <c r="AP33" s="602"/>
      <c r="AQ33" s="602"/>
      <c r="AR33" s="603"/>
      <c r="AS33" s="430" t="s">
        <v>659</v>
      </c>
      <c r="AT33" s="430">
        <v>400</v>
      </c>
      <c r="BA33" s="0" t="s">
        <v>660</v>
      </c>
      <c r="BD33" s="430" t="s">
        <v>659</v>
      </c>
      <c r="BE33" s="430">
        <v>320</v>
      </c>
      <c r="BL33" s="0" t="s">
        <v>660</v>
      </c>
      <c r="BN33" s="407"/>
    </row>
    <row r="34" ht="40.5" customHeight="1">
      <c r="A34" s="662"/>
      <c r="B34" s="662"/>
      <c r="C34" s="662"/>
      <c r="D34" s="662"/>
      <c r="E34" s="662"/>
      <c r="F34" s="662"/>
      <c r="G34" s="662"/>
      <c r="H34" s="662"/>
      <c r="I34" s="662"/>
      <c r="J34" s="662"/>
      <c r="K34" s="662"/>
      <c r="L34" s="662"/>
      <c r="M34" s="662"/>
      <c r="N34" s="662"/>
      <c r="O34" s="662"/>
      <c r="P34" s="662"/>
      <c r="Q34" s="662"/>
      <c r="R34" s="651"/>
      <c r="S34" s="432" t="s">
        <v>661</v>
      </c>
      <c r="T34" s="447"/>
      <c r="U34" s="446"/>
      <c r="V34" s="446"/>
      <c r="W34" s="446"/>
      <c r="X34" s="448"/>
      <c r="Y34" s="446"/>
      <c r="Z34" s="446"/>
      <c r="AA34" s="446"/>
      <c r="AB34" s="446"/>
      <c r="AC34" s="446"/>
      <c r="AD34" s="406"/>
      <c r="AR34" s="406"/>
      <c r="AS34" s="430" t="s">
        <v>661</v>
      </c>
      <c r="AT34" s="430">
        <v>510</v>
      </c>
      <c r="AU34" s="478"/>
      <c r="AZ34" s="641"/>
      <c r="BA34" s="641"/>
      <c r="BB34" s="641"/>
      <c r="BD34" s="430" t="s">
        <v>661</v>
      </c>
      <c r="BE34" s="430">
        <v>270</v>
      </c>
      <c r="BF34" s="478"/>
      <c r="BK34" s="641"/>
      <c r="BL34" s="641"/>
      <c r="BM34" s="641"/>
      <c r="BN34" s="407"/>
    </row>
    <row r="35" ht="41.25" customHeight="1">
      <c r="A35" s="662"/>
      <c r="B35" s="662"/>
      <c r="C35" s="662"/>
      <c r="D35" s="662"/>
      <c r="E35" s="662"/>
      <c r="F35" s="662"/>
      <c r="G35" s="662"/>
      <c r="H35" s="662"/>
      <c r="I35" s="662"/>
      <c r="J35" s="662"/>
      <c r="K35" s="662"/>
      <c r="L35" s="662"/>
      <c r="M35" s="662"/>
      <c r="N35" s="662"/>
      <c r="O35" s="662"/>
      <c r="P35" s="662"/>
      <c r="Q35" s="662"/>
      <c r="R35" s="651"/>
      <c r="S35" s="407"/>
      <c r="T35" s="407"/>
      <c r="U35" s="446"/>
      <c r="V35" s="449"/>
      <c r="W35" s="449"/>
      <c r="X35" s="449"/>
      <c r="Y35" s="446"/>
      <c r="Z35" s="446"/>
      <c r="AA35" s="446"/>
      <c r="AB35" s="446"/>
      <c r="AC35" s="446"/>
      <c r="AD35" s="406"/>
      <c r="AR35" s="406"/>
      <c r="AS35" s="407"/>
      <c r="AT35" s="407"/>
      <c r="BD35" s="407"/>
      <c r="BE35" s="407"/>
      <c r="BN35" s="407"/>
    </row>
    <row r="36" ht="41.25" customHeight="1">
      <c r="A36" s="662"/>
      <c r="B36" s="662"/>
      <c r="C36" s="662"/>
      <c r="D36" s="662"/>
      <c r="E36" s="662"/>
      <c r="F36" s="662"/>
      <c r="G36" s="662"/>
      <c r="H36" s="662"/>
      <c r="I36" s="662"/>
      <c r="J36" s="662"/>
      <c r="K36" s="662"/>
      <c r="L36" s="662"/>
      <c r="M36" s="662"/>
      <c r="N36" s="662"/>
      <c r="O36" s="662"/>
      <c r="P36" s="662"/>
      <c r="Q36" s="662"/>
      <c r="R36" s="651"/>
      <c r="S36" s="407"/>
      <c r="T36" s="407"/>
      <c r="U36" s="446"/>
      <c r="V36" s="446"/>
      <c r="W36" s="446"/>
      <c r="X36" s="446"/>
      <c r="Y36" s="446"/>
      <c r="Z36" s="446"/>
      <c r="AA36" s="446"/>
      <c r="AB36" s="446"/>
      <c r="AC36" s="456" t="s">
        <v>668</v>
      </c>
      <c r="AD36" s="406"/>
      <c r="AR36" s="406"/>
      <c r="AS36" s="407"/>
      <c r="AT36" s="407"/>
      <c r="BA36" s="485">
        <f>AT33</f>
        <v>400</v>
      </c>
      <c r="BD36" s="407"/>
      <c r="BE36" s="407"/>
      <c r="BN36" s="407"/>
    </row>
    <row r="37" ht="41.25" customHeight="1">
      <c r="A37" s="662"/>
      <c r="B37" s="662"/>
      <c r="C37" s="662"/>
      <c r="D37" s="662"/>
      <c r="E37" s="662"/>
      <c r="F37" s="662"/>
      <c r="G37" s="662"/>
      <c r="H37" s="662"/>
      <c r="I37" s="662"/>
      <c r="J37" s="662"/>
      <c r="K37" s="662"/>
      <c r="L37" s="662"/>
      <c r="M37" s="662"/>
      <c r="N37" s="662"/>
      <c r="O37" s="662"/>
      <c r="P37" s="662"/>
      <c r="Q37" s="662"/>
      <c r="R37" s="651"/>
      <c r="S37" s="407"/>
      <c r="T37" s="407"/>
      <c r="U37" s="668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OK</v>
      </c>
      <c r="V37" s="668"/>
      <c r="W37" s="668"/>
      <c r="X37" s="668"/>
      <c r="Y37" s="668"/>
      <c r="Z37" s="668"/>
      <c r="AA37" s="668"/>
      <c r="AB37" s="668"/>
      <c r="AC37" s="668"/>
      <c r="AD37" s="406"/>
      <c r="AR37" s="406"/>
      <c r="AS37" s="644">
        <f>('بيرسا و لوفرز'!F24+'بيرسا و لوفرز'!V55+'بيرسا و لوفرز'!V63)*1.35</f>
        <v>214443.72000000003</v>
      </c>
      <c r="AT37" s="645"/>
      <c r="BD37" s="644">
        <f>('بيرسا و لوفرز'!F97+'بيرسا و لوفرز'!V126+'بيرسا و لوفرز'!V134)*1.35</f>
        <v>122467.8825</v>
      </c>
      <c r="BE37" s="645"/>
      <c r="BN37" s="407"/>
    </row>
    <row r="38" ht="41.25" customHeight="1">
      <c r="A38" s="663"/>
      <c r="B38" s="663"/>
      <c r="C38" s="663"/>
      <c r="D38" s="663"/>
      <c r="E38" s="663"/>
      <c r="F38" s="663"/>
      <c r="G38" s="663"/>
      <c r="H38" s="663"/>
      <c r="I38" s="663"/>
      <c r="J38" s="663"/>
      <c r="K38" s="663"/>
      <c r="L38" s="663"/>
      <c r="M38" s="663"/>
      <c r="N38" s="663"/>
      <c r="O38" s="663"/>
      <c r="P38" s="663"/>
      <c r="Q38" s="663"/>
      <c r="R38" s="651"/>
      <c r="S38" s="407"/>
      <c r="T38" s="407"/>
      <c r="U38" s="407"/>
      <c r="V38" s="407"/>
      <c r="W38" s="407"/>
      <c r="X38" s="407"/>
      <c r="Y38" s="407"/>
      <c r="Z38" s="407"/>
      <c r="AA38" s="407"/>
      <c r="AB38" s="407"/>
      <c r="AC38" s="407"/>
      <c r="AD38" s="406"/>
      <c r="AR38" s="406"/>
      <c r="AS38" s="644">
        <f>AS37/(AT34*AT33/10000)</f>
        <v>10511.947058823531</v>
      </c>
      <c r="AT38" s="645"/>
      <c r="BD38" s="644">
        <f>BD37/(BE33*BE34/10000)</f>
        <v>14174.5234375</v>
      </c>
      <c r="BE38" s="645"/>
      <c r="BK38" s="485">
        <f>BE33</f>
        <v>320</v>
      </c>
      <c r="BN38" s="407"/>
    </row>
    <row r="39" ht="41.25" customHeight="1">
      <c r="A39" s="663"/>
      <c r="B39" s="663"/>
      <c r="C39" s="663"/>
      <c r="D39" s="663"/>
      <c r="E39" s="663"/>
      <c r="F39" s="663"/>
      <c r="G39" s="663"/>
      <c r="H39" s="663"/>
      <c r="I39" s="663"/>
      <c r="J39" s="663"/>
      <c r="K39" s="663"/>
      <c r="L39" s="663"/>
      <c r="M39" s="663"/>
      <c r="N39" s="663"/>
      <c r="O39" s="663"/>
      <c r="P39" s="663"/>
      <c r="Q39" s="663"/>
      <c r="R39" s="651"/>
      <c r="S39" s="663"/>
      <c r="T39" s="663"/>
      <c r="U39" s="663"/>
      <c r="V39" s="663"/>
      <c r="W39" s="663"/>
      <c r="X39" s="663"/>
      <c r="Y39" s="663"/>
      <c r="Z39" s="663"/>
      <c r="AA39" s="663"/>
      <c r="AB39" s="663"/>
      <c r="AC39" s="663"/>
      <c r="AD39" s="406"/>
      <c r="AE39" s="407"/>
      <c r="AF39" s="407"/>
      <c r="AG39" s="407"/>
      <c r="AH39" s="407"/>
      <c r="AI39" s="407"/>
      <c r="AJ39" s="457"/>
      <c r="AK39" s="457"/>
      <c r="AL39" s="407"/>
      <c r="AM39" s="407"/>
      <c r="AN39" s="407"/>
      <c r="AO39" s="407"/>
      <c r="AP39" s="407"/>
      <c r="AQ39" s="407"/>
      <c r="AR39" s="406"/>
      <c r="AS39" s="407"/>
      <c r="AT39" s="407"/>
      <c r="AU39" s="407"/>
      <c r="AV39" s="407"/>
      <c r="AW39" s="407"/>
      <c r="AX39" s="407"/>
      <c r="AY39" s="407"/>
      <c r="AZ39" s="407"/>
      <c r="BA39" s="407"/>
      <c r="BB39" s="407"/>
      <c r="BD39" s="407"/>
      <c r="BE39" s="407"/>
      <c r="BF39" s="407"/>
      <c r="BG39" s="407"/>
      <c r="BH39" s="407"/>
      <c r="BI39" s="407"/>
      <c r="BJ39" s="407"/>
      <c r="BK39" s="407"/>
      <c r="BL39" s="407"/>
      <c r="BM39" s="407"/>
      <c r="BN39" s="407"/>
    </row>
    <row r="40" ht="30.75" customHeight="1">
      <c r="A40" s="663"/>
      <c r="B40" s="663"/>
      <c r="C40" s="663"/>
      <c r="D40" s="663"/>
      <c r="E40" s="663"/>
      <c r="F40" s="663"/>
      <c r="G40" s="663"/>
      <c r="H40" s="663"/>
      <c r="I40" s="663"/>
      <c r="J40" s="663"/>
      <c r="K40" s="663"/>
      <c r="L40" s="663"/>
      <c r="M40" s="663"/>
      <c r="N40" s="663"/>
      <c r="O40" s="663"/>
      <c r="P40" s="663"/>
      <c r="Q40" s="663"/>
      <c r="R40" s="651"/>
      <c r="S40" s="663"/>
      <c r="T40" s="663"/>
      <c r="U40" s="663"/>
      <c r="V40" s="663"/>
      <c r="W40" s="663"/>
      <c r="X40" s="663"/>
      <c r="Y40" s="663"/>
      <c r="Z40" s="663"/>
      <c r="AA40" s="663"/>
      <c r="AB40" s="663"/>
      <c r="AC40" s="663"/>
      <c r="AD40" s="406"/>
      <c r="AE40" s="407"/>
      <c r="AF40" s="407"/>
      <c r="AG40" s="407"/>
      <c r="AH40" s="407"/>
      <c r="AI40" s="407"/>
      <c r="AJ40" s="407"/>
      <c r="AK40" s="407"/>
      <c r="AL40" s="407"/>
      <c r="AM40" s="407"/>
      <c r="AN40" s="407"/>
      <c r="AO40" s="407"/>
      <c r="AP40" s="407"/>
      <c r="AQ40" s="407"/>
      <c r="AR40" s="406"/>
      <c r="AS40" s="407"/>
      <c r="AT40" s="407"/>
      <c r="AU40" s="407"/>
      <c r="AV40" s="407"/>
      <c r="AW40" s="407"/>
      <c r="AX40" s="407"/>
      <c r="AY40" s="407"/>
      <c r="AZ40" s="407"/>
      <c r="BA40" s="407"/>
      <c r="BB40" s="407"/>
      <c r="BD40" s="407"/>
      <c r="BE40" s="407"/>
      <c r="BF40" s="407"/>
      <c r="BG40" s="407"/>
      <c r="BH40" s="407"/>
      <c r="BI40" s="407"/>
      <c r="BJ40" s="407"/>
      <c r="BK40" s="407"/>
      <c r="BL40" s="407"/>
      <c r="BM40" s="407"/>
      <c r="BN40" s="407"/>
    </row>
    <row r="41" ht="42" customHeight="1">
      <c r="A41" s="663"/>
      <c r="B41" s="663"/>
      <c r="C41" s="663"/>
      <c r="D41" s="663"/>
      <c r="E41" s="663"/>
      <c r="F41" s="663"/>
      <c r="G41" s="663"/>
      <c r="H41" s="663"/>
      <c r="I41" s="663"/>
      <c r="J41" s="663"/>
      <c r="K41" s="663"/>
      <c r="L41" s="663"/>
      <c r="M41" s="663"/>
      <c r="N41" s="663"/>
      <c r="O41" s="663"/>
      <c r="P41" s="663"/>
      <c r="Q41" s="663"/>
      <c r="R41" s="651"/>
      <c r="S41" s="663"/>
      <c r="T41" s="663"/>
      <c r="U41" s="663"/>
      <c r="V41" s="663"/>
      <c r="W41" s="663"/>
      <c r="X41" s="663"/>
      <c r="Y41" s="663"/>
      <c r="Z41" s="663"/>
      <c r="AA41" s="663"/>
      <c r="AB41" s="663"/>
      <c r="AC41" s="663"/>
      <c r="AD41" s="406"/>
      <c r="AE41" s="660" t="s">
        <v>669</v>
      </c>
      <c r="AF41" s="660"/>
      <c r="AG41" s="660"/>
      <c r="AH41" s="660"/>
      <c r="AI41" s="660"/>
      <c r="AJ41" s="660"/>
      <c r="AK41" s="660"/>
      <c r="AL41" s="660"/>
      <c r="AM41" s="660"/>
      <c r="AN41" s="660"/>
      <c r="AO41" s="660"/>
      <c r="AP41" s="660"/>
      <c r="AQ41" s="660"/>
      <c r="AR41" s="406"/>
      <c r="AS41" s="646" t="s">
        <v>670</v>
      </c>
      <c r="AT41" s="646"/>
      <c r="AU41" s="646"/>
      <c r="AW41" s="477"/>
      <c r="BD41" s="408" t="s">
        <v>671</v>
      </c>
      <c r="BE41" s="408"/>
      <c r="BF41" s="408"/>
      <c r="BH41" s="477"/>
      <c r="BN41" s="407"/>
    </row>
    <row r="42" ht="42" customHeight="1">
      <c r="A42" s="663"/>
      <c r="B42" s="663"/>
      <c r="C42" s="663"/>
      <c r="D42" s="663"/>
      <c r="E42" s="663"/>
      <c r="F42" s="663"/>
      <c r="G42" s="663"/>
      <c r="H42" s="663"/>
      <c r="I42" s="663"/>
      <c r="J42" s="663"/>
      <c r="K42" s="663"/>
      <c r="L42" s="663"/>
      <c r="M42" s="663"/>
      <c r="N42" s="663"/>
      <c r="O42" s="663"/>
      <c r="P42" s="663"/>
      <c r="Q42" s="663"/>
      <c r="R42" s="651"/>
      <c r="S42" s="649" t="s">
        <v>672</v>
      </c>
      <c r="T42" s="650"/>
      <c r="U42" s="450"/>
      <c r="V42" s="450"/>
      <c r="W42" s="450"/>
      <c r="X42" s="450"/>
      <c r="Y42" s="450"/>
      <c r="Z42" s="450"/>
      <c r="AA42" s="450"/>
      <c r="AB42" s="450"/>
      <c r="AC42" s="450"/>
      <c r="AD42" s="406"/>
      <c r="AE42" s="660"/>
      <c r="AF42" s="660"/>
      <c r="AG42" s="660"/>
      <c r="AH42" s="660"/>
      <c r="AI42" s="660"/>
      <c r="AJ42" s="660"/>
      <c r="AK42" s="660"/>
      <c r="AL42" s="660"/>
      <c r="AM42" s="660"/>
      <c r="AN42" s="660"/>
      <c r="AO42" s="660"/>
      <c r="AP42" s="660"/>
      <c r="AQ42" s="660"/>
      <c r="AR42" s="406"/>
      <c r="AS42" s="464" t="s">
        <v>646</v>
      </c>
      <c r="AT42" s="465">
        <f>'بيرسا و لوفرز'!BM68</f>
        <v>230663.12099999999</v>
      </c>
      <c r="AU42" s="472"/>
      <c r="BD42" s="464" t="s">
        <v>646</v>
      </c>
      <c r="BE42" s="465">
        <f>'بيرسا و لوفرز'!BM139</f>
        <v>245652.12099999999</v>
      </c>
      <c r="BF42" s="472"/>
      <c r="BN42" s="407"/>
    </row>
    <row r="43" ht="42" customHeight="1">
      <c r="A43" s="662" t="s">
        <v>673</v>
      </c>
      <c r="B43" s="662"/>
      <c r="C43" s="662"/>
      <c r="D43" s="662"/>
      <c r="E43" s="662"/>
      <c r="F43" s="662"/>
      <c r="G43" s="662"/>
      <c r="H43" s="662"/>
      <c r="I43" s="662"/>
      <c r="J43" s="662"/>
      <c r="K43" s="662"/>
      <c r="L43" s="662"/>
      <c r="M43" s="662"/>
      <c r="N43" s="662"/>
      <c r="O43" s="662"/>
      <c r="P43" s="662"/>
      <c r="Q43" s="662"/>
      <c r="R43" s="651"/>
      <c r="S43" s="434" t="s">
        <v>646</v>
      </c>
      <c r="T43" s="435">
        <f>'شماسي و كانتليفر'!N51</f>
        <v>93548</v>
      </c>
      <c r="U43" s="450"/>
      <c r="V43" s="450"/>
      <c r="W43" s="450"/>
      <c r="X43" s="450"/>
      <c r="Y43" s="450"/>
      <c r="Z43" s="450"/>
      <c r="AA43" s="450"/>
      <c r="AB43" s="450"/>
      <c r="AC43" s="450"/>
      <c r="AD43" s="406"/>
      <c r="AE43" s="660"/>
      <c r="AF43" s="660"/>
      <c r="AG43" s="660"/>
      <c r="AH43" s="660"/>
      <c r="AI43" s="660"/>
      <c r="AJ43" s="660"/>
      <c r="AK43" s="660"/>
      <c r="AL43" s="660"/>
      <c r="AM43" s="660"/>
      <c r="AN43" s="660"/>
      <c r="AO43" s="660"/>
      <c r="AP43" s="660"/>
      <c r="AQ43" s="660"/>
      <c r="AR43" s="406"/>
      <c r="AS43" s="464" t="s">
        <v>215</v>
      </c>
      <c r="AT43" s="466">
        <f>AT42/(AT53*AT54/10000)</f>
        <v>11533.15605</v>
      </c>
      <c r="AU43" s="472"/>
      <c r="AV43" s="473"/>
      <c r="BD43" s="464" t="s">
        <v>215</v>
      </c>
      <c r="BE43" s="466">
        <f>BE42/(BE53*BE54/10000)</f>
        <v>12282.606049999999</v>
      </c>
      <c r="BF43" s="472"/>
      <c r="BG43" s="473"/>
      <c r="BN43" s="407"/>
    </row>
    <row r="44" ht="42" customHeight="1">
      <c r="A44" s="662"/>
      <c r="B44" s="662"/>
      <c r="C44" s="662"/>
      <c r="D44" s="662"/>
      <c r="E44" s="662"/>
      <c r="F44" s="662"/>
      <c r="G44" s="662"/>
      <c r="H44" s="662"/>
      <c r="I44" s="662"/>
      <c r="J44" s="662"/>
      <c r="K44" s="662"/>
      <c r="L44" s="662"/>
      <c r="M44" s="662"/>
      <c r="N44" s="662"/>
      <c r="O44" s="662"/>
      <c r="P44" s="662"/>
      <c r="Q44" s="662"/>
      <c r="R44" s="651"/>
      <c r="S44" s="436" t="s">
        <v>215</v>
      </c>
      <c r="T44" s="435">
        <f>T43/T51</f>
        <v>3741.92</v>
      </c>
      <c r="U44" s="450"/>
      <c r="V44" s="450"/>
      <c r="W44" s="450"/>
      <c r="X44" s="450"/>
      <c r="Y44" s="661"/>
      <c r="Z44" s="661"/>
      <c r="AA44" s="450"/>
      <c r="AB44" s="450"/>
      <c r="AC44" s="450"/>
      <c r="AD44" s="406"/>
      <c r="AE44" s="660"/>
      <c r="AF44" s="660"/>
      <c r="AG44" s="660"/>
      <c r="AH44" s="660"/>
      <c r="AI44" s="660"/>
      <c r="AJ44" s="660"/>
      <c r="AK44" s="660"/>
      <c r="AL44" s="660"/>
      <c r="AM44" s="660"/>
      <c r="AN44" s="660"/>
      <c r="AO44" s="660"/>
      <c r="AP44" s="660"/>
      <c r="AQ44" s="660"/>
      <c r="AR44" s="406"/>
      <c r="AS44" s="418" t="s">
        <v>647</v>
      </c>
      <c r="AT44" s="416" t="s">
        <v>133</v>
      </c>
      <c r="BD44" s="418" t="s">
        <v>647</v>
      </c>
      <c r="BE44" s="416" t="s">
        <v>127</v>
      </c>
      <c r="BN44" s="407"/>
    </row>
    <row r="45" ht="42" customHeight="1">
      <c r="A45" s="662"/>
      <c r="B45" s="662"/>
      <c r="C45" s="662"/>
      <c r="D45" s="662"/>
      <c r="E45" s="662"/>
      <c r="F45" s="662"/>
      <c r="G45" s="662"/>
      <c r="H45" s="662"/>
      <c r="I45" s="662"/>
      <c r="J45" s="662"/>
      <c r="K45" s="662"/>
      <c r="L45" s="662"/>
      <c r="M45" s="662"/>
      <c r="N45" s="662"/>
      <c r="O45" s="662"/>
      <c r="P45" s="662"/>
      <c r="Q45" s="662"/>
      <c r="R45" s="651"/>
      <c r="S45" s="432" t="s">
        <v>647</v>
      </c>
      <c r="T45" s="433" t="s">
        <v>114</v>
      </c>
      <c r="U45" s="450"/>
      <c r="V45" s="450"/>
      <c r="W45" s="450"/>
      <c r="X45" s="450"/>
      <c r="Y45" s="661"/>
      <c r="Z45" s="661"/>
      <c r="AA45" s="450"/>
      <c r="AB45" s="450"/>
      <c r="AC45" s="450"/>
      <c r="AD45" s="406"/>
      <c r="AE45" s="660"/>
      <c r="AF45" s="660"/>
      <c r="AG45" s="660"/>
      <c r="AH45" s="660"/>
      <c r="AI45" s="660"/>
      <c r="AJ45" s="660"/>
      <c r="AK45" s="660"/>
      <c r="AL45" s="660"/>
      <c r="AM45" s="660"/>
      <c r="AN45" s="660"/>
      <c r="AO45" s="660"/>
      <c r="AP45" s="660"/>
      <c r="AQ45" s="660"/>
      <c r="AR45" s="406"/>
      <c r="AS45" s="418" t="s">
        <v>608</v>
      </c>
      <c r="AT45" s="419" t="s">
        <v>615</v>
      </c>
      <c r="AZ45" s="485">
        <f>AT53</f>
        <v>500</v>
      </c>
      <c r="BD45" s="418" t="s">
        <v>608</v>
      </c>
      <c r="BE45" s="419" t="s">
        <v>615</v>
      </c>
      <c r="BN45" s="407"/>
    </row>
    <row r="46" ht="42" customHeight="1">
      <c r="A46" s="662"/>
      <c r="B46" s="662"/>
      <c r="C46" s="662"/>
      <c r="D46" s="662"/>
      <c r="E46" s="662"/>
      <c r="F46" s="662"/>
      <c r="G46" s="662"/>
      <c r="H46" s="662"/>
      <c r="I46" s="662"/>
      <c r="J46" s="662"/>
      <c r="K46" s="662"/>
      <c r="L46" s="662"/>
      <c r="M46" s="662"/>
      <c r="N46" s="662"/>
      <c r="O46" s="662"/>
      <c r="P46" s="662"/>
      <c r="Q46" s="662"/>
      <c r="R46" s="651"/>
      <c r="S46" s="437" t="s">
        <v>608</v>
      </c>
      <c r="T46" s="438" t="s">
        <v>612</v>
      </c>
      <c r="U46" s="450"/>
      <c r="V46" s="450"/>
      <c r="W46" s="450"/>
      <c r="X46" s="450"/>
      <c r="Y46" s="661"/>
      <c r="Z46" s="661"/>
      <c r="AA46" s="450"/>
      <c r="AB46" s="450"/>
      <c r="AC46" s="450"/>
      <c r="AD46" s="406"/>
      <c r="AE46" s="660"/>
      <c r="AF46" s="660"/>
      <c r="AG46" s="660"/>
      <c r="AH46" s="660"/>
      <c r="AI46" s="660"/>
      <c r="AJ46" s="660"/>
      <c r="AK46" s="660"/>
      <c r="AL46" s="660"/>
      <c r="AM46" s="660"/>
      <c r="AN46" s="660"/>
      <c r="AO46" s="660"/>
      <c r="AP46" s="660"/>
      <c r="AQ46" s="660"/>
      <c r="AR46" s="406"/>
      <c r="AS46" s="420" t="s">
        <v>609</v>
      </c>
      <c r="AT46" s="421" t="s">
        <v>36</v>
      </c>
      <c r="AX46" s="485">
        <f>AT54</f>
        <v>400</v>
      </c>
      <c r="BD46" s="420" t="s">
        <v>609</v>
      </c>
      <c r="BE46" s="421" t="s">
        <v>36</v>
      </c>
      <c r="BI46" s="485">
        <f>BE54</f>
        <v>400</v>
      </c>
      <c r="BM46" s="485">
        <f>BE53</f>
        <v>500</v>
      </c>
      <c r="BN46" s="407"/>
    </row>
    <row r="47" ht="42" customHeight="1">
      <c r="A47" s="662"/>
      <c r="B47" s="662"/>
      <c r="C47" s="662"/>
      <c r="D47" s="662"/>
      <c r="E47" s="662"/>
      <c r="F47" s="662"/>
      <c r="G47" s="662"/>
      <c r="H47" s="662"/>
      <c r="I47" s="662"/>
      <c r="J47" s="662"/>
      <c r="K47" s="662"/>
      <c r="L47" s="662"/>
      <c r="M47" s="662"/>
      <c r="N47" s="662"/>
      <c r="O47" s="662"/>
      <c r="P47" s="662"/>
      <c r="Q47" s="662"/>
      <c r="R47" s="651"/>
      <c r="S47" s="432" t="s">
        <v>674</v>
      </c>
      <c r="T47" s="439">
        <f>ROUNDUP(T54/500,0)</f>
        <v>1</v>
      </c>
      <c r="U47" s="450"/>
      <c r="V47" s="450"/>
      <c r="W47" s="450"/>
      <c r="X47" s="450"/>
      <c r="Y47" s="450"/>
      <c r="Z47" s="450"/>
      <c r="AA47" s="450"/>
      <c r="AB47" s="450"/>
      <c r="AC47" s="450"/>
      <c r="AD47" s="406"/>
      <c r="AE47" s="660"/>
      <c r="AF47" s="660"/>
      <c r="AG47" s="660"/>
      <c r="AH47" s="660"/>
      <c r="AI47" s="660"/>
      <c r="AJ47" s="660"/>
      <c r="AK47" s="660"/>
      <c r="AL47" s="660"/>
      <c r="AM47" s="660"/>
      <c r="AN47" s="660"/>
      <c r="AO47" s="660"/>
      <c r="AP47" s="660"/>
      <c r="AQ47" s="660"/>
      <c r="AR47" s="406"/>
      <c r="AS47" s="422"/>
      <c r="AT47" s="423"/>
      <c r="AU47" s="474"/>
      <c r="AV47" s="474"/>
      <c r="AW47" s="474"/>
      <c r="AX47" s="486"/>
      <c r="AY47" s="486"/>
      <c r="BD47" s="422"/>
      <c r="BE47" s="423"/>
      <c r="BF47" s="474"/>
      <c r="BG47" s="474"/>
      <c r="BH47" s="474"/>
      <c r="BI47" s="486"/>
      <c r="BJ47" s="486"/>
      <c r="BN47" s="407"/>
    </row>
    <row r="48" ht="42" customHeight="1">
      <c r="A48" s="662"/>
      <c r="B48" s="662"/>
      <c r="C48" s="662"/>
      <c r="D48" s="662"/>
      <c r="E48" s="662"/>
      <c r="F48" s="662"/>
      <c r="G48" s="662"/>
      <c r="H48" s="662"/>
      <c r="I48" s="662"/>
      <c r="J48" s="662"/>
      <c r="K48" s="662"/>
      <c r="L48" s="662"/>
      <c r="M48" s="662"/>
      <c r="N48" s="662"/>
      <c r="O48" s="662"/>
      <c r="P48" s="662"/>
      <c r="Q48" s="662"/>
      <c r="R48" s="651"/>
      <c r="S48" s="440"/>
      <c r="T48" s="441"/>
      <c r="U48" s="450"/>
      <c r="V48" s="450"/>
      <c r="W48" s="450"/>
      <c r="X48" s="450"/>
      <c r="Y48" s="450"/>
      <c r="Z48" s="450"/>
      <c r="AA48" s="450"/>
      <c r="AB48" s="450"/>
      <c r="AC48" s="450"/>
      <c r="AD48" s="406"/>
      <c r="AE48" s="660"/>
      <c r="AF48" s="660"/>
      <c r="AG48" s="660"/>
      <c r="AH48" s="660"/>
      <c r="AI48" s="660"/>
      <c r="AJ48" s="660"/>
      <c r="AK48" s="660"/>
      <c r="AL48" s="660"/>
      <c r="AM48" s="660"/>
      <c r="AN48" s="660"/>
      <c r="AO48" s="660"/>
      <c r="AP48" s="660"/>
      <c r="AQ48" s="660"/>
      <c r="AR48" s="406"/>
      <c r="AS48" s="431"/>
      <c r="AT48" s="431"/>
      <c r="BD48" s="431"/>
      <c r="BE48" s="431"/>
      <c r="BN48" s="407"/>
    </row>
    <row r="49" ht="42" customHeight="1">
      <c r="A49" s="662"/>
      <c r="B49" s="662"/>
      <c r="C49" s="662"/>
      <c r="D49" s="662"/>
      <c r="E49" s="662"/>
      <c r="F49" s="662"/>
      <c r="G49" s="662"/>
      <c r="H49" s="662"/>
      <c r="I49" s="662"/>
      <c r="J49" s="662"/>
      <c r="K49" s="662"/>
      <c r="L49" s="662"/>
      <c r="M49" s="662"/>
      <c r="N49" s="662"/>
      <c r="O49" s="662"/>
      <c r="P49" s="662"/>
      <c r="Q49" s="662"/>
      <c r="R49" s="651"/>
      <c r="S49" s="440"/>
      <c r="T49" s="440"/>
      <c r="U49" s="450"/>
      <c r="V49" s="450"/>
      <c r="W49" s="450"/>
      <c r="X49" s="450"/>
      <c r="Y49" s="450"/>
      <c r="Z49" s="450"/>
      <c r="AA49" s="450"/>
      <c r="AB49" s="450"/>
      <c r="AC49" s="450"/>
      <c r="AD49" s="406"/>
      <c r="AE49" s="660"/>
      <c r="AF49" s="660"/>
      <c r="AG49" s="660"/>
      <c r="AH49" s="660"/>
      <c r="AI49" s="660"/>
      <c r="AJ49" s="660"/>
      <c r="AK49" s="660"/>
      <c r="AL49" s="660"/>
      <c r="AM49" s="660"/>
      <c r="AN49" s="660"/>
      <c r="AO49" s="660"/>
      <c r="AP49" s="660"/>
      <c r="AQ49" s="660"/>
      <c r="AR49" s="406"/>
      <c r="AS49" s="415" t="s">
        <v>654</v>
      </c>
      <c r="AT49" s="475" t="s">
        <v>277</v>
      </c>
      <c r="BD49" s="415" t="s">
        <v>654</v>
      </c>
      <c r="BE49" s="475" t="s">
        <v>277</v>
      </c>
      <c r="BN49" s="407"/>
    </row>
    <row r="50" ht="42" customHeight="1">
      <c r="A50" s="662"/>
      <c r="B50" s="662"/>
      <c r="C50" s="662"/>
      <c r="D50" s="662"/>
      <c r="E50" s="662"/>
      <c r="F50" s="662"/>
      <c r="G50" s="662"/>
      <c r="H50" s="662"/>
      <c r="I50" s="662"/>
      <c r="J50" s="662"/>
      <c r="K50" s="662"/>
      <c r="L50" s="662"/>
      <c r="M50" s="662"/>
      <c r="N50" s="662"/>
      <c r="O50" s="662"/>
      <c r="P50" s="662"/>
      <c r="Q50" s="662"/>
      <c r="R50" s="651"/>
      <c r="S50" s="440"/>
      <c r="T50" s="441"/>
      <c r="U50" s="450"/>
      <c r="V50" s="450"/>
      <c r="W50" s="450"/>
      <c r="X50" s="450"/>
      <c r="Y50" s="450"/>
      <c r="Z50" s="450"/>
      <c r="AA50" s="450"/>
      <c r="AB50" s="450"/>
      <c r="AC50" s="450"/>
      <c r="AD50" s="406"/>
      <c r="AE50" s="660"/>
      <c r="AF50" s="660"/>
      <c r="AG50" s="660"/>
      <c r="AH50" s="660"/>
      <c r="AI50" s="660"/>
      <c r="AJ50" s="660"/>
      <c r="AK50" s="660"/>
      <c r="AL50" s="660"/>
      <c r="AM50" s="660"/>
      <c r="AN50" s="660"/>
      <c r="AO50" s="660"/>
      <c r="AP50" s="660"/>
      <c r="AQ50" s="660"/>
      <c r="AR50" s="406"/>
      <c r="AS50" s="415" t="s">
        <v>607</v>
      </c>
      <c r="AT50" s="475" t="s">
        <v>657</v>
      </c>
      <c r="AV50" s="476"/>
      <c r="AW50" s="477"/>
      <c r="AX50" s="477"/>
      <c r="AY50" s="477"/>
      <c r="AZ50" s="477"/>
      <c r="BD50" s="415" t="s">
        <v>607</v>
      </c>
      <c r="BE50" s="475" t="s">
        <v>657</v>
      </c>
      <c r="BG50" s="476"/>
      <c r="BH50" s="477"/>
      <c r="BI50" s="477"/>
      <c r="BJ50" s="477"/>
      <c r="BK50" s="477"/>
      <c r="BN50" s="407"/>
    </row>
    <row r="51" ht="42" customHeight="1">
      <c r="A51" s="662"/>
      <c r="B51" s="662"/>
      <c r="C51" s="662"/>
      <c r="D51" s="662"/>
      <c r="E51" s="662"/>
      <c r="F51" s="662"/>
      <c r="G51" s="662"/>
      <c r="H51" s="662"/>
      <c r="I51" s="662"/>
      <c r="J51" s="662"/>
      <c r="K51" s="662"/>
      <c r="L51" s="662"/>
      <c r="M51" s="662"/>
      <c r="N51" s="662"/>
      <c r="O51" s="662"/>
      <c r="P51" s="662"/>
      <c r="Q51" s="662"/>
      <c r="R51" s="651"/>
      <c r="S51" s="432" t="s">
        <v>675</v>
      </c>
      <c r="T51" s="445">
        <f>IF((T52="double"),(T54*T55/5000),(T54*T55/10000))</f>
        <v>25</v>
      </c>
      <c r="U51" s="450"/>
      <c r="V51" s="450"/>
      <c r="W51" s="450"/>
      <c r="X51" s="450"/>
      <c r="Y51" s="450"/>
      <c r="Z51" s="450"/>
      <c r="AA51" s="450"/>
      <c r="AB51" s="450"/>
      <c r="AC51" s="450"/>
      <c r="AD51" s="406"/>
      <c r="AE51" s="660"/>
      <c r="AF51" s="660"/>
      <c r="AG51" s="660"/>
      <c r="AH51" s="660"/>
      <c r="AI51" s="660"/>
      <c r="AJ51" s="660"/>
      <c r="AK51" s="660"/>
      <c r="AL51" s="660"/>
      <c r="AM51" s="660"/>
      <c r="AN51" s="660"/>
      <c r="AO51" s="660"/>
      <c r="AP51" s="660"/>
      <c r="AQ51" s="660"/>
      <c r="AR51" s="406"/>
      <c r="AS51" s="428"/>
      <c r="AT51" s="429"/>
      <c r="AV51" s="477"/>
      <c r="AW51" s="477"/>
      <c r="AX51" s="477"/>
      <c r="AY51" s="477"/>
      <c r="AZ51" s="477"/>
      <c r="BA51" s="477"/>
      <c r="BD51" s="428"/>
      <c r="BE51" s="429"/>
      <c r="BG51" s="477"/>
      <c r="BH51" s="477"/>
      <c r="BI51" s="477"/>
      <c r="BJ51" s="477"/>
      <c r="BK51" s="477"/>
      <c r="BL51" s="477"/>
      <c r="BN51" s="407"/>
    </row>
    <row r="52" ht="42" customHeight="1">
      <c r="A52" s="662"/>
      <c r="B52" s="662"/>
      <c r="C52" s="662"/>
      <c r="D52" s="662"/>
      <c r="E52" s="662"/>
      <c r="F52" s="662"/>
      <c r="G52" s="662"/>
      <c r="H52" s="662"/>
      <c r="I52" s="662"/>
      <c r="J52" s="662"/>
      <c r="K52" s="662"/>
      <c r="L52" s="662"/>
      <c r="M52" s="662"/>
      <c r="N52" s="662"/>
      <c r="O52" s="662"/>
      <c r="P52" s="662"/>
      <c r="Q52" s="662"/>
      <c r="R52" s="651"/>
      <c r="S52" s="432" t="s">
        <v>676</v>
      </c>
      <c r="T52" s="451" t="s">
        <v>344</v>
      </c>
      <c r="U52" s="450"/>
      <c r="V52" s="450"/>
      <c r="W52" s="450"/>
      <c r="X52" s="450"/>
      <c r="Y52" s="450"/>
      <c r="Z52" s="450"/>
      <c r="AA52" s="450"/>
      <c r="AB52" s="450"/>
      <c r="AC52" s="450"/>
      <c r="AD52" s="406"/>
      <c r="AE52" s="660"/>
      <c r="AF52" s="660"/>
      <c r="AG52" s="660"/>
      <c r="AH52" s="660"/>
      <c r="AI52" s="660"/>
      <c r="AJ52" s="660"/>
      <c r="AK52" s="660"/>
      <c r="AL52" s="660"/>
      <c r="AM52" s="660"/>
      <c r="AN52" s="660"/>
      <c r="AO52" s="660"/>
      <c r="AP52" s="660"/>
      <c r="AQ52" s="660"/>
      <c r="AR52" s="406"/>
      <c r="AS52" s="430" t="s">
        <v>658</v>
      </c>
      <c r="AT52" s="426" t="s">
        <v>613</v>
      </c>
      <c r="BA52" s="476"/>
      <c r="BD52" s="430" t="s">
        <v>658</v>
      </c>
      <c r="BE52" s="426" t="s">
        <v>613</v>
      </c>
      <c r="BL52" s="476"/>
      <c r="BN52" s="407"/>
    </row>
    <row r="53" ht="42" customHeight="1">
      <c r="A53" s="662"/>
      <c r="B53" s="662"/>
      <c r="C53" s="662"/>
      <c r="D53" s="662"/>
      <c r="E53" s="662"/>
      <c r="F53" s="662"/>
      <c r="G53" s="662"/>
      <c r="H53" s="662"/>
      <c r="I53" s="662"/>
      <c r="J53" s="662"/>
      <c r="K53" s="662"/>
      <c r="L53" s="662"/>
      <c r="M53" s="662"/>
      <c r="N53" s="662"/>
      <c r="O53" s="662"/>
      <c r="P53" s="662"/>
      <c r="Q53" s="662"/>
      <c r="R53" s="651"/>
      <c r="S53" s="432" t="s">
        <v>658</v>
      </c>
      <c r="T53" s="445" t="s">
        <v>613</v>
      </c>
      <c r="U53" s="450"/>
      <c r="V53" s="450"/>
      <c r="W53" s="450"/>
      <c r="X53" s="450"/>
      <c r="Y53" s="450"/>
      <c r="Z53" s="450"/>
      <c r="AA53" s="450"/>
      <c r="AB53" s="450"/>
      <c r="AC53" s="452">
        <f>T55</f>
        <v>500</v>
      </c>
      <c r="AD53" s="406"/>
      <c r="AE53" s="660"/>
      <c r="AF53" s="660"/>
      <c r="AG53" s="660"/>
      <c r="AH53" s="660"/>
      <c r="AI53" s="660"/>
      <c r="AJ53" s="660"/>
      <c r="AK53" s="660"/>
      <c r="AL53" s="660"/>
      <c r="AM53" s="660"/>
      <c r="AN53" s="660"/>
      <c r="AO53" s="660"/>
      <c r="AP53" s="660"/>
      <c r="AQ53" s="660"/>
      <c r="AR53" s="406"/>
      <c r="AS53" s="430" t="s">
        <v>659</v>
      </c>
      <c r="AT53" s="430">
        <v>500</v>
      </c>
      <c r="BA53" s="0" t="s">
        <v>660</v>
      </c>
      <c r="BD53" s="430" t="s">
        <v>659</v>
      </c>
      <c r="BE53" s="430">
        <v>500</v>
      </c>
      <c r="BL53" s="0" t="s">
        <v>660</v>
      </c>
      <c r="BN53" s="407"/>
    </row>
    <row r="54" ht="42" customHeight="1">
      <c r="A54" s="662"/>
      <c r="B54" s="662"/>
      <c r="C54" s="662"/>
      <c r="D54" s="662"/>
      <c r="E54" s="662"/>
      <c r="F54" s="662"/>
      <c r="G54" s="662"/>
      <c r="H54" s="662"/>
      <c r="I54" s="662"/>
      <c r="J54" s="662"/>
      <c r="K54" s="662"/>
      <c r="L54" s="662"/>
      <c r="M54" s="662"/>
      <c r="N54" s="662"/>
      <c r="O54" s="662"/>
      <c r="P54" s="662"/>
      <c r="Q54" s="662"/>
      <c r="R54" s="651"/>
      <c r="S54" s="432" t="s">
        <v>659</v>
      </c>
      <c r="T54" s="447">
        <v>500</v>
      </c>
      <c r="U54" s="450"/>
      <c r="V54" s="450"/>
      <c r="W54" s="450"/>
      <c r="X54" s="450"/>
      <c r="Y54" s="450"/>
      <c r="Z54" s="450"/>
      <c r="AA54" s="450"/>
      <c r="AC54" s="450"/>
      <c r="AD54" s="406"/>
      <c r="AE54" s="660"/>
      <c r="AF54" s="660"/>
      <c r="AG54" s="660"/>
      <c r="AH54" s="660"/>
      <c r="AI54" s="660"/>
      <c r="AJ54" s="660"/>
      <c r="AK54" s="660"/>
      <c r="AL54" s="660"/>
      <c r="AM54" s="660"/>
      <c r="AN54" s="660"/>
      <c r="AO54" s="660"/>
      <c r="AP54" s="660"/>
      <c r="AQ54" s="660"/>
      <c r="AR54" s="406"/>
      <c r="AS54" s="430" t="s">
        <v>661</v>
      </c>
      <c r="AT54" s="430">
        <v>400</v>
      </c>
      <c r="AU54" s="478"/>
      <c r="AZ54" s="641"/>
      <c r="BA54" s="641"/>
      <c r="BB54" s="641"/>
      <c r="BD54" s="430" t="s">
        <v>661</v>
      </c>
      <c r="BE54" s="430">
        <v>400</v>
      </c>
      <c r="BF54" s="478"/>
      <c r="BK54" s="641"/>
      <c r="BL54" s="641"/>
      <c r="BM54" s="641"/>
      <c r="BN54" s="407"/>
    </row>
    <row r="55" ht="42" customHeight="1">
      <c r="A55" s="662"/>
      <c r="B55" s="662"/>
      <c r="C55" s="662"/>
      <c r="D55" s="662"/>
      <c r="E55" s="662"/>
      <c r="F55" s="662"/>
      <c r="G55" s="662"/>
      <c r="H55" s="662"/>
      <c r="I55" s="662"/>
      <c r="J55" s="662"/>
      <c r="K55" s="662"/>
      <c r="L55" s="662"/>
      <c r="M55" s="662"/>
      <c r="N55" s="662"/>
      <c r="O55" s="662"/>
      <c r="P55" s="662"/>
      <c r="Q55" s="662"/>
      <c r="R55" s="651"/>
      <c r="S55" s="432" t="s">
        <v>661</v>
      </c>
      <c r="T55" s="447">
        <v>500</v>
      </c>
      <c r="U55" s="450"/>
      <c r="V55" s="450"/>
      <c r="W55" s="450"/>
      <c r="X55" s="450"/>
      <c r="Y55" s="450"/>
      <c r="Z55" s="450"/>
      <c r="AA55" s="450"/>
      <c r="AC55" s="450"/>
      <c r="AD55" s="406"/>
      <c r="AE55" s="660"/>
      <c r="AF55" s="660"/>
      <c r="AG55" s="660"/>
      <c r="AH55" s="660"/>
      <c r="AI55" s="660"/>
      <c r="AJ55" s="660"/>
      <c r="AK55" s="660"/>
      <c r="AL55" s="660"/>
      <c r="AM55" s="660"/>
      <c r="AN55" s="660"/>
      <c r="AO55" s="660"/>
      <c r="AP55" s="660"/>
      <c r="AQ55" s="660"/>
      <c r="AR55" s="406"/>
      <c r="AS55" s="407"/>
      <c r="AT55" s="407"/>
      <c r="BD55" s="407"/>
      <c r="BE55" s="407"/>
      <c r="BN55" s="407"/>
    </row>
    <row r="56" ht="42" customHeight="1">
      <c r="A56" s="662"/>
      <c r="B56" s="662"/>
      <c r="C56" s="662"/>
      <c r="D56" s="662"/>
      <c r="E56" s="662"/>
      <c r="F56" s="662"/>
      <c r="G56" s="662"/>
      <c r="H56" s="662"/>
      <c r="I56" s="662"/>
      <c r="J56" s="662"/>
      <c r="K56" s="662"/>
      <c r="L56" s="662"/>
      <c r="M56" s="662"/>
      <c r="N56" s="662"/>
      <c r="O56" s="662"/>
      <c r="P56" s="662"/>
      <c r="Q56" s="662"/>
      <c r="R56" s="651"/>
      <c r="S56" s="450"/>
      <c r="T56" s="450"/>
      <c r="U56" s="450"/>
      <c r="V56" s="450"/>
      <c r="W56" s="452">
        <f>T54</f>
        <v>500</v>
      </c>
      <c r="X56" s="450"/>
      <c r="Y56" s="450"/>
      <c r="Z56" s="450"/>
      <c r="AA56" s="450"/>
      <c r="AB56" s="450"/>
      <c r="AC56" s="450"/>
      <c r="AD56" s="406"/>
      <c r="AE56" s="660"/>
      <c r="AF56" s="660"/>
      <c r="AG56" s="660"/>
      <c r="AH56" s="660"/>
      <c r="AI56" s="660"/>
      <c r="AJ56" s="660"/>
      <c r="AK56" s="660"/>
      <c r="AL56" s="660"/>
      <c r="AM56" s="660"/>
      <c r="AN56" s="660"/>
      <c r="AO56" s="660"/>
      <c r="AP56" s="660"/>
      <c r="AQ56" s="660"/>
      <c r="AR56" s="406"/>
      <c r="AS56" s="407"/>
      <c r="AT56" s="407"/>
      <c r="BD56" s="407"/>
      <c r="BE56" s="407"/>
      <c r="BN56" s="407"/>
    </row>
    <row r="57" ht="42" customHeight="1">
      <c r="A57" s="662"/>
      <c r="B57" s="662"/>
      <c r="C57" s="662"/>
      <c r="D57" s="662"/>
      <c r="E57" s="662"/>
      <c r="F57" s="662"/>
      <c r="G57" s="662"/>
      <c r="H57" s="662"/>
      <c r="I57" s="662"/>
      <c r="J57" s="662"/>
      <c r="K57" s="662"/>
      <c r="L57" s="662"/>
      <c r="M57" s="662"/>
      <c r="N57" s="662"/>
      <c r="O57" s="662"/>
      <c r="P57" s="662"/>
      <c r="Q57" s="662"/>
      <c r="R57" s="651"/>
      <c r="S57" s="450"/>
      <c r="T57" s="450"/>
      <c r="U57" s="450"/>
      <c r="V57" s="450"/>
      <c r="W57" s="450"/>
      <c r="X57" s="450"/>
      <c r="Y57" s="450"/>
      <c r="Z57" s="450"/>
      <c r="AA57" s="450"/>
      <c r="AC57" s="450"/>
      <c r="AD57" s="406"/>
      <c r="AE57" s="660"/>
      <c r="AF57" s="660"/>
      <c r="AG57" s="660"/>
      <c r="AH57" s="660"/>
      <c r="AI57" s="660"/>
      <c r="AJ57" s="660"/>
      <c r="AK57" s="660"/>
      <c r="AL57" s="660"/>
      <c r="AM57" s="660"/>
      <c r="AN57" s="660"/>
      <c r="AO57" s="660"/>
      <c r="AP57" s="660"/>
      <c r="AQ57" s="660"/>
      <c r="AR57" s="406"/>
      <c r="AS57" s="642">
        <f>('بيرسا و لوفرز'!BA14+'بيرسا و لوفرز'!BP62+'بيرسا و لوفرز'!BQ54)*1.35</f>
        <v>133494.345</v>
      </c>
      <c r="AT57" s="643"/>
      <c r="BD57" s="642">
        <f>('بيرسا و لوفرز'!BA85+'بيرسا و لوفرز'!BP133+'بيرسا و لوفرز'!BQ125)*1.35</f>
        <v>133494.345</v>
      </c>
      <c r="BE57" s="643"/>
      <c r="BN57" s="407"/>
    </row>
    <row r="58" ht="42" customHeight="1">
      <c r="A58" s="662"/>
      <c r="B58" s="662"/>
      <c r="C58" s="662"/>
      <c r="D58" s="662"/>
      <c r="E58" s="662"/>
      <c r="F58" s="662"/>
      <c r="G58" s="662"/>
      <c r="H58" s="662"/>
      <c r="I58" s="662"/>
      <c r="J58" s="662"/>
      <c r="K58" s="662"/>
      <c r="L58" s="662"/>
      <c r="M58" s="662"/>
      <c r="N58" s="662"/>
      <c r="O58" s="662"/>
      <c r="P58" s="662"/>
      <c r="Q58" s="662"/>
      <c r="R58" s="651"/>
      <c r="S58" s="450"/>
      <c r="T58" s="450"/>
      <c r="U58" s="450"/>
      <c r="V58" s="450"/>
      <c r="Y58" s="450"/>
      <c r="Z58" s="450"/>
      <c r="AA58" s="450"/>
      <c r="AB58" s="450"/>
      <c r="AC58" s="450"/>
      <c r="AD58" s="406"/>
      <c r="AE58" s="660"/>
      <c r="AF58" s="660"/>
      <c r="AG58" s="660"/>
      <c r="AH58" s="660"/>
      <c r="AI58" s="660"/>
      <c r="AJ58" s="660"/>
      <c r="AK58" s="660"/>
      <c r="AL58" s="660"/>
      <c r="AM58" s="660"/>
      <c r="AN58" s="660"/>
      <c r="AO58" s="660"/>
      <c r="AP58" s="660"/>
      <c r="AQ58" s="660"/>
      <c r="AR58" s="406"/>
      <c r="AS58" s="647">
        <f>AS57/(AT53*AT54/10000)</f>
        <v>6674.71725</v>
      </c>
      <c r="AT58" s="648"/>
      <c r="BD58" s="647">
        <f>BD57/(BE53*BE54/10000)</f>
        <v>6674.71725</v>
      </c>
      <c r="BE58" s="648"/>
      <c r="BN58" s="407"/>
    </row>
    <row r="59" ht="39" customHeight="1">
      <c r="A59" s="662"/>
      <c r="B59" s="662"/>
      <c r="C59" s="662"/>
      <c r="D59" s="662"/>
      <c r="E59" s="662"/>
      <c r="F59" s="662"/>
      <c r="G59" s="662"/>
      <c r="H59" s="662"/>
      <c r="I59" s="662"/>
      <c r="J59" s="662"/>
      <c r="K59" s="662"/>
      <c r="L59" s="662"/>
      <c r="M59" s="662"/>
      <c r="N59" s="662"/>
      <c r="O59" s="662"/>
      <c r="P59" s="662"/>
      <c r="Q59" s="662"/>
      <c r="R59" s="651"/>
      <c r="S59" s="407"/>
      <c r="T59" s="407"/>
      <c r="U59" s="407"/>
      <c r="V59" s="407"/>
      <c r="W59" s="407"/>
      <c r="X59" s="407"/>
      <c r="Y59" s="407"/>
      <c r="Z59" s="407"/>
      <c r="AA59" s="407"/>
      <c r="AB59" s="407"/>
      <c r="AC59" s="407"/>
      <c r="AD59" s="406"/>
      <c r="AE59" s="407"/>
      <c r="AF59" s="407"/>
      <c r="AG59" s="407"/>
      <c r="AH59" s="407"/>
      <c r="AI59" s="407"/>
      <c r="AJ59" s="407"/>
      <c r="AK59" s="407"/>
      <c r="AL59" s="407"/>
      <c r="AM59" s="407"/>
      <c r="AN59" s="407"/>
      <c r="AO59" s="407"/>
      <c r="AP59" s="407"/>
      <c r="AQ59" s="407"/>
      <c r="AR59" s="406"/>
      <c r="AS59" s="407"/>
      <c r="AT59" s="407"/>
      <c r="AU59" s="407"/>
      <c r="AV59" s="407"/>
      <c r="AW59" s="407"/>
      <c r="AX59" s="407"/>
      <c r="AY59" s="407"/>
      <c r="AZ59" s="407"/>
      <c r="BA59" s="407"/>
      <c r="BB59" s="407"/>
      <c r="BD59" s="407"/>
      <c r="BE59" s="407"/>
      <c r="BF59" s="407"/>
      <c r="BG59" s="407"/>
      <c r="BH59" s="407"/>
      <c r="BI59" s="407"/>
      <c r="BJ59" s="407"/>
      <c r="BK59" s="407"/>
      <c r="BL59" s="407"/>
      <c r="BM59" s="407"/>
      <c r="BN59" s="407"/>
    </row>
    <row r="60" ht="42" customHeight="1">
      <c r="A60" s="662" t="s">
        <v>677</v>
      </c>
      <c r="B60" s="662"/>
      <c r="C60" s="662"/>
      <c r="D60" s="662"/>
      <c r="E60" s="662"/>
      <c r="F60" s="662"/>
      <c r="G60" s="662"/>
      <c r="H60" s="662"/>
      <c r="I60" s="662"/>
      <c r="J60" s="662"/>
      <c r="K60" s="662"/>
      <c r="L60" s="662"/>
      <c r="M60" s="662"/>
      <c r="N60" s="662"/>
      <c r="O60" s="662"/>
      <c r="P60" s="662"/>
      <c r="Q60" s="662"/>
      <c r="R60" s="651"/>
      <c r="S60" s="649" t="s">
        <v>672</v>
      </c>
      <c r="T60" s="650"/>
      <c r="U60" s="450"/>
      <c r="V60" s="450"/>
      <c r="W60" s="450"/>
      <c r="X60" s="450"/>
      <c r="Y60" s="450"/>
      <c r="Z60" s="450"/>
      <c r="AA60" s="450"/>
      <c r="AB60" s="450"/>
      <c r="AC60" s="450"/>
      <c r="AD60" s="406"/>
      <c r="AR60" s="406"/>
      <c r="BN60" s="407"/>
    </row>
    <row r="61" ht="40.5" customHeight="1">
      <c r="A61" s="662"/>
      <c r="B61" s="662"/>
      <c r="C61" s="662"/>
      <c r="D61" s="662"/>
      <c r="E61" s="662"/>
      <c r="F61" s="662"/>
      <c r="G61" s="662"/>
      <c r="H61" s="662"/>
      <c r="I61" s="662"/>
      <c r="J61" s="662"/>
      <c r="K61" s="662"/>
      <c r="L61" s="662"/>
      <c r="M61" s="662"/>
      <c r="N61" s="662"/>
      <c r="O61" s="662"/>
      <c r="P61" s="662"/>
      <c r="Q61" s="662"/>
      <c r="R61" s="651"/>
      <c r="S61" s="434" t="s">
        <v>646</v>
      </c>
      <c r="T61" s="435">
        <f>'شماسي و كانتليفر'!N84</f>
        <v>105558.05</v>
      </c>
      <c r="U61" s="450"/>
      <c r="V61" s="450"/>
      <c r="W61" s="450"/>
      <c r="X61" s="450"/>
      <c r="Y61" s="450"/>
      <c r="Z61" s="450"/>
      <c r="AA61" s="450"/>
      <c r="AB61" s="450"/>
      <c r="AC61" s="450"/>
      <c r="AD61" s="406"/>
      <c r="AR61" s="406"/>
      <c r="BN61" s="407"/>
    </row>
    <row r="62" ht="40.5" customHeight="1">
      <c r="A62" s="662"/>
      <c r="B62" s="662"/>
      <c r="C62" s="662"/>
      <c r="D62" s="662"/>
      <c r="E62" s="662"/>
      <c r="F62" s="662"/>
      <c r="G62" s="662"/>
      <c r="H62" s="662"/>
      <c r="I62" s="662"/>
      <c r="J62" s="662"/>
      <c r="K62" s="662"/>
      <c r="L62" s="662"/>
      <c r="M62" s="662"/>
      <c r="N62" s="662"/>
      <c r="O62" s="662"/>
      <c r="P62" s="662"/>
      <c r="Q62" s="662"/>
      <c r="R62" s="651"/>
      <c r="S62" s="436" t="s">
        <v>215</v>
      </c>
      <c r="T62" s="435">
        <f>T61/T69</f>
        <v>4222.322</v>
      </c>
      <c r="U62" s="450"/>
      <c r="V62" s="450"/>
      <c r="W62" s="450"/>
      <c r="X62" s="450"/>
      <c r="Y62" s="661"/>
      <c r="Z62" s="661"/>
      <c r="AA62" s="450"/>
      <c r="AB62" s="450"/>
      <c r="AC62" s="450"/>
      <c r="AD62" s="406"/>
      <c r="AR62" s="406"/>
      <c r="BN62" s="407"/>
    </row>
    <row r="63" ht="40.5" customHeight="1">
      <c r="A63" s="662"/>
      <c r="B63" s="662"/>
      <c r="C63" s="662"/>
      <c r="D63" s="662"/>
      <c r="E63" s="662"/>
      <c r="F63" s="662"/>
      <c r="G63" s="662"/>
      <c r="H63" s="662"/>
      <c r="I63" s="662"/>
      <c r="J63" s="662"/>
      <c r="K63" s="662"/>
      <c r="L63" s="662"/>
      <c r="M63" s="662"/>
      <c r="N63" s="662"/>
      <c r="O63" s="662"/>
      <c r="P63" s="662"/>
      <c r="Q63" s="662"/>
      <c r="R63" s="651"/>
      <c r="S63" s="432" t="s">
        <v>647</v>
      </c>
      <c r="T63" s="433" t="s">
        <v>114</v>
      </c>
      <c r="U63" s="450"/>
      <c r="V63" s="450"/>
      <c r="W63" s="450"/>
      <c r="X63" s="450"/>
      <c r="Y63" s="661"/>
      <c r="Z63" s="661"/>
      <c r="AA63" s="450"/>
      <c r="AB63" s="450"/>
      <c r="AC63" s="450"/>
      <c r="AD63" s="406"/>
      <c r="AR63" s="406"/>
      <c r="BN63" s="407"/>
    </row>
    <row r="64" ht="40.5" customHeight="1">
      <c r="A64" s="662"/>
      <c r="B64" s="662"/>
      <c r="C64" s="662"/>
      <c r="D64" s="662"/>
      <c r="E64" s="662"/>
      <c r="F64" s="662"/>
      <c r="G64" s="662"/>
      <c r="H64" s="662"/>
      <c r="I64" s="662"/>
      <c r="J64" s="662"/>
      <c r="K64" s="662"/>
      <c r="L64" s="662"/>
      <c r="M64" s="662"/>
      <c r="N64" s="662"/>
      <c r="O64" s="662"/>
      <c r="P64" s="662"/>
      <c r="Q64" s="662"/>
      <c r="R64" s="651"/>
      <c r="S64" s="437" t="s">
        <v>608</v>
      </c>
      <c r="T64" s="438" t="s">
        <v>612</v>
      </c>
      <c r="U64" s="450"/>
      <c r="V64" s="450"/>
      <c r="W64" s="450"/>
      <c r="X64" s="450"/>
      <c r="Y64" s="661"/>
      <c r="Z64" s="661"/>
      <c r="AA64" s="450"/>
      <c r="AB64" s="450"/>
      <c r="AC64" s="450"/>
      <c r="AD64" s="406"/>
      <c r="AR64" s="406"/>
      <c r="BN64" s="407"/>
    </row>
    <row r="65" ht="40.5" customHeight="1">
      <c r="A65" s="662"/>
      <c r="B65" s="662"/>
      <c r="C65" s="662"/>
      <c r="D65" s="662"/>
      <c r="E65" s="662"/>
      <c r="F65" s="662"/>
      <c r="G65" s="662"/>
      <c r="H65" s="662"/>
      <c r="I65" s="662"/>
      <c r="J65" s="662"/>
      <c r="K65" s="662"/>
      <c r="L65" s="662"/>
      <c r="M65" s="662"/>
      <c r="N65" s="662"/>
      <c r="O65" s="662"/>
      <c r="P65" s="662"/>
      <c r="Q65" s="662"/>
      <c r="R65" s="651"/>
      <c r="S65" s="432" t="s">
        <v>674</v>
      </c>
      <c r="T65" s="439">
        <f>ROUNDUP(T72/500,0)</f>
        <v>1</v>
      </c>
      <c r="U65" s="450"/>
      <c r="V65" s="450"/>
      <c r="W65" s="450"/>
      <c r="X65" s="450"/>
      <c r="Y65" s="450"/>
      <c r="Z65" s="450"/>
      <c r="AA65" s="450"/>
      <c r="AB65" s="450"/>
      <c r="AC65" s="450"/>
      <c r="AD65" s="406"/>
      <c r="AR65" s="406"/>
      <c r="BN65" s="407"/>
    </row>
    <row r="66" ht="40.5" customHeight="1">
      <c r="A66" s="662"/>
      <c r="B66" s="662"/>
      <c r="C66" s="662"/>
      <c r="D66" s="662"/>
      <c r="E66" s="662"/>
      <c r="F66" s="662"/>
      <c r="G66" s="662"/>
      <c r="H66" s="662"/>
      <c r="I66" s="662"/>
      <c r="J66" s="662"/>
      <c r="K66" s="662"/>
      <c r="L66" s="662"/>
      <c r="M66" s="662"/>
      <c r="N66" s="662"/>
      <c r="O66" s="662"/>
      <c r="P66" s="662"/>
      <c r="Q66" s="662"/>
      <c r="R66" s="651"/>
      <c r="S66" s="440"/>
      <c r="T66" s="441"/>
      <c r="U66" s="450"/>
      <c r="V66" s="450"/>
      <c r="W66" s="450"/>
      <c r="X66" s="450"/>
      <c r="Y66" s="450"/>
      <c r="Z66" s="450"/>
      <c r="AA66" s="450"/>
      <c r="AB66" s="450"/>
      <c r="AC66" s="450"/>
      <c r="AD66" s="406"/>
      <c r="AR66" s="406"/>
      <c r="BN66" s="407"/>
    </row>
    <row r="67" ht="40.5" customHeight="1">
      <c r="A67" s="662"/>
      <c r="B67" s="662"/>
      <c r="C67" s="662"/>
      <c r="D67" s="662"/>
      <c r="E67" s="662"/>
      <c r="F67" s="662"/>
      <c r="G67" s="662"/>
      <c r="H67" s="662"/>
      <c r="I67" s="662"/>
      <c r="J67" s="662"/>
      <c r="K67" s="662"/>
      <c r="L67" s="662"/>
      <c r="M67" s="662"/>
      <c r="N67" s="662"/>
      <c r="O67" s="662"/>
      <c r="P67" s="662"/>
      <c r="Q67" s="662"/>
      <c r="R67" s="651"/>
      <c r="S67" s="440"/>
      <c r="T67" s="440"/>
      <c r="U67" s="450"/>
      <c r="V67" s="450"/>
      <c r="W67" s="450"/>
      <c r="X67" s="450"/>
      <c r="Y67" s="450"/>
      <c r="Z67" s="450"/>
      <c r="AA67" s="450"/>
      <c r="AB67" s="450"/>
      <c r="AC67" s="450"/>
      <c r="AD67" s="406"/>
      <c r="AR67" s="406"/>
      <c r="BN67" s="407"/>
    </row>
    <row r="68" ht="40.5" customHeight="1">
      <c r="A68" s="662"/>
      <c r="B68" s="662"/>
      <c r="C68" s="662"/>
      <c r="D68" s="662"/>
      <c r="E68" s="662"/>
      <c r="F68" s="662"/>
      <c r="G68" s="662"/>
      <c r="H68" s="662"/>
      <c r="I68" s="662"/>
      <c r="J68" s="662"/>
      <c r="K68" s="662"/>
      <c r="L68" s="662"/>
      <c r="M68" s="662"/>
      <c r="N68" s="662"/>
      <c r="O68" s="662"/>
      <c r="P68" s="662"/>
      <c r="Q68" s="662"/>
      <c r="R68" s="651"/>
      <c r="S68" s="440"/>
      <c r="T68" s="441"/>
      <c r="U68" s="450"/>
      <c r="V68" s="450"/>
      <c r="W68" s="450"/>
      <c r="X68" s="450"/>
      <c r="Y68" s="450"/>
      <c r="Z68" s="450"/>
      <c r="AA68" s="450"/>
      <c r="AB68" s="450"/>
      <c r="AC68" s="450"/>
      <c r="AD68" s="406"/>
      <c r="AR68" s="406"/>
      <c r="BN68" s="407"/>
    </row>
    <row r="69" ht="40.5" customHeight="1">
      <c r="A69" s="662"/>
      <c r="B69" s="662"/>
      <c r="C69" s="662"/>
      <c r="D69" s="662"/>
      <c r="E69" s="662"/>
      <c r="F69" s="662"/>
      <c r="G69" s="662"/>
      <c r="H69" s="662"/>
      <c r="I69" s="662"/>
      <c r="J69" s="662"/>
      <c r="K69" s="662"/>
      <c r="L69" s="662"/>
      <c r="M69" s="662"/>
      <c r="N69" s="662"/>
      <c r="O69" s="662"/>
      <c r="P69" s="662"/>
      <c r="Q69" s="662"/>
      <c r="R69" s="651"/>
      <c r="S69" s="432" t="s">
        <v>675</v>
      </c>
      <c r="T69" s="445">
        <f>IF((T70="double"),(T72*T73/5000),(T72*T73/10000))</f>
        <v>25</v>
      </c>
      <c r="U69" s="450"/>
      <c r="V69" s="450"/>
      <c r="W69" s="450"/>
      <c r="X69" s="450"/>
      <c r="Y69" s="450"/>
      <c r="Z69" s="450"/>
      <c r="AB69" s="450"/>
      <c r="AC69" s="450"/>
      <c r="AD69" s="406"/>
      <c r="AR69" s="406"/>
      <c r="BN69" s="407"/>
    </row>
    <row r="70" ht="40.5" customHeight="1">
      <c r="A70" s="662"/>
      <c r="B70" s="662"/>
      <c r="C70" s="662"/>
      <c r="D70" s="662"/>
      <c r="E70" s="662"/>
      <c r="F70" s="662"/>
      <c r="G70" s="662"/>
      <c r="H70" s="662"/>
      <c r="I70" s="662"/>
      <c r="J70" s="662"/>
      <c r="K70" s="662"/>
      <c r="L70" s="662"/>
      <c r="M70" s="662"/>
      <c r="N70" s="662"/>
      <c r="O70" s="662"/>
      <c r="P70" s="662"/>
      <c r="Q70" s="662"/>
      <c r="R70" s="651"/>
      <c r="S70" s="432" t="s">
        <v>676</v>
      </c>
      <c r="T70" s="451" t="s">
        <v>344</v>
      </c>
      <c r="U70" s="450"/>
      <c r="V70" s="450"/>
      <c r="W70" s="450"/>
      <c r="X70" s="450"/>
      <c r="Y70" s="450"/>
      <c r="Z70" s="450"/>
      <c r="AA70" s="450"/>
      <c r="AB70" s="450"/>
      <c r="AC70" s="450"/>
      <c r="AD70" s="406"/>
      <c r="AR70" s="406"/>
      <c r="BN70" s="407"/>
    </row>
    <row r="71" ht="40.5" customHeight="1">
      <c r="A71" s="662"/>
      <c r="B71" s="662"/>
      <c r="C71" s="662"/>
      <c r="D71" s="662"/>
      <c r="E71" s="662"/>
      <c r="F71" s="662"/>
      <c r="G71" s="662"/>
      <c r="H71" s="662"/>
      <c r="I71" s="662"/>
      <c r="J71" s="662"/>
      <c r="K71" s="662"/>
      <c r="L71" s="662"/>
      <c r="M71" s="662"/>
      <c r="N71" s="662"/>
      <c r="O71" s="662"/>
      <c r="P71" s="662"/>
      <c r="Q71" s="662"/>
      <c r="R71" s="651"/>
      <c r="S71" s="432" t="s">
        <v>658</v>
      </c>
      <c r="T71" s="445" t="s">
        <v>613</v>
      </c>
      <c r="U71" s="450"/>
      <c r="V71" s="450"/>
      <c r="W71" s="450"/>
      <c r="X71" s="450"/>
      <c r="Y71" s="450"/>
      <c r="Z71" s="450"/>
      <c r="AA71" s="450"/>
      <c r="AC71" s="452">
        <f>T73</f>
        <v>500</v>
      </c>
      <c r="AD71" s="406"/>
      <c r="AR71" s="406"/>
      <c r="BN71" s="407"/>
    </row>
    <row r="72" ht="40.5" customHeight="1">
      <c r="A72" s="662"/>
      <c r="B72" s="662"/>
      <c r="C72" s="662"/>
      <c r="D72" s="662"/>
      <c r="E72" s="662"/>
      <c r="F72" s="662"/>
      <c r="G72" s="662"/>
      <c r="H72" s="662"/>
      <c r="I72" s="662"/>
      <c r="J72" s="662"/>
      <c r="K72" s="662"/>
      <c r="L72" s="662"/>
      <c r="M72" s="662"/>
      <c r="N72" s="662"/>
      <c r="O72" s="662"/>
      <c r="P72" s="662"/>
      <c r="Q72" s="662"/>
      <c r="R72" s="651"/>
      <c r="S72" s="432" t="s">
        <v>659</v>
      </c>
      <c r="T72" s="447">
        <v>500</v>
      </c>
      <c r="U72" s="450"/>
      <c r="V72" s="450"/>
      <c r="W72" s="450"/>
      <c r="X72" s="450"/>
      <c r="Y72" s="450"/>
      <c r="Z72" s="450"/>
      <c r="AA72" s="450"/>
      <c r="AC72" s="450"/>
      <c r="AD72" s="406"/>
      <c r="AR72" s="406"/>
      <c r="BN72" s="407"/>
    </row>
    <row r="73" ht="40.5" customHeight="1">
      <c r="A73" s="662"/>
      <c r="B73" s="662"/>
      <c r="C73" s="662"/>
      <c r="D73" s="662"/>
      <c r="E73" s="662"/>
      <c r="F73" s="662"/>
      <c r="G73" s="662"/>
      <c r="H73" s="662"/>
      <c r="I73" s="662"/>
      <c r="J73" s="662"/>
      <c r="K73" s="662"/>
      <c r="L73" s="662"/>
      <c r="M73" s="662"/>
      <c r="N73" s="662"/>
      <c r="O73" s="662"/>
      <c r="P73" s="662"/>
      <c r="Q73" s="662"/>
      <c r="R73" s="651"/>
      <c r="S73" s="432" t="s">
        <v>661</v>
      </c>
      <c r="T73" s="447">
        <v>500</v>
      </c>
      <c r="U73" s="450"/>
      <c r="V73" s="450"/>
      <c r="X73" s="450"/>
      <c r="Y73" s="450"/>
      <c r="Z73" s="450"/>
      <c r="AA73" s="450"/>
      <c r="AC73" s="450"/>
      <c r="AD73" s="406"/>
      <c r="AR73" s="406"/>
      <c r="BN73" s="407"/>
    </row>
    <row r="74" ht="39.75" customHeight="1">
      <c r="A74" s="662"/>
      <c r="B74" s="662"/>
      <c r="C74" s="662"/>
      <c r="D74" s="662"/>
      <c r="E74" s="662"/>
      <c r="F74" s="662"/>
      <c r="G74" s="662"/>
      <c r="H74" s="662"/>
      <c r="I74" s="662"/>
      <c r="J74" s="662"/>
      <c r="K74" s="662"/>
      <c r="L74" s="662"/>
      <c r="M74" s="662"/>
      <c r="N74" s="662"/>
      <c r="O74" s="662"/>
      <c r="P74" s="662"/>
      <c r="Q74" s="662"/>
      <c r="R74" s="651"/>
      <c r="S74" s="450"/>
      <c r="T74" s="450"/>
      <c r="U74" s="450"/>
      <c r="V74" s="450"/>
      <c r="W74" s="450"/>
      <c r="X74" s="450"/>
      <c r="Y74" s="450"/>
      <c r="Z74" s="450"/>
      <c r="AA74" s="450"/>
      <c r="AB74" s="450"/>
      <c r="AC74" s="450"/>
      <c r="AD74" s="406"/>
      <c r="AR74" s="406"/>
      <c r="BN74" s="407"/>
    </row>
    <row r="75" ht="39.75" customHeight="1">
      <c r="A75" s="662"/>
      <c r="B75" s="662"/>
      <c r="C75" s="662"/>
      <c r="D75" s="662"/>
      <c r="E75" s="662"/>
      <c r="F75" s="662"/>
      <c r="G75" s="662"/>
      <c r="H75" s="662"/>
      <c r="I75" s="662"/>
      <c r="J75" s="662"/>
      <c r="K75" s="662"/>
      <c r="L75" s="662"/>
      <c r="M75" s="662"/>
      <c r="N75" s="662"/>
      <c r="O75" s="662"/>
      <c r="P75" s="662"/>
      <c r="Q75" s="662"/>
      <c r="R75" s="651"/>
      <c r="S75" s="450"/>
      <c r="T75" s="450"/>
      <c r="U75" s="450"/>
      <c r="V75" s="450"/>
      <c r="W75" s="452">
        <f>T72</f>
        <v>500</v>
      </c>
      <c r="X75" s="450"/>
      <c r="Y75" s="450"/>
      <c r="Z75" s="450"/>
      <c r="AA75" s="450"/>
      <c r="AC75" s="450"/>
      <c r="AD75" s="406"/>
      <c r="AR75" s="406"/>
      <c r="BN75" s="407"/>
    </row>
    <row r="76" ht="39.75" customHeight="1">
      <c r="A76" s="662"/>
      <c r="B76" s="662"/>
      <c r="C76" s="662"/>
      <c r="D76" s="662"/>
      <c r="E76" s="662"/>
      <c r="F76" s="662"/>
      <c r="G76" s="662"/>
      <c r="H76" s="662"/>
      <c r="I76" s="662"/>
      <c r="J76" s="662"/>
      <c r="K76" s="662"/>
      <c r="L76" s="662"/>
      <c r="M76" s="662"/>
      <c r="N76" s="662"/>
      <c r="O76" s="662"/>
      <c r="P76" s="662"/>
      <c r="Q76" s="662"/>
      <c r="R76" s="651"/>
      <c r="S76" s="450"/>
      <c r="T76" s="450"/>
      <c r="U76" s="450"/>
      <c r="V76" s="450"/>
      <c r="Y76" s="450"/>
      <c r="Z76" s="450"/>
      <c r="AA76" s="450"/>
      <c r="AB76" s="450"/>
      <c r="AC76" s="450"/>
      <c r="AD76" s="406"/>
      <c r="AR76" s="406"/>
      <c r="BN76" s="407"/>
    </row>
    <row r="77" ht="15" customHeight="1">
      <c r="A77" s="490"/>
      <c r="B77" s="490"/>
      <c r="C77" s="490"/>
      <c r="D77" s="490"/>
      <c r="E77" s="490"/>
      <c r="F77" s="490"/>
      <c r="G77" s="490"/>
      <c r="H77" s="490"/>
      <c r="I77" s="490"/>
      <c r="J77" s="490"/>
      <c r="K77" s="490"/>
      <c r="L77" s="490"/>
      <c r="M77" s="490"/>
      <c r="N77" s="490"/>
      <c r="O77" s="490"/>
      <c r="P77" s="490"/>
      <c r="Q77" s="490"/>
      <c r="R77" s="651"/>
      <c r="AD77" s="406"/>
      <c r="AR77" s="406"/>
      <c r="BN77" s="407"/>
    </row>
    <row r="78" ht="15" customHeight="1">
      <c r="A78" s="659" t="s">
        <v>678</v>
      </c>
      <c r="B78" s="659"/>
      <c r="C78" s="659"/>
      <c r="D78" s="659"/>
      <c r="E78" s="659"/>
      <c r="F78" s="659"/>
      <c r="G78" s="659"/>
      <c r="H78" s="659"/>
      <c r="I78" s="659"/>
      <c r="J78" s="659"/>
      <c r="K78" s="659"/>
      <c r="L78" s="659"/>
      <c r="M78" s="659"/>
      <c r="N78" s="659"/>
      <c r="O78" s="659"/>
      <c r="P78" s="659"/>
      <c r="Q78" s="659"/>
      <c r="R78" s="651"/>
      <c r="S78" s="491"/>
      <c r="T78" s="491"/>
      <c r="U78" s="491"/>
      <c r="V78" s="491"/>
      <c r="W78" s="491"/>
      <c r="X78" s="491"/>
      <c r="Y78" s="491"/>
      <c r="Z78" s="491"/>
      <c r="AA78" s="491"/>
      <c r="AB78" s="491"/>
      <c r="AC78" s="491"/>
      <c r="AD78" s="406"/>
      <c r="AR78" s="406"/>
      <c r="BN78" s="407"/>
    </row>
    <row r="79" ht="38.25" customHeight="1">
      <c r="A79" s="659"/>
      <c r="B79" s="659"/>
      <c r="C79" s="659"/>
      <c r="D79" s="659"/>
      <c r="E79" s="659"/>
      <c r="F79" s="659"/>
      <c r="G79" s="659"/>
      <c r="H79" s="659"/>
      <c r="I79" s="659"/>
      <c r="J79" s="659"/>
      <c r="K79" s="659"/>
      <c r="L79" s="659"/>
      <c r="M79" s="659"/>
      <c r="N79" s="659"/>
      <c r="O79" s="659"/>
      <c r="P79" s="659"/>
      <c r="Q79" s="659"/>
      <c r="R79" s="651"/>
      <c r="AC79" s="406"/>
      <c r="AQ79" s="406"/>
      <c r="BB79" s="406"/>
      <c r="BM79" s="407"/>
    </row>
    <row r="80" ht="38.25" customHeight="1">
      <c r="A80" s="659"/>
      <c r="B80" s="659"/>
      <c r="C80" s="659"/>
      <c r="D80" s="659"/>
      <c r="E80" s="659"/>
      <c r="F80" s="659"/>
      <c r="G80" s="659"/>
      <c r="H80" s="659"/>
      <c r="I80" s="659"/>
      <c r="J80" s="659"/>
      <c r="K80" s="659"/>
      <c r="L80" s="659"/>
      <c r="M80" s="659"/>
      <c r="N80" s="659"/>
      <c r="O80" s="659"/>
      <c r="P80" s="659"/>
      <c r="Q80" s="659"/>
      <c r="R80" s="651"/>
      <c r="AQ80" s="406"/>
      <c r="BB80" s="406"/>
      <c r="BM80" s="407"/>
    </row>
    <row r="81" ht="38.25" customHeight="1">
      <c r="A81" s="659"/>
      <c r="B81" s="659"/>
      <c r="C81" s="659"/>
      <c r="D81" s="659"/>
      <c r="E81" s="659"/>
      <c r="F81" s="659"/>
      <c r="G81" s="659"/>
      <c r="H81" s="659"/>
      <c r="I81" s="659"/>
      <c r="J81" s="659"/>
      <c r="K81" s="659"/>
      <c r="L81" s="659"/>
      <c r="M81" s="659"/>
      <c r="N81" s="659"/>
      <c r="O81" s="659"/>
      <c r="P81" s="659"/>
      <c r="Q81" s="659"/>
      <c r="R81" s="651"/>
      <c r="AQ81" s="406"/>
      <c r="BB81" s="406"/>
      <c r="BM81" s="407"/>
    </row>
    <row r="82" ht="38.25" customHeight="1">
      <c r="A82" s="659"/>
      <c r="B82" s="659"/>
      <c r="C82" s="659"/>
      <c r="D82" s="659"/>
      <c r="E82" s="659"/>
      <c r="F82" s="659"/>
      <c r="G82" s="659"/>
      <c r="H82" s="659"/>
      <c r="I82" s="659"/>
      <c r="J82" s="659"/>
      <c r="K82" s="659"/>
      <c r="L82" s="659"/>
      <c r="M82" s="659"/>
      <c r="N82" s="659"/>
      <c r="O82" s="659"/>
      <c r="P82" s="659"/>
      <c r="Q82" s="659"/>
      <c r="R82" s="651"/>
      <c r="AQ82" s="406"/>
      <c r="BB82" s="406"/>
      <c r="BM82" s="407"/>
    </row>
    <row r="83" ht="38.25" customHeight="1">
      <c r="A83" s="659"/>
      <c r="B83" s="659"/>
      <c r="C83" s="659"/>
      <c r="D83" s="659"/>
      <c r="E83" s="659"/>
      <c r="F83" s="659"/>
      <c r="G83" s="659"/>
      <c r="H83" s="659"/>
      <c r="I83" s="659"/>
      <c r="J83" s="659"/>
      <c r="K83" s="659"/>
      <c r="L83" s="659"/>
      <c r="M83" s="659"/>
      <c r="N83" s="659"/>
      <c r="O83" s="659"/>
      <c r="P83" s="659"/>
      <c r="Q83" s="659"/>
      <c r="R83" s="651"/>
      <c r="AQ83" s="406"/>
      <c r="BB83" s="406"/>
      <c r="BM83" s="407"/>
    </row>
    <row r="84" ht="38.25" customHeight="1">
      <c r="A84" s="659"/>
      <c r="B84" s="659"/>
      <c r="C84" s="659"/>
      <c r="D84" s="659"/>
      <c r="E84" s="659"/>
      <c r="F84" s="659"/>
      <c r="G84" s="659"/>
      <c r="H84" s="659"/>
      <c r="I84" s="659"/>
      <c r="J84" s="659"/>
      <c r="K84" s="659"/>
      <c r="L84" s="659"/>
      <c r="M84" s="659"/>
      <c r="N84" s="659"/>
      <c r="O84" s="659"/>
      <c r="P84" s="659"/>
      <c r="Q84" s="659"/>
      <c r="R84" s="651"/>
      <c r="AQ84" s="406"/>
      <c r="BB84" s="406"/>
      <c r="BM84" s="407"/>
    </row>
    <row r="85" ht="38.25" customHeight="1">
      <c r="A85" s="659"/>
      <c r="B85" s="659"/>
      <c r="C85" s="659"/>
      <c r="D85" s="659"/>
      <c r="E85" s="659"/>
      <c r="F85" s="659"/>
      <c r="G85" s="659"/>
      <c r="H85" s="659"/>
      <c r="I85" s="659"/>
      <c r="J85" s="659"/>
      <c r="K85" s="659"/>
      <c r="L85" s="659"/>
      <c r="M85" s="659"/>
      <c r="N85" s="659"/>
      <c r="O85" s="659"/>
      <c r="P85" s="659"/>
      <c r="Q85" s="659"/>
      <c r="R85" s="651"/>
      <c r="AQ85" s="406"/>
      <c r="BB85" s="406"/>
      <c r="BM85" s="407"/>
    </row>
    <row r="86" ht="38.25" customHeight="1">
      <c r="A86" s="659"/>
      <c r="B86" s="659"/>
      <c r="C86" s="659"/>
      <c r="D86" s="659"/>
      <c r="E86" s="659"/>
      <c r="F86" s="659"/>
      <c r="G86" s="659"/>
      <c r="H86" s="659"/>
      <c r="I86" s="659"/>
      <c r="J86" s="659"/>
      <c r="K86" s="659"/>
      <c r="L86" s="659"/>
      <c r="M86" s="659"/>
      <c r="N86" s="659"/>
      <c r="O86" s="659"/>
      <c r="P86" s="659"/>
      <c r="Q86" s="659"/>
      <c r="R86" s="651"/>
      <c r="AQ86" s="406"/>
      <c r="BB86" s="406"/>
      <c r="BM86" s="407"/>
    </row>
    <row r="87" ht="38.25" customHeight="1">
      <c r="A87" s="659"/>
      <c r="B87" s="659"/>
      <c r="C87" s="659"/>
      <c r="D87" s="659"/>
      <c r="E87" s="659"/>
      <c r="F87" s="659"/>
      <c r="G87" s="659"/>
      <c r="H87" s="659"/>
      <c r="I87" s="659"/>
      <c r="J87" s="659"/>
      <c r="K87" s="659"/>
      <c r="L87" s="659"/>
      <c r="M87" s="659"/>
      <c r="N87" s="659"/>
      <c r="O87" s="659"/>
      <c r="P87" s="659"/>
      <c r="Q87" s="659"/>
      <c r="R87" s="651"/>
      <c r="AQ87" s="406"/>
      <c r="BB87" s="406"/>
      <c r="BM87" s="407"/>
    </row>
    <row r="88" ht="38.25" customHeight="1">
      <c r="A88" s="659"/>
      <c r="B88" s="659"/>
      <c r="C88" s="659"/>
      <c r="D88" s="659"/>
      <c r="E88" s="659"/>
      <c r="F88" s="659"/>
      <c r="G88" s="659"/>
      <c r="H88" s="659"/>
      <c r="I88" s="659"/>
      <c r="J88" s="659"/>
      <c r="K88" s="659"/>
      <c r="L88" s="659"/>
      <c r="M88" s="659"/>
      <c r="N88" s="659"/>
      <c r="O88" s="659"/>
      <c r="P88" s="659"/>
      <c r="Q88" s="659"/>
      <c r="R88" s="651"/>
      <c r="AQ88" s="406"/>
      <c r="BB88" s="406"/>
      <c r="BM88" s="407"/>
    </row>
    <row r="89" ht="38.25" customHeight="1">
      <c r="A89" s="659"/>
      <c r="B89" s="659"/>
      <c r="C89" s="659"/>
      <c r="D89" s="659"/>
      <c r="E89" s="659"/>
      <c r="F89" s="659"/>
      <c r="G89" s="659"/>
      <c r="H89" s="659"/>
      <c r="I89" s="659"/>
      <c r="J89" s="659"/>
      <c r="K89" s="659"/>
      <c r="L89" s="659"/>
      <c r="M89" s="659"/>
      <c r="N89" s="659"/>
      <c r="O89" s="659"/>
      <c r="P89" s="659"/>
      <c r="Q89" s="659"/>
      <c r="R89" s="651"/>
      <c r="AQ89" s="406"/>
      <c r="BB89" s="406"/>
      <c r="BM89" s="407"/>
    </row>
    <row r="90" ht="38.25" customHeight="1">
      <c r="A90" s="659"/>
      <c r="B90" s="659"/>
      <c r="C90" s="659"/>
      <c r="D90" s="659"/>
      <c r="E90" s="659"/>
      <c r="F90" s="659"/>
      <c r="G90" s="659"/>
      <c r="H90" s="659"/>
      <c r="I90" s="659"/>
      <c r="J90" s="659"/>
      <c r="K90" s="659"/>
      <c r="L90" s="659"/>
      <c r="M90" s="659"/>
      <c r="N90" s="659"/>
      <c r="O90" s="659"/>
      <c r="P90" s="659"/>
      <c r="Q90" s="659"/>
      <c r="R90" s="651"/>
      <c r="AQ90" s="406"/>
      <c r="BB90" s="406"/>
      <c r="BM90" s="407"/>
    </row>
    <row r="91" ht="38.25" customHeight="1">
      <c r="A91" s="659"/>
      <c r="B91" s="659"/>
      <c r="C91" s="659"/>
      <c r="D91" s="659"/>
      <c r="E91" s="659"/>
      <c r="F91" s="659"/>
      <c r="G91" s="659"/>
      <c r="H91" s="659"/>
      <c r="I91" s="659"/>
      <c r="J91" s="659"/>
      <c r="K91" s="659"/>
      <c r="L91" s="659"/>
      <c r="M91" s="659"/>
      <c r="N91" s="659"/>
      <c r="O91" s="659"/>
      <c r="P91" s="659"/>
      <c r="Q91" s="659"/>
      <c r="R91" s="651"/>
      <c r="AQ91" s="406"/>
      <c r="BB91" s="406"/>
      <c r="BM91" s="407"/>
    </row>
    <row r="92" ht="38.25" customHeight="1">
      <c r="A92" s="659"/>
      <c r="B92" s="659"/>
      <c r="C92" s="659"/>
      <c r="D92" s="659"/>
      <c r="E92" s="659"/>
      <c r="F92" s="659"/>
      <c r="G92" s="659"/>
      <c r="H92" s="659"/>
      <c r="I92" s="659"/>
      <c r="J92" s="659"/>
      <c r="K92" s="659"/>
      <c r="L92" s="659"/>
      <c r="M92" s="659"/>
      <c r="N92" s="659"/>
      <c r="O92" s="659"/>
      <c r="P92" s="659"/>
      <c r="Q92" s="659"/>
      <c r="R92" s="651"/>
      <c r="AQ92" s="406"/>
      <c r="BB92" s="406"/>
      <c r="BM92" s="407"/>
    </row>
    <row r="93" ht="38.25" customHeight="1">
      <c r="A93" s="659"/>
      <c r="B93" s="659"/>
      <c r="C93" s="659"/>
      <c r="D93" s="659"/>
      <c r="E93" s="659"/>
      <c r="F93" s="659"/>
      <c r="G93" s="659"/>
      <c r="H93" s="659"/>
      <c r="I93" s="659"/>
      <c r="J93" s="659"/>
      <c r="K93" s="659"/>
      <c r="L93" s="659"/>
      <c r="M93" s="659"/>
      <c r="N93" s="659"/>
      <c r="O93" s="659"/>
      <c r="P93" s="659"/>
      <c r="Q93" s="659"/>
      <c r="R93" s="651"/>
      <c r="AQ93" s="406"/>
      <c r="BB93" s="406"/>
      <c r="BM93" s="407"/>
    </row>
    <row r="94" ht="38.25" customHeight="1">
      <c r="A94" s="659"/>
      <c r="B94" s="659"/>
      <c r="C94" s="659"/>
      <c r="D94" s="659"/>
      <c r="E94" s="659"/>
      <c r="F94" s="659"/>
      <c r="G94" s="659"/>
      <c r="H94" s="659"/>
      <c r="I94" s="659"/>
      <c r="J94" s="659"/>
      <c r="K94" s="659"/>
      <c r="L94" s="659"/>
      <c r="M94" s="659"/>
      <c r="N94" s="659"/>
      <c r="O94" s="659"/>
      <c r="P94" s="659"/>
      <c r="Q94" s="659"/>
      <c r="R94" s="651"/>
      <c r="AQ94" s="406"/>
      <c r="BB94" s="406"/>
      <c r="BM94" s="407"/>
    </row>
    <row r="95" ht="38.25" customHeight="1">
      <c r="A95" s="659"/>
      <c r="B95" s="659"/>
      <c r="C95" s="659"/>
      <c r="D95" s="659"/>
      <c r="E95" s="659"/>
      <c r="F95" s="659"/>
      <c r="G95" s="659"/>
      <c r="H95" s="659"/>
      <c r="I95" s="659"/>
      <c r="J95" s="659"/>
      <c r="K95" s="659"/>
      <c r="L95" s="659"/>
      <c r="M95" s="659"/>
      <c r="N95" s="659"/>
      <c r="O95" s="659"/>
      <c r="P95" s="659"/>
      <c r="Q95" s="659"/>
      <c r="R95" s="651"/>
      <c r="AQ95" s="406"/>
      <c r="BB95" s="406"/>
      <c r="BM95" s="407"/>
    </row>
    <row r="96" ht="38.25" customHeight="1">
      <c r="A96" s="659"/>
      <c r="B96" s="659"/>
      <c r="C96" s="659"/>
      <c r="D96" s="659"/>
      <c r="E96" s="659"/>
      <c r="F96" s="659"/>
      <c r="G96" s="659"/>
      <c r="H96" s="659"/>
      <c r="I96" s="659"/>
      <c r="J96" s="659"/>
      <c r="K96" s="659"/>
      <c r="L96" s="659"/>
      <c r="M96" s="659"/>
      <c r="N96" s="659"/>
      <c r="O96" s="659"/>
      <c r="P96" s="659"/>
      <c r="Q96" s="659"/>
      <c r="R96" s="651"/>
      <c r="AQ96" s="406"/>
      <c r="BB96" s="406"/>
      <c r="BM96" s="407"/>
    </row>
    <row r="97" ht="39" customHeight="1">
      <c r="A97" s="659"/>
      <c r="B97" s="659"/>
      <c r="C97" s="659"/>
      <c r="D97" s="659"/>
      <c r="E97" s="659"/>
      <c r="F97" s="659"/>
      <c r="G97" s="659"/>
      <c r="H97" s="659"/>
      <c r="I97" s="659"/>
      <c r="J97" s="659"/>
      <c r="K97" s="659"/>
      <c r="L97" s="659"/>
      <c r="M97" s="659"/>
      <c r="N97" s="659"/>
      <c r="O97" s="659"/>
      <c r="P97" s="659"/>
      <c r="Q97" s="659"/>
      <c r="R97" s="651"/>
      <c r="AQ97" s="406"/>
      <c r="BB97" s="406"/>
      <c r="BM97" s="407"/>
    </row>
    <row r="98" ht="39" customHeight="1">
      <c r="A98" s="659" t="s">
        <v>679</v>
      </c>
      <c r="B98" s="659"/>
      <c r="C98" s="659"/>
      <c r="D98" s="659"/>
      <c r="E98" s="659"/>
      <c r="F98" s="659"/>
      <c r="G98" s="659"/>
      <c r="H98" s="659"/>
      <c r="I98" s="659"/>
      <c r="J98" s="659"/>
      <c r="K98" s="659"/>
      <c r="L98" s="659"/>
      <c r="M98" s="659"/>
      <c r="N98" s="659"/>
      <c r="O98" s="659"/>
      <c r="P98" s="659"/>
      <c r="Q98" s="659"/>
      <c r="R98" s="651"/>
      <c r="AR98" s="406"/>
      <c r="BN98" s="407"/>
    </row>
    <row r="99" ht="39" customHeight="1">
      <c r="A99" s="659"/>
      <c r="B99" s="659"/>
      <c r="C99" s="659"/>
      <c r="D99" s="659"/>
      <c r="E99" s="659"/>
      <c r="F99" s="659"/>
      <c r="G99" s="659"/>
      <c r="H99" s="659"/>
      <c r="I99" s="659"/>
      <c r="J99" s="659"/>
      <c r="K99" s="659"/>
      <c r="L99" s="659"/>
      <c r="M99" s="659"/>
      <c r="N99" s="659"/>
      <c r="O99" s="659"/>
      <c r="P99" s="659"/>
      <c r="Q99" s="659"/>
      <c r="R99" s="651"/>
      <c r="AR99" s="406"/>
      <c r="BN99" s="407"/>
    </row>
    <row r="100" ht="39" customHeight="1">
      <c r="A100" s="659"/>
      <c r="B100" s="659"/>
      <c r="C100" s="659"/>
      <c r="D100" s="659"/>
      <c r="E100" s="659"/>
      <c r="F100" s="659"/>
      <c r="G100" s="659"/>
      <c r="H100" s="659"/>
      <c r="I100" s="659"/>
      <c r="J100" s="659"/>
      <c r="K100" s="659"/>
      <c r="L100" s="659"/>
      <c r="M100" s="659"/>
      <c r="N100" s="659"/>
      <c r="O100" s="659"/>
      <c r="P100" s="659"/>
      <c r="Q100" s="659"/>
      <c r="R100" s="651"/>
      <c r="AR100" s="406"/>
      <c r="BN100" s="407"/>
    </row>
    <row r="101" ht="39" customHeight="1">
      <c r="A101" s="659"/>
      <c r="B101" s="659"/>
      <c r="C101" s="659"/>
      <c r="D101" s="659"/>
      <c r="E101" s="659"/>
      <c r="F101" s="659"/>
      <c r="G101" s="659"/>
      <c r="H101" s="659"/>
      <c r="I101" s="659"/>
      <c r="J101" s="659"/>
      <c r="K101" s="659"/>
      <c r="L101" s="659"/>
      <c r="M101" s="659"/>
      <c r="N101" s="659"/>
      <c r="O101" s="659"/>
      <c r="P101" s="659"/>
      <c r="Q101" s="659"/>
      <c r="R101" s="651"/>
      <c r="AR101" s="406"/>
      <c r="BN101" s="407"/>
    </row>
    <row r="102" ht="39" customHeight="1">
      <c r="A102" s="659"/>
      <c r="B102" s="659"/>
      <c r="C102" s="659"/>
      <c r="D102" s="659"/>
      <c r="E102" s="659"/>
      <c r="F102" s="659"/>
      <c r="G102" s="659"/>
      <c r="H102" s="659"/>
      <c r="I102" s="659"/>
      <c r="J102" s="659"/>
      <c r="K102" s="659"/>
      <c r="L102" s="659"/>
      <c r="M102" s="659"/>
      <c r="N102" s="659"/>
      <c r="O102" s="659"/>
      <c r="P102" s="659"/>
      <c r="Q102" s="659"/>
      <c r="R102" s="651"/>
      <c r="AR102" s="406"/>
      <c r="BN102" s="407"/>
    </row>
    <row r="103" ht="39" customHeight="1">
      <c r="A103" s="659"/>
      <c r="B103" s="659"/>
      <c r="C103" s="659"/>
      <c r="D103" s="659"/>
      <c r="E103" s="659"/>
      <c r="F103" s="659"/>
      <c r="G103" s="659"/>
      <c r="H103" s="659"/>
      <c r="I103" s="659"/>
      <c r="J103" s="659"/>
      <c r="K103" s="659"/>
      <c r="L103" s="659"/>
      <c r="M103" s="659"/>
      <c r="N103" s="659"/>
      <c r="O103" s="659"/>
      <c r="P103" s="659"/>
      <c r="Q103" s="659"/>
      <c r="R103" s="651"/>
      <c r="AR103" s="406"/>
      <c r="BN103" s="407"/>
    </row>
    <row r="104" ht="39" customHeight="1">
      <c r="A104" s="659"/>
      <c r="B104" s="659"/>
      <c r="C104" s="659"/>
      <c r="D104" s="659"/>
      <c r="E104" s="659"/>
      <c r="F104" s="659"/>
      <c r="G104" s="659"/>
      <c r="H104" s="659"/>
      <c r="I104" s="659"/>
      <c r="J104" s="659"/>
      <c r="K104" s="659"/>
      <c r="L104" s="659"/>
      <c r="M104" s="659"/>
      <c r="N104" s="659"/>
      <c r="O104" s="659"/>
      <c r="P104" s="659"/>
      <c r="Q104" s="659"/>
      <c r="R104" s="651"/>
      <c r="AR104" s="406"/>
      <c r="BN104" s="407"/>
    </row>
    <row r="105" ht="39" customHeight="1">
      <c r="A105" s="659"/>
      <c r="B105" s="659"/>
      <c r="C105" s="659"/>
      <c r="D105" s="659"/>
      <c r="E105" s="659"/>
      <c r="F105" s="659"/>
      <c r="G105" s="659"/>
      <c r="H105" s="659"/>
      <c r="I105" s="659"/>
      <c r="J105" s="659"/>
      <c r="K105" s="659"/>
      <c r="L105" s="659"/>
      <c r="M105" s="659"/>
      <c r="N105" s="659"/>
      <c r="O105" s="659"/>
      <c r="P105" s="659"/>
      <c r="Q105" s="659"/>
      <c r="R105" s="651"/>
      <c r="AR105" s="406"/>
      <c r="BN105" s="407"/>
    </row>
    <row r="106" ht="39" customHeight="1">
      <c r="A106" s="659"/>
      <c r="B106" s="659"/>
      <c r="C106" s="659"/>
      <c r="D106" s="659"/>
      <c r="E106" s="659"/>
      <c r="F106" s="659"/>
      <c r="G106" s="659"/>
      <c r="H106" s="659"/>
      <c r="I106" s="659"/>
      <c r="J106" s="659"/>
      <c r="K106" s="659"/>
      <c r="L106" s="659"/>
      <c r="M106" s="659"/>
      <c r="N106" s="659"/>
      <c r="O106" s="659"/>
      <c r="P106" s="659"/>
      <c r="Q106" s="659"/>
      <c r="R106" s="651"/>
      <c r="AR106" s="406"/>
      <c r="BN106" s="407"/>
    </row>
    <row r="107" ht="39" customHeight="1">
      <c r="A107" s="659"/>
      <c r="B107" s="659"/>
      <c r="C107" s="659"/>
      <c r="D107" s="659"/>
      <c r="E107" s="659"/>
      <c r="F107" s="659"/>
      <c r="G107" s="659"/>
      <c r="H107" s="659"/>
      <c r="I107" s="659"/>
      <c r="J107" s="659"/>
      <c r="K107" s="659"/>
      <c r="L107" s="659"/>
      <c r="M107" s="659"/>
      <c r="N107" s="659"/>
      <c r="O107" s="659"/>
      <c r="P107" s="659"/>
      <c r="Q107" s="659"/>
      <c r="R107" s="651"/>
      <c r="AR107" s="406"/>
      <c r="BN107" s="407"/>
    </row>
    <row r="108" ht="39" customHeight="1">
      <c r="A108" s="659"/>
      <c r="B108" s="659"/>
      <c r="C108" s="659"/>
      <c r="D108" s="659"/>
      <c r="E108" s="659"/>
      <c r="F108" s="659"/>
      <c r="G108" s="659"/>
      <c r="H108" s="659"/>
      <c r="I108" s="659"/>
      <c r="J108" s="659"/>
      <c r="K108" s="659"/>
      <c r="L108" s="659"/>
      <c r="M108" s="659"/>
      <c r="N108" s="659"/>
      <c r="O108" s="659"/>
      <c r="P108" s="659"/>
      <c r="Q108" s="659"/>
      <c r="R108" s="651"/>
      <c r="AR108" s="406"/>
      <c r="BN108" s="407"/>
    </row>
    <row r="109" ht="39" customHeight="1">
      <c r="A109" s="659"/>
      <c r="B109" s="659"/>
      <c r="C109" s="659"/>
      <c r="D109" s="659"/>
      <c r="E109" s="659"/>
      <c r="F109" s="659"/>
      <c r="G109" s="659"/>
      <c r="H109" s="659"/>
      <c r="I109" s="659"/>
      <c r="J109" s="659"/>
      <c r="K109" s="659"/>
      <c r="L109" s="659"/>
      <c r="M109" s="659"/>
      <c r="N109" s="659"/>
      <c r="O109" s="659"/>
      <c r="P109" s="659"/>
      <c r="Q109" s="659"/>
      <c r="R109" s="651"/>
      <c r="AR109" s="406"/>
      <c r="BN109" s="407"/>
    </row>
    <row r="110" ht="39" customHeight="1">
      <c r="A110" s="659"/>
      <c r="B110" s="659"/>
      <c r="C110" s="659"/>
      <c r="D110" s="659"/>
      <c r="E110" s="659"/>
      <c r="F110" s="659"/>
      <c r="G110" s="659"/>
      <c r="H110" s="659"/>
      <c r="I110" s="659"/>
      <c r="J110" s="659"/>
      <c r="K110" s="659"/>
      <c r="L110" s="659"/>
      <c r="M110" s="659"/>
      <c r="N110" s="659"/>
      <c r="O110" s="659"/>
      <c r="P110" s="659"/>
      <c r="Q110" s="659"/>
      <c r="R110" s="651"/>
      <c r="AR110" s="406"/>
      <c r="BN110" s="407"/>
    </row>
    <row r="111" ht="39" customHeight="1">
      <c r="A111" s="659"/>
      <c r="B111" s="659"/>
      <c r="C111" s="659"/>
      <c r="D111" s="659"/>
      <c r="E111" s="659"/>
      <c r="F111" s="659"/>
      <c r="G111" s="659"/>
      <c r="H111" s="659"/>
      <c r="I111" s="659"/>
      <c r="J111" s="659"/>
      <c r="K111" s="659"/>
      <c r="L111" s="659"/>
      <c r="M111" s="659"/>
      <c r="N111" s="659"/>
      <c r="O111" s="659"/>
      <c r="P111" s="659"/>
      <c r="Q111" s="659"/>
      <c r="R111" s="651"/>
      <c r="AR111" s="406"/>
      <c r="BN111" s="407"/>
    </row>
    <row r="112" ht="39" customHeight="1">
      <c r="A112" s="659"/>
      <c r="B112" s="659"/>
      <c r="C112" s="659"/>
      <c r="D112" s="659"/>
      <c r="E112" s="659"/>
      <c r="F112" s="659"/>
      <c r="G112" s="659"/>
      <c r="H112" s="659"/>
      <c r="I112" s="659"/>
      <c r="J112" s="659"/>
      <c r="K112" s="659"/>
      <c r="L112" s="659"/>
      <c r="M112" s="659"/>
      <c r="N112" s="659"/>
      <c r="O112" s="659"/>
      <c r="P112" s="659"/>
      <c r="Q112" s="659"/>
      <c r="R112" s="651"/>
      <c r="AR112" s="406"/>
      <c r="BN112" s="407"/>
    </row>
    <row r="113" ht="39" customHeight="1">
      <c r="A113" s="659"/>
      <c r="B113" s="659"/>
      <c r="C113" s="659"/>
      <c r="D113" s="659"/>
      <c r="E113" s="659"/>
      <c r="F113" s="659"/>
      <c r="G113" s="659"/>
      <c r="H113" s="659"/>
      <c r="I113" s="659"/>
      <c r="J113" s="659"/>
      <c r="K113" s="659"/>
      <c r="L113" s="659"/>
      <c r="M113" s="659"/>
      <c r="N113" s="659"/>
      <c r="O113" s="659"/>
      <c r="P113" s="659"/>
      <c r="Q113" s="659"/>
      <c r="R113" s="651"/>
      <c r="AR113" s="406"/>
      <c r="BN113" s="407"/>
    </row>
    <row r="114" ht="39" customHeight="1">
      <c r="A114" s="659"/>
      <c r="B114" s="659"/>
      <c r="C114" s="659"/>
      <c r="D114" s="659"/>
      <c r="E114" s="659"/>
      <c r="F114" s="659"/>
      <c r="G114" s="659"/>
      <c r="H114" s="659"/>
      <c r="I114" s="659"/>
      <c r="J114" s="659"/>
      <c r="K114" s="659"/>
      <c r="L114" s="659"/>
      <c r="M114" s="659"/>
      <c r="N114" s="659"/>
      <c r="O114" s="659"/>
      <c r="P114" s="659"/>
      <c r="Q114" s="659"/>
      <c r="R114" s="651"/>
      <c r="AR114" s="406"/>
      <c r="BN114" s="407"/>
    </row>
    <row r="115" ht="39" customHeight="1">
      <c r="A115" s="659"/>
      <c r="B115" s="659"/>
      <c r="C115" s="659"/>
      <c r="D115" s="659"/>
      <c r="E115" s="659"/>
      <c r="F115" s="659"/>
      <c r="G115" s="659"/>
      <c r="H115" s="659"/>
      <c r="I115" s="659"/>
      <c r="J115" s="659"/>
      <c r="K115" s="659"/>
      <c r="L115" s="659"/>
      <c r="M115" s="659"/>
      <c r="N115" s="659"/>
      <c r="O115" s="659"/>
      <c r="P115" s="659"/>
      <c r="Q115" s="659"/>
      <c r="R115" s="651"/>
      <c r="AR115" s="406"/>
      <c r="BN115" s="407"/>
    </row>
    <row r="116">
      <c r="AR116" s="406"/>
      <c r="BN116" s="407"/>
    </row>
    <row r="117">
      <c r="AR117" s="406"/>
      <c r="BN117" s="407"/>
    </row>
    <row r="118">
      <c r="AR118" s="406"/>
      <c r="BN118" s="407"/>
    </row>
    <row r="119">
      <c r="AR119" s="406"/>
      <c r="BN119" s="407"/>
    </row>
    <row r="120">
      <c r="AR120" s="406"/>
      <c r="BN120" s="407"/>
    </row>
    <row r="121">
      <c r="AR121" s="406"/>
      <c r="BN121" s="407"/>
    </row>
    <row r="122">
      <c r="AR122" s="406"/>
      <c r="BN122" s="407"/>
    </row>
    <row r="123">
      <c r="AR123" s="406"/>
      <c r="BN123" s="407"/>
    </row>
    <row r="124">
      <c r="AR124" s="406"/>
      <c r="BN124" s="407"/>
    </row>
    <row r="125">
      <c r="AR125" s="406"/>
      <c r="BN125" s="407"/>
    </row>
    <row r="126">
      <c r="AR126" s="406"/>
      <c r="BN126" s="407"/>
    </row>
    <row r="127">
      <c r="AR127" s="406"/>
      <c r="BN127" s="407"/>
    </row>
    <row r="128">
      <c r="AR128" s="406"/>
      <c r="BN128" s="407"/>
    </row>
    <row r="129">
      <c r="AR129" s="406"/>
      <c r="BN129" s="407"/>
    </row>
    <row r="130">
      <c r="AR130" s="406"/>
      <c r="BN130" s="407"/>
    </row>
    <row r="131">
      <c r="AR131" s="406"/>
      <c r="BN131" s="407"/>
    </row>
    <row r="132">
      <c r="AR132" s="406"/>
      <c r="BN132" s="407"/>
    </row>
    <row r="133">
      <c r="AR133" s="406"/>
      <c r="BN133" s="407"/>
    </row>
    <row r="134">
      <c r="AR134" s="406"/>
      <c r="BN134" s="407"/>
    </row>
    <row r="135">
      <c r="AR135" s="406"/>
      <c r="BN135" s="407"/>
    </row>
    <row r="136">
      <c r="AR136" s="406"/>
      <c r="BN136" s="407"/>
    </row>
    <row r="137">
      <c r="AR137" s="406"/>
      <c r="BN137" s="407"/>
    </row>
    <row r="138">
      <c r="AR138" s="406"/>
      <c r="BN138" s="407"/>
    </row>
    <row r="139">
      <c r="AR139" s="406"/>
      <c r="BN139" s="407"/>
    </row>
    <row r="140">
      <c r="AR140" s="406"/>
      <c r="BN140" s="407"/>
    </row>
    <row r="141">
      <c r="AR141" s="406"/>
      <c r="BN141" s="407"/>
    </row>
    <row r="142">
      <c r="AR142" s="406"/>
      <c r="BN142" s="407"/>
    </row>
    <row r="143">
      <c r="AR143" s="406"/>
      <c r="BN143" s="407"/>
    </row>
    <row r="144">
      <c r="AR144" s="406"/>
      <c r="BN144" s="407"/>
    </row>
    <row r="145">
      <c r="AR145" s="406"/>
      <c r="BN145" s="407"/>
    </row>
    <row r="146">
      <c r="AR146" s="406"/>
      <c r="BN146" s="407"/>
    </row>
    <row r="147">
      <c r="AR147" s="406"/>
      <c r="BN147" s="407"/>
    </row>
    <row r="148">
      <c r="AR148" s="406"/>
      <c r="BN148" s="407"/>
    </row>
    <row r="149">
      <c r="AR149" s="406"/>
      <c r="BN149" s="407"/>
    </row>
    <row r="150">
      <c r="AR150" s="406"/>
      <c r="BN150" s="407"/>
    </row>
    <row r="151">
      <c r="AR151" s="406"/>
      <c r="BN151" s="407"/>
    </row>
    <row r="152">
      <c r="AR152" s="406"/>
      <c r="BN152" s="407"/>
    </row>
    <row r="153">
      <c r="AR153" s="406"/>
      <c r="BN153" s="407"/>
    </row>
    <row r="154">
      <c r="AR154" s="406"/>
      <c r="BN154" s="407"/>
    </row>
    <row r="155">
      <c r="AR155" s="406"/>
      <c r="BN155" s="407"/>
    </row>
    <row r="156">
      <c r="AR156" s="406"/>
      <c r="BN156" s="407"/>
    </row>
    <row r="157">
      <c r="AR157" s="406"/>
      <c r="BN157" s="407"/>
    </row>
    <row r="158">
      <c r="AR158" s="406"/>
      <c r="BN158" s="407"/>
    </row>
    <row r="159">
      <c r="AR159" s="406"/>
      <c r="BN159" s="407"/>
    </row>
    <row r="160">
      <c r="AR160" s="406"/>
      <c r="BN160" s="407"/>
    </row>
    <row r="161">
      <c r="AR161" s="406"/>
      <c r="BN161" s="407"/>
    </row>
    <row r="162">
      <c r="AR162" s="406"/>
      <c r="BN162" s="407"/>
    </row>
    <row r="163">
      <c r="AR163" s="406"/>
      <c r="BN163" s="407"/>
    </row>
    <row r="164">
      <c r="AR164" s="406"/>
      <c r="BN164" s="407"/>
    </row>
    <row r="165">
      <c r="AR165" s="406"/>
      <c r="BN165" s="407"/>
    </row>
    <row r="166">
      <c r="AR166" s="406"/>
      <c r="BN166" s="407"/>
    </row>
    <row r="167">
      <c r="AR167" s="406"/>
      <c r="BN167" s="407"/>
    </row>
    <row r="168">
      <c r="AR168" s="406"/>
      <c r="BN168" s="407"/>
    </row>
    <row r="169">
      <c r="AR169" s="406"/>
      <c r="BN169" s="407"/>
    </row>
    <row r="170">
      <c r="AR170" s="406"/>
      <c r="BN170" s="407"/>
    </row>
    <row r="171">
      <c r="AR171" s="406"/>
      <c r="BN171" s="407"/>
    </row>
    <row r="172">
      <c r="AR172" s="406"/>
      <c r="BN172" s="407"/>
    </row>
    <row r="173">
      <c r="AR173" s="406"/>
      <c r="BN173" s="407"/>
    </row>
    <row r="174">
      <c r="AR174" s="406"/>
      <c r="BN174" s="407"/>
    </row>
    <row r="175">
      <c r="AR175" s="406"/>
      <c r="BN175" s="407"/>
    </row>
    <row r="176">
      <c r="AR176" s="406"/>
      <c r="BN176" s="407"/>
    </row>
    <row r="177">
      <c r="AR177" s="406"/>
      <c r="BN177" s="407"/>
    </row>
    <row r="178">
      <c r="AR178" s="406"/>
      <c r="BN178" s="407"/>
    </row>
    <row r="179">
      <c r="AR179" s="406"/>
      <c r="BN179" s="407"/>
    </row>
    <row r="180">
      <c r="AR180" s="406"/>
      <c r="BN180" s="407"/>
    </row>
    <row r="181">
      <c r="AR181" s="406"/>
      <c r="BN181" s="407"/>
    </row>
    <row r="182">
      <c r="AR182" s="406"/>
      <c r="BN182" s="407"/>
    </row>
    <row r="183">
      <c r="AR183" s="406"/>
      <c r="BN183" s="407"/>
    </row>
    <row r="184">
      <c r="AR184" s="406"/>
      <c r="BN184" s="407"/>
    </row>
    <row r="185">
      <c r="AR185" s="406"/>
      <c r="BN185" s="407"/>
    </row>
    <row r="186">
      <c r="AR186" s="406"/>
    </row>
  </sheetData>
  <sheetProtection autoFilter="0"/>
  <mergeCells>
    <mergeCell ref="AJ28:AJ29"/>
    <mergeCell ref="AK26:AK27"/>
    <mergeCell ref="AE23:AF24"/>
    <mergeCell ref="AG23:AH24"/>
    <mergeCell ref="AO16:AP16"/>
    <mergeCell ref="AO18:AP18"/>
    <mergeCell ref="AE20:AQ21"/>
    <mergeCell ref="S8:T9"/>
    <mergeCell ref="A16:Q20"/>
    <mergeCell ref="B12:D14"/>
    <mergeCell ref="N12:P14"/>
    <mergeCell ref="F12:H14"/>
    <mergeCell ref="J12:L14"/>
    <mergeCell ref="B15:P15"/>
    <mergeCell ref="I12:I14"/>
    <mergeCell ref="M12:M14"/>
    <mergeCell ref="A1:Q7"/>
    <mergeCell ref="J8:L10"/>
    <mergeCell ref="B8:D10"/>
    <mergeCell ref="N8:P10"/>
    <mergeCell ref="F8:H10"/>
    <mergeCell ref="I8:I10"/>
    <mergeCell ref="M8:M10"/>
    <mergeCell ref="A98:Q115"/>
    <mergeCell ref="A78:Q97"/>
    <mergeCell ref="AE41:AQ58"/>
    <mergeCell ref="Y62:Z64"/>
    <mergeCell ref="A21:Q37"/>
    <mergeCell ref="A38:Q42"/>
    <mergeCell ref="AL28:AM29"/>
    <mergeCell ref="AL26:AM27"/>
    <mergeCell ref="A43:Q59"/>
    <mergeCell ref="Y44:Z46"/>
    <mergeCell ref="S39:AC41"/>
    <mergeCell ref="A60:Q76"/>
    <mergeCell ref="S21:T21"/>
    <mergeCell ref="U37:AC37"/>
    <mergeCell ref="AE31:AP31"/>
    <mergeCell ref="V33:W33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BN4:BN13"/>
    <mergeCell ref="AG2:AH4"/>
    <mergeCell ref="BF1:BN3"/>
    <mergeCell ref="BF4:BM5"/>
    <mergeCell ref="AV14:BB14"/>
    <mergeCell ref="AO6:AP6"/>
    <mergeCell ref="AO8:AP8"/>
    <mergeCell ref="BG14:BM14"/>
    <mergeCell ref="AE10:AQ10"/>
    <mergeCell ref="AG13:AH14"/>
    <mergeCell ref="AF13:AF14"/>
  </mergeCells>
  <hyperlinks>
    <hyperlink ref="S12" location="تسعير!X14" display="التثبيت"/>
    <hyperlink ref="AS12" location="تسعير!BB14" display="التثبيت"/>
    <hyperlink ref="BD12" location="تسعير!BF14" display="التثبيت"/>
    <hyperlink ref="S13" location="تسعير!AA10" display="العرض cm"/>
    <hyperlink ref="AS13" location="تسعير!AV10" display="العرض cm"/>
    <hyperlink ref="BD13" location="تسعير!BG10" display="العرض cm"/>
    <hyperlink ref="S14" location="تسعير!X8" display="الامتداد cm"/>
    <hyperlink ref="AS14" location="تسعير!BA12" display="الامتداد cm"/>
    <hyperlink ref="BD14" location="تسعير!BL12" display="الامتداد cm"/>
    <hyperlink ref="S30" location="تسعير!AF31" display="الارتفاع الخلفي"/>
    <hyperlink ref="S32" location="تسعير!X37" display="التثبيت"/>
    <hyperlink ref="AS32" location="تسعير!BB14" display="التثبيت"/>
    <hyperlink ref="BD32" location="تسعير!BB14" display="التثبيت"/>
    <hyperlink ref="S33" location="تسعير!AA33" display="العرض cm"/>
    <hyperlink ref="AS33" location="تسعير!BA36" display="العرض cm"/>
    <hyperlink ref="BD33" location="تسعير!AV10" display="العرض cm"/>
    <hyperlink ref="S34" location="تسعير!X31" display="الامتداد cm"/>
    <hyperlink ref="AS34" location="تسعير!AW25" display="الامتداد cm"/>
    <hyperlink ref="BD34" location="تسعير!BA12" display="الامتداد cm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8">
        <x14:dataValidation type="list" allowBlank="1" showInputMessage="1" showErrorMessage="1" xr:uid="{00000000-0002-0000-0100-000000000000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00000000-0002-0000-0100-000001000000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00000000-0002-0000-0100-000002000000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00000000-0002-0000-0100-000003000000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00000000-0002-0000-0100-000004000000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00000000-0002-0000-0100-000005000000}">
          <x14:formula1>
            <xm:f>'شماسي و كانتليفر'!$E$17:$E$19</xm:f>
          </x14:formula1>
          <xm:sqref>AI8 AI18</xm:sqref>
        </x14:dataValidation>
        <x14:dataValidation type="list" allowBlank="1" showInputMessage="1" showErrorMessage="1" xr:uid="{00000000-0002-0000-0100-000006000000}">
          <x14:formula1>
            <xm:f>'شماسي و كانتليفر'!$E$3:$E$6</xm:f>
          </x14:formula1>
          <xm:sqref>AM8</xm:sqref>
        </x14:dataValidation>
        <x14:dataValidation type="list" allowBlank="1" showInputMessage="1" showErrorMessage="1" xr:uid="{00000000-0002-0000-0100-000007000000}">
          <x14:formula1>
            <xm:f>'شماسي و كانتليفر'!$E$8:$E$9</xm:f>
          </x14:formula1>
          <xm:sqref>AL8 AL18</xm:sqref>
        </x14:dataValidation>
        <x14:dataValidation type="list" allowBlank="1" showInputMessage="1" showErrorMessage="1" xr:uid="{00000000-0002-0000-0100-000008000000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00000000-0002-0000-0100-000009000000}">
          <x14:formula1>
            <xm:f>'شماسي و كانتليفر'!$V$3:$V$6</xm:f>
          </x14:formula1>
          <xm:sqref>AJ28</xm:sqref>
        </x14:dataValidation>
        <x14:dataValidation type="list" allowBlank="1" showInputMessage="1" showErrorMessage="1" xr:uid="{00000000-0002-0000-0100-00000A000000}">
          <x14:formula1>
            <xm:f>wavy2!$A$19:$A$20</xm:f>
          </x14:formula1>
          <xm:sqref>BE9</xm:sqref>
        </x14:dataValidation>
        <x14:dataValidation type="list" allowBlank="1" showInputMessage="1" showErrorMessage="1" xr:uid="{00000000-0002-0000-0100-00000B000000}">
          <x14:formula1>
            <xm:f>wavy1!$A$19:$A$20</xm:f>
          </x14:formula1>
          <xm:sqref>AT9</xm:sqref>
        </x14:dataValidation>
        <x14:dataValidation type="list" allowBlank="1" showInputMessage="1" showErrorMessage="1" xr:uid="{00000000-0002-0000-0100-00000C000000}">
          <x14:formula1>
            <xm:f>Sheet2!$B$5:$B$7</xm:f>
          </x14:formula1>
          <xm:sqref>T25 T46 T64</xm:sqref>
        </x14:dataValidation>
        <x14:dataValidation type="list" allowBlank="1" showInputMessage="1" showErrorMessage="1" xr:uid="{00000000-0002-0000-0100-00000D000000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00000000-0002-0000-0100-00000E000000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00000000-0002-0000-0100-00000F000000}">
          <x14:formula1>
            <xm:f>Sheet2!$C$5:$C$6</xm:f>
          </x14:formula1>
          <xm:sqref>T26</xm:sqref>
        </x14:dataValidation>
        <x14:dataValidation type="list" allowBlank="1" showInputMessage="1" showErrorMessage="1" xr:uid="{00000000-0002-0000-0100-000010000000}">
          <x14:formula1>
            <xm:f>Sheet2!$A$5</xm:f>
          </x14:formula1>
          <xm:sqref>U31</xm:sqref>
        </x14:dataValidation>
        <x14:dataValidation type="list" allowBlank="1" showInputMessage="1" showErrorMessage="1" xr:uid="{00000000-0002-0000-0100-000011000000}">
          <x14:formula1>
            <xm:f>'شماسي و كانتليفر'!$V$18:$V$19</xm:f>
          </x14:formula1>
          <xm:sqref>AG28</xm:sqref>
        </x14:dataValidation>
        <x14:dataValidation type="list" allowBlank="1" showInputMessage="1" showErrorMessage="1" xr:uid="{00000000-0002-0000-0100-000012000000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00000000-0002-0000-0100-000013000000}">
          <x14:formula1>
            <xm:f>'شماسي و كانتليفر'!$V$8:$V$10</xm:f>
          </x14:formula1>
          <xm:sqref>AI28</xm:sqref>
        </x14:dataValidation>
        <x14:dataValidation type="list" allowBlank="1" showInputMessage="1" showErrorMessage="1" xr:uid="{00000000-0002-0000-0100-000014000000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00000000-0002-0000-0100-000015000000}">
          <x14:formula1>
            <xm:f>Sheet2!$D$5:$D$6</xm:f>
          </x14:formula1>
          <xm:sqref>T32 T53 T71</xm:sqref>
        </x14:dataValidation>
        <x14:dataValidation type="list" allowBlank="1" showInputMessage="1" showErrorMessage="1" xr:uid="{00000000-0002-0000-0100-000016000000}">
          <x14:formula1>
            <xm:f>Sheet2!$A$6</xm:f>
          </x14:formula1>
          <xm:sqref>AC36</xm:sqref>
        </x14:dataValidation>
        <x14:dataValidation type="list" allowBlank="1" showInputMessage="1" showErrorMessage="1" xr:uid="{00000000-0002-0000-0100-000017000000}">
          <x14:formula1>
            <xm:f>'شماسي و كانتليفر'!$F$18:$F$19</xm:f>
          </x14:formula1>
          <xm:sqref>T52 T70</xm:sqref>
        </x14:dataValidation>
        <x14:dataValidation type="list" allowBlank="1" showInputMessage="1" showErrorMessage="1" xr:uid="{47049520-1169-424C-BE83-1D0E570550FA}">
          <x14:formula1>
            <xm:f>Sheet2!$A$5:$A$6</xm:f>
          </x14:formula1>
          <xm:sqref>T31</xm:sqref>
        </x14:dataValidation>
        <x14:dataValidation type="list" allowBlank="1" showInputMessage="1" showErrorMessage="1" xr:uid="{F91E3474-E3C3-4D7A-949E-9EC55E90BEDA}">
          <x14:formula1>
            <xm:f>'شماسي كانتليفر'!$K$6:$K$7</xm:f>
          </x14:formula1>
          <xm:sqref>AM18</xm:sqref>
        </x14:dataValidation>
        <x14:dataValidation type="list" allowBlank="1" showInputMessage="1" showErrorMessage="1" xr:uid="{6F9AA71D-03D6-413F-AAE5-263651DD50CD}">
          <x14:formula1>
            <xm:f>'شماسي كانتليفر'!$K$10:$K$11</xm:f>
          </x14:formula1>
          <xm:sqref>AJ18</xm:sqref>
        </x14:dataValidation>
        <x14:dataValidation type="list" allowBlank="1" showInputMessage="1" showErrorMessage="1" xr:uid="{B6D95778-7A05-44F4-A02E-439DCAEAD019}">
          <x14:formula1>
            <xm:f>'شماسي كانتليفر'!$M$7:$M$8</xm:f>
          </x14:formula1>
          <xm:sqref>AK18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0"/>
  <dimension ref="A1:O20"/>
  <sheetViews>
    <sheetView workbookViewId="0">
      <selection activeCell="AF16" sqref="AF16"/>
    </sheetView>
  </sheetViews>
  <sheetFormatPr defaultColWidth="9.109375" defaultRowHeight="14.4"/>
  <cols>
    <col min="1" max="1" width="20.6640625" customWidth="1" style="10"/>
    <col min="2" max="2" width="12" customWidth="1" style="1"/>
    <col min="3" max="9" width="9.109375" customWidth="1" style="10"/>
    <col min="10" max="10" width="9.5546875" customWidth="1" style="10"/>
    <col min="11" max="11" width="20.5546875" customWidth="1" style="10"/>
    <col min="12" max="12" width="9.109375" customWidth="1" style="1"/>
    <col min="13" max="14" width="9.109375" customWidth="1" style="10"/>
    <col min="15" max="15" width="32.5546875" customWidth="1" style="10"/>
    <col min="16" max="16384" width="9.109375" customWidth="1" style="10"/>
  </cols>
  <sheetData>
    <row r="1">
      <c r="A1" s="1"/>
    </row>
    <row r="2">
      <c r="A2" s="1"/>
      <c r="J2" s="1" t="s">
        <v>469</v>
      </c>
      <c r="K2" s="1" t="s">
        <v>591</v>
      </c>
      <c r="O2" s="1" t="s">
        <v>592</v>
      </c>
    </row>
    <row r="3">
      <c r="A3" s="1" t="s">
        <v>452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593</v>
      </c>
      <c r="B4" s="1">
        <f>تسجيل1!C7</f>
        <v>400</v>
      </c>
      <c r="J4" s="15">
        <v>4</v>
      </c>
      <c r="K4" s="15">
        <v>2</v>
      </c>
    </row>
    <row r="5">
      <c r="A5" s="1" t="s">
        <v>583</v>
      </c>
      <c r="B5" s="1">
        <f>تسجيل1!E7</f>
        <v>400</v>
      </c>
      <c r="J5" s="15">
        <v>5</v>
      </c>
      <c r="K5" s="15">
        <v>3</v>
      </c>
      <c r="L5" s="1">
        <f>IF(B6&lt;3,2,IF(B6&lt;4,2,IF(B6&lt;5,2,IF(B6&lt;6,3,IF(B6&lt;7,3,IF(B6&lt;8,3,IF(B6&lt;8,4,L11)))))))</f>
        <v>3</v>
      </c>
    </row>
    <row r="6">
      <c r="A6" s="1" t="s">
        <v>469</v>
      </c>
      <c r="B6" s="1">
        <f>'Cutting Ro-1'!L14</f>
        <v>5</v>
      </c>
      <c r="C6" s="1" t="s">
        <v>471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3</v>
      </c>
    </row>
    <row r="9">
      <c r="A9" s="1" t="s">
        <v>594</v>
      </c>
      <c r="B9" s="1">
        <f>O8</f>
        <v>3</v>
      </c>
      <c r="J9" s="15">
        <v>9</v>
      </c>
      <c r="K9" s="15">
        <v>4</v>
      </c>
    </row>
    <row r="10">
      <c r="A10" s="12" t="s">
        <v>595</v>
      </c>
      <c r="B10" s="13">
        <f>(((B4-(تسجيل1!C22*2))/200)+1)*B9</f>
        <v>7.5</v>
      </c>
      <c r="C10" s="710" t="s">
        <v>596</v>
      </c>
      <c r="D10" s="710"/>
      <c r="E10" s="14">
        <f>ROUND(B10,0)</f>
        <v>8</v>
      </c>
      <c r="J10" s="15">
        <v>10</v>
      </c>
      <c r="K10" s="15">
        <v>4</v>
      </c>
    </row>
    <row r="11">
      <c r="A11" s="12" t="s">
        <v>597</v>
      </c>
      <c r="B11" s="13">
        <f>E10/B9</f>
        <v>2.6666666666666665</v>
      </c>
      <c r="C11" s="710" t="s">
        <v>596</v>
      </c>
      <c r="D11" s="710"/>
      <c r="E11" s="14">
        <f>ROUND(B11,0)</f>
        <v>3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598</v>
      </c>
      <c r="B12" s="14">
        <f>E11*B9</f>
        <v>9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1"/>
  <dimension ref="A1:K19"/>
  <sheetViews>
    <sheetView workbookViewId="0">
      <selection activeCell="AF16" sqref="AF16"/>
    </sheetView>
  </sheetViews>
  <sheetFormatPr defaultColWidth="9.109375" defaultRowHeight="14.4"/>
  <cols>
    <col min="1" max="1" width="15.109375" customWidth="1" style="1"/>
    <col min="2" max="2" width="12.109375" customWidth="1" style="1"/>
    <col min="3" max="3" width="23.33203125" customWidth="1" style="1"/>
    <col min="4" max="16384" width="9.109375" customWidth="1" style="1"/>
  </cols>
  <sheetData>
    <row r="1">
      <c r="A1" s="1" t="s">
        <v>452</v>
      </c>
      <c r="B1" s="1" t="s">
        <v>583</v>
      </c>
      <c r="C1" s="1" t="s">
        <v>599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400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600</v>
      </c>
      <c r="C6" s="1">
        <f>IF(Format!N8=1,'Format διαστασης οδηγου'!B2-32,IF(Format!N8=2,'Format διαστασης οδηγου'!B2-43,"-------"))</f>
        <v>368</v>
      </c>
      <c r="K6" s="8"/>
    </row>
    <row r="7">
      <c r="A7" s="4" t="s">
        <v>601</v>
      </c>
      <c r="C7" s="1">
        <f>IF(Format!N8=1,'Format διαστασης οδηγου'!B2-35,IF(Format!N8=3,'Format διαστασης οδηγου'!B2-36,IF(Format!N8=4,'Format διαστασης οδηγου'!B2-32,"-------")))</f>
        <v>365</v>
      </c>
      <c r="H7" s="849" t="s">
        <v>602</v>
      </c>
      <c r="I7" s="849"/>
      <c r="J7" s="849"/>
      <c r="K7" s="850"/>
    </row>
    <row r="8">
      <c r="A8" s="4" t="s">
        <v>603</v>
      </c>
      <c r="C8" s="1">
        <f>IF(Format!N8=1,'Format διαστασης οδηγου'!B2-32,"-------")</f>
        <v>368</v>
      </c>
      <c r="F8" s="1">
        <f>IF(Format!A7=1,C6,IF(Format!A7=2,C7,IF(Format!A7=3,C8,IF(Format!A7=4,C9,IF(Format!A7=5,C10)))))</f>
        <v>365</v>
      </c>
      <c r="H8" s="849"/>
      <c r="I8" s="849"/>
      <c r="J8" s="849"/>
      <c r="K8" s="850"/>
    </row>
    <row r="9">
      <c r="A9" s="4" t="s">
        <v>604</v>
      </c>
      <c r="C9" s="1" t="str">
        <f>IF(Format!N8=5,'Format διαστασης οδηγου'!B2-35,IF(Format!N8=6,'Format διαστασης οδηγου'!B2-31,"-------"))</f>
        <v>-------</v>
      </c>
      <c r="H9" s="849"/>
      <c r="I9" s="849"/>
      <c r="J9" s="849"/>
      <c r="K9" s="850"/>
    </row>
    <row r="10">
      <c r="A10" s="4" t="s">
        <v>605</v>
      </c>
      <c r="C10" s="1">
        <f>B2-32</f>
        <v>368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600</v>
      </c>
      <c r="C14" s="1">
        <f>IF(Format!N8=1,B2,IF(Format!N8=2,'Format διαστασης οδηγου'!B2-11,"-------"))</f>
        <v>400</v>
      </c>
      <c r="K14" s="8"/>
    </row>
    <row r="15">
      <c r="A15" s="4" t="s">
        <v>601</v>
      </c>
      <c r="C15" s="1">
        <f>IF(Format!N8=3,'Format διαστασης οδηγου'!B2-5,IF(Format!N8=1,'Format διαστασης οδηγου'!B2,IF(Format!N8=4,'Format διαστασης οδηγου'!B2,"-------")))</f>
        <v>400</v>
      </c>
      <c r="H15" s="849" t="s">
        <v>606</v>
      </c>
      <c r="I15" s="849"/>
      <c r="J15" s="849"/>
      <c r="K15" s="850"/>
    </row>
    <row r="16">
      <c r="A16" s="4" t="s">
        <v>603</v>
      </c>
      <c r="C16" s="1">
        <f>IF(Format!N8=1,'Format διαστασης οδηγου'!B2,"-------")</f>
        <v>400</v>
      </c>
      <c r="F16" s="1">
        <f>IF(Format!A7=1,C14,IF(Format!A7=2,C15,IF(Format!A7=3,C16,IF(Format!A7=4,C17,IF(Format!A7=5,C118)))))</f>
        <v>400</v>
      </c>
      <c r="H16" s="849"/>
      <c r="I16" s="849"/>
      <c r="J16" s="849"/>
      <c r="K16" s="850"/>
    </row>
    <row r="17">
      <c r="A17" s="4" t="s">
        <v>604</v>
      </c>
      <c r="C17" s="1" t="str">
        <f>IF(Format!N8=5,'Format διαστασης οδηγου'!B2-6,IF(Format!N8=6,'Format διαστασης οδηγου'!B2-2,"-------"))</f>
        <v>-------</v>
      </c>
      <c r="H17" s="849"/>
      <c r="I17" s="849"/>
      <c r="J17" s="849"/>
      <c r="K17" s="850"/>
    </row>
    <row r="18">
      <c r="A18" s="4" t="s">
        <v>605</v>
      </c>
      <c r="C18" s="1">
        <f>B2</f>
        <v>400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C4EFF1-99DA-47D1-B4DE-5552718A294E}">
  <dimension ref="A1:AA23"/>
  <sheetViews>
    <sheetView rightToLeft="1" topLeftCell="A5" zoomScale="70" zoomScaleNormal="70" workbookViewId="0">
      <selection activeCell="G22" sqref="G22"/>
    </sheetView>
  </sheetViews>
  <sheetFormatPr defaultRowHeight="27" customHeight="1"/>
  <cols>
    <col min="1" max="1" width="29.109375" customWidth="1"/>
    <col min="2" max="2" width="38.5546875" customWidth="1"/>
    <col min="3" max="3" width="30.88671875" customWidth="1"/>
    <col min="4" max="4" width="18.33203125" customWidth="1"/>
    <col min="5" max="5" width="12.6640625" customWidth="1"/>
    <col min="6" max="6" width="10.88671875" customWidth="1"/>
    <col min="7" max="7" width="15.33203125" customWidth="1"/>
    <col min="8" max="8" width="18.44140625" customWidth="1"/>
    <col min="9" max="9" width="17.44140625" customWidth="1"/>
    <col min="12" max="12" hidden="1" width="19" customWidth="1"/>
    <col min="16" max="16" width="60" customWidth="1"/>
    <col min="17" max="17" width="18.44140625" customWidth="1"/>
    <col min="18" max="18" width="16.109375" customWidth="1"/>
    <col min="19" max="19" width="20.88671875" customWidth="1"/>
    <col min="20" max="23" width="16.109375" customWidth="1"/>
  </cols>
  <sheetData>
    <row r="1" ht="27" customHeight="1">
      <c r="A1" s="680" t="s">
        <v>0</v>
      </c>
      <c r="B1" s="680"/>
      <c r="C1" s="601" t="s">
        <v>1</v>
      </c>
      <c r="D1" s="600" t="str">
        <f>تسعير!AM18</f>
        <v>بولي استر</v>
      </c>
      <c r="E1" s="601" t="s">
        <v>2</v>
      </c>
      <c r="F1" s="600" t="str">
        <f>تسعير!AL18</f>
        <v>سادة</v>
      </c>
      <c r="G1" s="601" t="s">
        <v>3</v>
      </c>
      <c r="H1" s="600" t="s">
        <v>4</v>
      </c>
      <c r="I1" s="599">
        <f>IF(تسعير!AI18="قطاعي",Table1381[[#Totals],[التكلفة]]*1.35,IF(تسعير!AI18="جملة",Table1381[[#Totals],[التكلفة]]*1.25,IF(تسعير!AI18="نصف جملة",Table1381[[#Totals],[التكلفة]]*1.3,0)))</f>
        <v>22394.637000000006</v>
      </c>
      <c r="O1" s="622"/>
      <c r="P1" s="622" t="s">
        <v>5</v>
      </c>
      <c r="Q1" s="607">
        <f>تسعير!AK18</f>
        <v>2.5</v>
      </c>
      <c r="R1" s="608" t="s">
        <v>6</v>
      </c>
      <c r="S1" s="607" t="str">
        <f>تسعير!AM18</f>
        <v>بولي استر</v>
      </c>
      <c r="T1" s="609">
        <f>IF(Q1=Table1102[[#Headers],[3]],Table1102[[#Totals],[3]]*1.3,IF(Q1=Table1102[[#Headers],[2.5]],Table1102[[#Totals],[2.5]]*1.3,0))</f>
        <v>13231.822500000002</v>
      </c>
      <c r="U1" s="610"/>
      <c r="V1" s="610"/>
      <c r="W1" s="611"/>
      <c r="X1" s="612"/>
      <c r="Y1" s="612"/>
      <c r="Z1" s="612"/>
      <c r="AA1" s="612"/>
    </row>
    <row r="2" ht="27" customHeight="1">
      <c r="A2" s="598" t="s">
        <v>7</v>
      </c>
      <c r="B2" s="598" t="s">
        <v>8</v>
      </c>
      <c r="C2" s="598" t="s">
        <v>9</v>
      </c>
      <c r="D2" s="598" t="s">
        <v>10</v>
      </c>
      <c r="E2" s="598" t="s">
        <v>11</v>
      </c>
      <c r="F2" s="598" t="s">
        <v>12</v>
      </c>
      <c r="G2" s="598" t="s">
        <v>13</v>
      </c>
      <c r="H2" s="598" t="s">
        <v>14</v>
      </c>
      <c r="O2" s="612"/>
      <c r="P2" s="612"/>
      <c r="Q2" s="612"/>
      <c r="R2" s="612"/>
      <c r="S2" s="612"/>
      <c r="T2" s="612"/>
      <c r="U2" s="612"/>
      <c r="V2" s="612"/>
      <c r="W2" s="612"/>
      <c r="X2" s="612"/>
      <c r="Y2" s="612"/>
      <c r="Z2" s="612"/>
      <c r="AA2" s="612"/>
    </row>
    <row r="3" ht="27" customHeight="1">
      <c r="A3" s="594" t="s">
        <v>15</v>
      </c>
      <c r="B3" s="594" t="s">
        <v>16</v>
      </c>
      <c r="C3" s="593" t="s">
        <v>17</v>
      </c>
      <c r="D3" s="592">
        <v>3.7</v>
      </c>
      <c r="E3" s="592">
        <v>3.05</v>
      </c>
      <c r="F3" s="592">
        <f>Table1381[[#This Row],[الطول]]*Table1381[[#This Row],[وزن المتر]]</f>
        <v>11.285</v>
      </c>
      <c r="G3" s="592">
        <v>195</v>
      </c>
      <c r="H3" s="595">
        <f>Table1381[[#This Row],[السعر]]*Table1381[[#This Row],[الوزن]]</f>
        <v>2200.575</v>
      </c>
      <c r="J3" s="0">
        <v>60</v>
      </c>
      <c r="K3" s="361" t="s">
        <v>18</v>
      </c>
      <c r="L3" s="0">
        <f>Table1381[[#This Row],[الوزن]]</f>
        <v>11.285</v>
      </c>
      <c r="M3" s="0">
        <f>L3*J3</f>
        <v>677.1</v>
      </c>
      <c r="O3" s="596" t="s">
        <v>19</v>
      </c>
      <c r="P3" s="596" t="s">
        <v>20</v>
      </c>
      <c r="Q3" s="596" t="s">
        <v>21</v>
      </c>
      <c r="R3" s="613" t="s">
        <v>22</v>
      </c>
      <c r="S3" s="613" t="s">
        <v>23</v>
      </c>
      <c r="T3" s="613" t="s">
        <v>24</v>
      </c>
      <c r="U3" s="613" t="s">
        <v>25</v>
      </c>
      <c r="V3" s="613" t="s">
        <v>26</v>
      </c>
      <c r="W3" s="613" t="s">
        <v>27</v>
      </c>
    </row>
    <row r="4" ht="27" customHeight="1">
      <c r="A4" s="594" t="s">
        <v>15</v>
      </c>
      <c r="B4" s="594" t="s">
        <v>28</v>
      </c>
      <c r="C4" s="593" t="s">
        <v>29</v>
      </c>
      <c r="D4" s="592">
        <v>1.8</v>
      </c>
      <c r="E4" s="592">
        <v>2.6</v>
      </c>
      <c r="F4" s="592">
        <f>Table1381[[#This Row],[الطول]]*Table1381[[#This Row],[وزن المتر]]</f>
        <v>4.6800000000000006</v>
      </c>
      <c r="G4" s="592">
        <v>195</v>
      </c>
      <c r="H4" s="595">
        <f>Table1381[[#This Row],[السعر]]*Table1381[[#This Row],[الوزن]]</f>
        <v>912.60000000000014</v>
      </c>
      <c r="J4" s="0">
        <v>60</v>
      </c>
      <c r="K4" s="361" t="s">
        <v>30</v>
      </c>
      <c r="L4" s="0">
        <f>Table1381[[#This Row],[الوزن]]</f>
        <v>4.6800000000000006</v>
      </c>
      <c r="M4" s="0">
        <f>L4*J4</f>
        <v>280.8</v>
      </c>
      <c r="O4" s="593">
        <v>1</v>
      </c>
      <c r="P4" s="614" t="s">
        <v>31</v>
      </c>
      <c r="Q4" s="614" t="s">
        <v>32</v>
      </c>
      <c r="R4" s="593">
        <v>0.5</v>
      </c>
      <c r="S4" s="593">
        <v>1</v>
      </c>
      <c r="T4" s="613" t="s">
        <v>33</v>
      </c>
      <c r="U4" s="612">
        <f>2.39*((Sheet2!$B$14/1000)+Sheet2!$B$41)</f>
        <v>542.53</v>
      </c>
      <c r="V4" s="612">
        <f ref="V4:V21" t="shared" si="0">U4*S4</f>
        <v>542.53</v>
      </c>
      <c r="W4" s="612">
        <f>Table1102[[#This Row],[متطلبات انتاج الشمسيه 2.5]]*Table1102[[#This Row],[سعر]]</f>
        <v>271.265</v>
      </c>
    </row>
    <row r="5" ht="27" customHeight="1">
      <c r="A5" s="594" t="s">
        <v>15</v>
      </c>
      <c r="B5" s="594" t="s">
        <v>34</v>
      </c>
      <c r="C5" s="593" t="s">
        <v>35</v>
      </c>
      <c r="D5" s="592">
        <v>1.15</v>
      </c>
      <c r="E5" s="592">
        <v>0.8</v>
      </c>
      <c r="F5" s="592">
        <f>Table1381[[#This Row],[الطول]]*Table1381[[#This Row],[وزن المتر]]</f>
        <v>0.91999999999999993</v>
      </c>
      <c r="G5" s="592">
        <v>195</v>
      </c>
      <c r="H5" s="592">
        <f>Table1381[[#This Row],[السعر]]*Table1381[[#This Row],[الوزن]]</f>
        <v>179.39999999999998</v>
      </c>
      <c r="K5" s="361" t="s">
        <v>36</v>
      </c>
      <c r="O5" s="593">
        <v>2</v>
      </c>
      <c r="P5" s="614" t="s">
        <v>37</v>
      </c>
      <c r="Q5" s="614" t="s">
        <v>32</v>
      </c>
      <c r="R5" s="593">
        <v>2</v>
      </c>
      <c r="S5" s="593">
        <v>2</v>
      </c>
      <c r="T5" s="613" t="s">
        <v>33</v>
      </c>
      <c r="U5" s="612">
        <f>4.39*((Sheet2!$B$14/1000)+Sheet2!$B$41)</f>
        <v>996.53</v>
      </c>
      <c r="V5" s="612">
        <f t="shared" si="0"/>
        <v>1993.06</v>
      </c>
      <c r="W5" s="612">
        <f>Table1102[[#This Row],[متطلبات انتاج الشمسيه 2.5]]*Table1102[[#This Row],[سعر]]</f>
        <v>1993.06</v>
      </c>
    </row>
    <row r="6" ht="27" customHeight="1">
      <c r="A6" s="594" t="s">
        <v>15</v>
      </c>
      <c r="B6" s="594" t="s">
        <v>38</v>
      </c>
      <c r="C6" s="593" t="s">
        <v>33</v>
      </c>
      <c r="D6" s="592">
        <v>0.43</v>
      </c>
      <c r="E6" s="592">
        <v>25.2</v>
      </c>
      <c r="F6" s="592">
        <f>Table1381[[#This Row],[الطول]]*Table1381[[#This Row],[وزن المتر]]</f>
        <v>10.836</v>
      </c>
      <c r="G6" s="592">
        <v>195</v>
      </c>
      <c r="H6" s="595">
        <f>Table1381[[#This Row],[السعر]]*Table1381[[#This Row],[الوزن]]</f>
        <v>2113.02</v>
      </c>
      <c r="K6" s="361" t="s">
        <v>39</v>
      </c>
      <c r="O6" s="593">
        <v>3</v>
      </c>
      <c r="P6" s="614" t="s">
        <v>40</v>
      </c>
      <c r="Q6" s="614" t="s">
        <v>32</v>
      </c>
      <c r="R6" s="593">
        <v>1</v>
      </c>
      <c r="S6" s="593">
        <v>1</v>
      </c>
      <c r="T6" s="613" t="s">
        <v>33</v>
      </c>
      <c r="U6" s="612">
        <v>750</v>
      </c>
      <c r="V6" s="612">
        <f t="shared" si="0"/>
        <v>750</v>
      </c>
      <c r="W6" s="612">
        <f>Table1102[[#This Row],[متطلبات انتاج الشمسيه 2.5]]*Table1102[[#This Row],[سعر]]</f>
        <v>750</v>
      </c>
    </row>
    <row r="7" ht="34.5" customHeight="1">
      <c r="A7" s="594" t="s">
        <v>41</v>
      </c>
      <c r="B7" s="597" t="s">
        <v>42</v>
      </c>
      <c r="C7" s="596" t="s">
        <v>43</v>
      </c>
      <c r="D7" s="592">
        <v>1</v>
      </c>
      <c r="E7" s="592">
        <v>1</v>
      </c>
      <c r="F7" s="592">
        <f>Table1381[[#This Row],[الطول]]*Table1381[[#This Row],[وزن المتر]]</f>
        <v>1</v>
      </c>
      <c r="G7" s="592">
        <v>1200</v>
      </c>
      <c r="H7" s="592">
        <f>Table1381[[#This Row],[السعر]]*Table1381[[#This Row],[الوزن]]</f>
        <v>1200</v>
      </c>
      <c r="K7" s="361" t="s">
        <v>44</v>
      </c>
      <c r="M7" s="0">
        <v>3</v>
      </c>
      <c r="O7" s="593">
        <v>4</v>
      </c>
      <c r="P7" s="614" t="s">
        <v>45</v>
      </c>
      <c r="Q7" s="614" t="s">
        <v>32</v>
      </c>
      <c r="R7" s="593">
        <v>1</v>
      </c>
      <c r="S7" s="593">
        <v>1</v>
      </c>
      <c r="T7" s="613" t="s">
        <v>46</v>
      </c>
      <c r="U7" s="612">
        <v>100</v>
      </c>
      <c r="V7" s="612">
        <f t="shared" si="0"/>
        <v>100</v>
      </c>
      <c r="W7" s="612">
        <f>Table1102[[#This Row],[متطلبات انتاج الشمسيه 2.5]]*Table1102[[#This Row],[سعر]]</f>
        <v>100</v>
      </c>
    </row>
    <row r="8" ht="27" customHeight="1">
      <c r="A8" s="594"/>
      <c r="B8" s="594" t="s">
        <v>47</v>
      </c>
      <c r="C8" s="593" t="s">
        <v>48</v>
      </c>
      <c r="D8" s="592">
        <v>1</v>
      </c>
      <c r="E8" s="592">
        <v>1</v>
      </c>
      <c r="F8" s="592">
        <f>Table1381[[#This Row],[الطول]]*Table1381[[#This Row],[وزن المتر]]</f>
        <v>1</v>
      </c>
      <c r="G8" s="592">
        <v>2200</v>
      </c>
      <c r="H8" s="592">
        <f>Table1381[[#This Row],[السعر]]*Table1381[[#This Row],[الوزن]]</f>
        <v>2200</v>
      </c>
      <c r="K8" s="361" t="s">
        <v>4</v>
      </c>
      <c r="M8" s="0">
        <v>2.5</v>
      </c>
      <c r="O8" s="593">
        <v>5</v>
      </c>
      <c r="P8" s="614" t="s">
        <v>49</v>
      </c>
      <c r="Q8" s="614" t="s">
        <v>32</v>
      </c>
      <c r="R8" s="593">
        <v>1</v>
      </c>
      <c r="S8" s="593">
        <v>1</v>
      </c>
      <c r="T8" s="613" t="s">
        <v>46</v>
      </c>
      <c r="U8" s="612">
        <v>100</v>
      </c>
      <c r="V8" s="612">
        <f t="shared" si="0"/>
        <v>100</v>
      </c>
      <c r="W8" s="612">
        <f>Table1102[[#This Row],[متطلبات انتاج الشمسيه 2.5]]*Table1102[[#This Row],[سعر]]</f>
        <v>100</v>
      </c>
    </row>
    <row r="9" ht="27" customHeight="1">
      <c r="A9" s="594" t="s">
        <v>50</v>
      </c>
      <c r="B9" s="594" t="str">
        <f>F1</f>
        <v>سادة</v>
      </c>
      <c r="C9" s="593" t="s">
        <v>51</v>
      </c>
      <c r="D9" s="592">
        <v>1</v>
      </c>
      <c r="E9" s="592">
        <f>F3+F4+F5+F6</f>
        <v>27.720999999999997</v>
      </c>
      <c r="F9" s="592">
        <f>Table1381[[#This Row],[الطول]]*Table1381[[#This Row],[وزن المتر]]</f>
        <v>27.720999999999997</v>
      </c>
      <c r="G9" s="592">
        <f>IF(F1="سادة",Sheet2!B41,IF(F1="خشبي",Sheet2!B15/1000,IF(F1="ذهبي",Sheet2!B40,0)))</f>
        <v>25</v>
      </c>
      <c r="H9" s="592">
        <f>Table1381[[#This Row],[السعر]]*Table1381[[#This Row],[الوزن]]</f>
        <v>693.02499999999986</v>
      </c>
      <c r="K9" s="361" t="s">
        <v>52</v>
      </c>
      <c r="O9" s="593">
        <v>6</v>
      </c>
      <c r="P9" s="614" t="s">
        <v>53</v>
      </c>
      <c r="Q9" s="614" t="s">
        <v>32</v>
      </c>
      <c r="R9" s="593">
        <v>1</v>
      </c>
      <c r="S9" s="593">
        <v>1</v>
      </c>
      <c r="T9" s="612" t="s">
        <v>54</v>
      </c>
      <c r="U9" s="612">
        <v>35</v>
      </c>
      <c r="V9" s="612">
        <f t="shared" si="0"/>
        <v>35</v>
      </c>
      <c r="W9" s="612">
        <f>Table1102[[#This Row],[متطلبات انتاج الشمسيه 2.5]]*Table1102[[#This Row],[سعر]]</f>
        <v>35</v>
      </c>
    </row>
    <row r="10" ht="27" customHeight="1">
      <c r="A10" s="594" t="s">
        <v>55</v>
      </c>
      <c r="B10" s="594" t="str">
        <f>D1</f>
        <v>بولي استر</v>
      </c>
      <c r="C10" s="593"/>
      <c r="D10" s="592">
        <v>1</v>
      </c>
      <c r="E10" s="592">
        <v>9</v>
      </c>
      <c r="F10" s="592">
        <f>Table1381[[#This Row],[الطول]]*Table1381[[#This Row],[وزن المتر]]</f>
        <v>9</v>
      </c>
      <c r="G10" s="592">
        <f>IF(D1="بولي استر",Sheet2!B44,IF(D1="اسباني",Sheet2!B42,0))</f>
        <v>250</v>
      </c>
      <c r="H10" s="595">
        <f>Table1381[[#This Row],[السعر]]*Table1381[[#This Row],[الوزن]]</f>
        <v>2250</v>
      </c>
      <c r="K10" s="0" t="s">
        <v>5</v>
      </c>
      <c r="O10" s="593">
        <v>7</v>
      </c>
      <c r="P10" s="614" t="s">
        <v>56</v>
      </c>
      <c r="Q10" s="614" t="s">
        <v>32</v>
      </c>
      <c r="R10" s="593">
        <v>12</v>
      </c>
      <c r="S10" s="593">
        <v>12</v>
      </c>
      <c r="T10" s="612" t="s">
        <v>54</v>
      </c>
      <c r="U10" s="612">
        <v>30</v>
      </c>
      <c r="V10" s="612">
        <f t="shared" si="0"/>
        <v>360</v>
      </c>
      <c r="W10" s="612">
        <f>Table1102[[#This Row],[متطلبات انتاج الشمسيه 2.5]]*Table1102[[#This Row],[سعر]]</f>
        <v>360</v>
      </c>
    </row>
    <row r="11" ht="27" customHeight="1">
      <c r="A11" s="594" t="s">
        <v>57</v>
      </c>
      <c r="B11" s="594" t="s">
        <v>58</v>
      </c>
      <c r="C11" s="593" t="s">
        <v>48</v>
      </c>
      <c r="D11" s="592">
        <v>1</v>
      </c>
      <c r="E11" s="592">
        <v>2</v>
      </c>
      <c r="F11" s="592">
        <f>Table1381[[#This Row],[الطول]]*Table1381[[#This Row],[وزن المتر]]</f>
        <v>2</v>
      </c>
      <c r="G11" s="592">
        <v>125</v>
      </c>
      <c r="H11" s="592">
        <f>Table1381[[#This Row],[السعر]]*Table1381[[#This Row],[الوزن]]</f>
        <v>250</v>
      </c>
      <c r="K11" s="0" t="s">
        <v>59</v>
      </c>
      <c r="O11" s="593">
        <v>8</v>
      </c>
      <c r="P11" s="614" t="s">
        <v>60</v>
      </c>
      <c r="Q11" s="614" t="s">
        <v>32</v>
      </c>
      <c r="R11" s="593">
        <v>1</v>
      </c>
      <c r="S11" s="593">
        <v>1</v>
      </c>
      <c r="T11" s="612" t="s">
        <v>54</v>
      </c>
      <c r="U11" s="612">
        <v>70</v>
      </c>
      <c r="V11" s="612">
        <f t="shared" si="0"/>
        <v>70</v>
      </c>
      <c r="W11" s="612">
        <f>Table1102[[#This Row],[متطلبات انتاج الشمسيه 2.5]]*Table1102[[#This Row],[سعر]]</f>
        <v>70</v>
      </c>
    </row>
    <row r="12" ht="27" customHeight="1">
      <c r="A12" s="594" t="s">
        <v>57</v>
      </c>
      <c r="B12" s="594" t="s">
        <v>61</v>
      </c>
      <c r="C12" s="593" t="s">
        <v>48</v>
      </c>
      <c r="D12" s="592">
        <v>1</v>
      </c>
      <c r="E12" s="592">
        <v>2</v>
      </c>
      <c r="F12" s="592">
        <f>Table1381[[#This Row],[الطول]]*Table1381[[#This Row],[وزن المتر]]</f>
        <v>2</v>
      </c>
      <c r="G12" s="592">
        <v>150</v>
      </c>
      <c r="H12" s="595">
        <f>Table1381[[#This Row],[السعر]]*Table1381[[#This Row],[الوزن]]</f>
        <v>300</v>
      </c>
      <c r="O12" s="593">
        <v>9</v>
      </c>
      <c r="P12" s="614" t="s">
        <v>62</v>
      </c>
      <c r="Q12" s="614" t="s">
        <v>32</v>
      </c>
      <c r="R12" s="593">
        <v>1</v>
      </c>
      <c r="S12" s="593">
        <v>1</v>
      </c>
      <c r="T12" s="612" t="s">
        <v>54</v>
      </c>
      <c r="U12" s="612">
        <v>80</v>
      </c>
      <c r="V12" s="612">
        <f t="shared" si="0"/>
        <v>80</v>
      </c>
      <c r="W12" s="612">
        <f>Table1102[[#This Row],[متطلبات انتاج الشمسيه 2.5]]*Table1102[[#This Row],[سعر]]</f>
        <v>80</v>
      </c>
    </row>
    <row r="13" ht="27" customHeight="1">
      <c r="A13" s="594" t="s">
        <v>63</v>
      </c>
      <c r="B13" s="594" t="s">
        <v>64</v>
      </c>
      <c r="C13" s="593" t="s">
        <v>48</v>
      </c>
      <c r="D13" s="592">
        <v>1</v>
      </c>
      <c r="E13" s="592">
        <v>1</v>
      </c>
      <c r="F13" s="592">
        <f>Table1381[[#This Row],[الطول]]*Table1381[[#This Row],[وزن المتر]]</f>
        <v>1</v>
      </c>
      <c r="G13" s="592">
        <v>250</v>
      </c>
      <c r="H13" s="595">
        <f>Table1381[[#This Row],[السعر]]*Table1381[[#This Row],[الوزن]]</f>
        <v>250</v>
      </c>
      <c r="O13" s="593">
        <v>10</v>
      </c>
      <c r="P13" s="614" t="s">
        <v>65</v>
      </c>
      <c r="Q13" s="614" t="s">
        <v>32</v>
      </c>
      <c r="R13" s="593">
        <v>20</v>
      </c>
      <c r="S13" s="593">
        <v>20</v>
      </c>
      <c r="T13" s="612" t="s">
        <v>66</v>
      </c>
      <c r="U13" s="612">
        <v>5</v>
      </c>
      <c r="V13" s="612">
        <f t="shared" si="0"/>
        <v>100</v>
      </c>
      <c r="W13" s="612">
        <f>Table1102[[#This Row],[متطلبات انتاج الشمسيه 2.5]]*Table1102[[#This Row],[سعر]]</f>
        <v>100</v>
      </c>
    </row>
    <row r="14" ht="27" customHeight="1">
      <c r="A14" s="594" t="s">
        <v>63</v>
      </c>
      <c r="B14" s="594" t="s">
        <v>67</v>
      </c>
      <c r="C14" s="593" t="s">
        <v>48</v>
      </c>
      <c r="D14" s="592">
        <v>1</v>
      </c>
      <c r="E14" s="592">
        <v>2</v>
      </c>
      <c r="F14" s="592">
        <f>Table1381[[#This Row],[الطول]]*Table1381[[#This Row],[وزن المتر]]</f>
        <v>2</v>
      </c>
      <c r="G14" s="592">
        <v>150</v>
      </c>
      <c r="H14" s="595">
        <f>Table1381[[#This Row],[السعر]]*Table1381[[#This Row],[الوزن]]</f>
        <v>300</v>
      </c>
      <c r="O14" s="593">
        <v>11</v>
      </c>
      <c r="P14" s="614" t="s">
        <v>68</v>
      </c>
      <c r="Q14" s="614" t="s">
        <v>32</v>
      </c>
      <c r="R14" s="593">
        <v>1</v>
      </c>
      <c r="S14" s="593">
        <v>1</v>
      </c>
      <c r="T14" s="612" t="s">
        <v>54</v>
      </c>
      <c r="U14" s="612">
        <v>250</v>
      </c>
      <c r="V14" s="612">
        <f t="shared" si="0"/>
        <v>250</v>
      </c>
      <c r="W14" s="612">
        <f>Table1102[[#This Row],[متطلبات انتاج الشمسيه 2.5]]*Table1102[[#This Row],[سعر]]</f>
        <v>250</v>
      </c>
    </row>
    <row r="15" ht="27" customHeight="1">
      <c r="A15" s="594" t="s">
        <v>63</v>
      </c>
      <c r="B15" s="594" t="s">
        <v>69</v>
      </c>
      <c r="C15" s="593" t="s">
        <v>48</v>
      </c>
      <c r="D15" s="592">
        <v>1</v>
      </c>
      <c r="E15" s="592">
        <v>2</v>
      </c>
      <c r="F15" s="592">
        <f>Table1381[[#This Row],[الطول]]*Table1381[[#This Row],[وزن المتر]]</f>
        <v>2</v>
      </c>
      <c r="G15" s="592">
        <v>100</v>
      </c>
      <c r="H15" s="595">
        <f>Table1381[[#This Row],[السعر]]*Table1381[[#This Row],[الوزن]]</f>
        <v>200</v>
      </c>
      <c r="O15" s="593">
        <v>12</v>
      </c>
      <c r="P15" s="614" t="s">
        <v>70</v>
      </c>
      <c r="Q15" s="614" t="s">
        <v>32</v>
      </c>
      <c r="R15" s="593">
        <v>1</v>
      </c>
      <c r="S15" s="593">
        <v>1</v>
      </c>
      <c r="T15" s="612" t="s">
        <v>46</v>
      </c>
      <c r="U15" s="612">
        <v>80</v>
      </c>
      <c r="V15" s="612">
        <f t="shared" si="0"/>
        <v>80</v>
      </c>
      <c r="W15" s="612">
        <f>Table1102[[#This Row],[متطلبات انتاج الشمسيه 2.5]]*Table1102[[#This Row],[سعر]]</f>
        <v>80</v>
      </c>
    </row>
    <row r="16" ht="27" customHeight="1">
      <c r="A16" s="594" t="s">
        <v>71</v>
      </c>
      <c r="B16" s="594" t="s">
        <v>72</v>
      </c>
      <c r="C16" s="593" t="s">
        <v>73</v>
      </c>
      <c r="D16" s="592">
        <v>1</v>
      </c>
      <c r="E16" s="592">
        <v>1</v>
      </c>
      <c r="F16" s="592">
        <f>Table1381[[#This Row],[الطول]]*Table1381[[#This Row],[وزن المتر]]</f>
        <v>1</v>
      </c>
      <c r="G16" s="592">
        <v>100</v>
      </c>
      <c r="H16" s="592">
        <f>Table1381[[#This Row],[السعر]]*Table1381[[#This Row],[الوزن]]</f>
        <v>100</v>
      </c>
      <c r="O16" s="593">
        <v>13</v>
      </c>
      <c r="P16" s="614" t="s">
        <v>74</v>
      </c>
      <c r="Q16" s="614" t="s">
        <v>32</v>
      </c>
      <c r="R16" s="593">
        <v>1</v>
      </c>
      <c r="S16" s="593">
        <v>1</v>
      </c>
      <c r="T16" s="612" t="s">
        <v>54</v>
      </c>
      <c r="U16" s="612">
        <v>55</v>
      </c>
      <c r="V16" s="612">
        <f t="shared" si="0"/>
        <v>55</v>
      </c>
      <c r="W16" s="612">
        <f>Table1102[[#This Row],[متطلبات انتاج الشمسيه 2.5]]*Table1102[[#This Row],[سعر]]</f>
        <v>55</v>
      </c>
    </row>
    <row r="17" ht="27" customHeight="1">
      <c r="A17" s="594" t="s">
        <v>75</v>
      </c>
      <c r="B17" s="594" t="s">
        <v>76</v>
      </c>
      <c r="C17" s="593" t="s">
        <v>73</v>
      </c>
      <c r="D17" s="592">
        <v>1</v>
      </c>
      <c r="E17" s="592">
        <v>2</v>
      </c>
      <c r="F17" s="592">
        <f>Table1381[[#This Row],[الطول]]*Table1381[[#This Row],[وزن المتر]]</f>
        <v>2</v>
      </c>
      <c r="G17" s="592">
        <v>50</v>
      </c>
      <c r="H17" s="592">
        <f>Table1381[[#This Row],[السعر]]*Table1381[[#This Row],[الوزن]]</f>
        <v>100</v>
      </c>
      <c r="O17" s="593">
        <v>14</v>
      </c>
      <c r="P17" s="614" t="s">
        <v>77</v>
      </c>
      <c r="Q17" s="614" t="s">
        <v>32</v>
      </c>
      <c r="R17" s="593">
        <v>1</v>
      </c>
      <c r="S17" s="593">
        <v>1</v>
      </c>
      <c r="T17" s="612" t="s">
        <v>66</v>
      </c>
      <c r="U17" s="612">
        <v>100</v>
      </c>
      <c r="V17" s="612">
        <f t="shared" si="0"/>
        <v>100</v>
      </c>
      <c r="W17" s="612">
        <f>Table1102[[#This Row],[متطلبات انتاج الشمسيه 2.5]]*Table1102[[#This Row],[سعر]]</f>
        <v>100</v>
      </c>
    </row>
    <row r="18" ht="27" customHeight="1">
      <c r="A18" s="594"/>
      <c r="B18" s="594" t="s">
        <v>78</v>
      </c>
      <c r="C18" s="593" t="s">
        <v>73</v>
      </c>
      <c r="D18" s="592">
        <v>1</v>
      </c>
      <c r="E18" s="592">
        <v>1</v>
      </c>
      <c r="F18" s="592">
        <f>Table1381[[#This Row],[الطول]]*Table1381[[#This Row],[وزن المتر]]</f>
        <v>1</v>
      </c>
      <c r="G18" s="592">
        <v>20</v>
      </c>
      <c r="H18" s="592">
        <f>Table1381[[#This Row],[السعر]]*Table1381[[#This Row],[الوزن]]</f>
        <v>20</v>
      </c>
      <c r="O18" s="593">
        <v>15</v>
      </c>
      <c r="P18" s="614" t="s">
        <v>79</v>
      </c>
      <c r="Q18" s="614" t="s">
        <v>32</v>
      </c>
      <c r="R18" s="593">
        <v>1</v>
      </c>
      <c r="S18" s="593">
        <v>5</v>
      </c>
      <c r="T18" s="612" t="s">
        <v>80</v>
      </c>
      <c r="U18" s="612">
        <v>20</v>
      </c>
      <c r="V18" s="612">
        <f t="shared" si="0"/>
        <v>100</v>
      </c>
      <c r="W18" s="612">
        <f>Table1102[[#This Row],[متطلبات انتاج الشمسيه 2.5]]*Table1102[[#This Row],[سعر]]</f>
        <v>20</v>
      </c>
    </row>
    <row r="19" ht="27" customHeight="1">
      <c r="A19" s="594" t="s">
        <v>81</v>
      </c>
      <c r="B19" s="594" t="s">
        <v>82</v>
      </c>
      <c r="C19" s="593"/>
      <c r="D19" s="592">
        <v>1</v>
      </c>
      <c r="E19" s="592">
        <v>10</v>
      </c>
      <c r="F19" s="592">
        <f>Table1381[[#This Row],[الطول]]*Table1381[[#This Row],[وزن المتر]]</f>
        <v>10</v>
      </c>
      <c r="G19" s="592">
        <v>50</v>
      </c>
      <c r="H19" s="592">
        <f>Table1381[[#This Row],[السعر]]*Table1381[[#This Row],[الوزن]]</f>
        <v>500</v>
      </c>
      <c r="O19" s="593">
        <v>16</v>
      </c>
      <c r="P19" s="614" t="s">
        <v>83</v>
      </c>
      <c r="Q19" s="614" t="s">
        <v>84</v>
      </c>
      <c r="R19" s="593">
        <v>8</v>
      </c>
      <c r="S19" s="593">
        <v>8</v>
      </c>
      <c r="T19" s="612" t="s">
        <v>54</v>
      </c>
      <c r="U19" s="612">
        <v>8</v>
      </c>
      <c r="V19" s="612">
        <f t="shared" si="0"/>
        <v>64</v>
      </c>
      <c r="W19" s="612">
        <f>Table1102[[#This Row],[متطلبات انتاج الشمسيه 2.5]]*Table1102[[#This Row],[سعر]]</f>
        <v>64</v>
      </c>
    </row>
    <row r="20" ht="27" customHeight="1">
      <c r="A20" s="594" t="s">
        <v>71</v>
      </c>
      <c r="B20" s="594" t="s">
        <v>85</v>
      </c>
      <c r="C20" s="593" t="s">
        <v>73</v>
      </c>
      <c r="D20" s="592">
        <v>1</v>
      </c>
      <c r="E20" s="592">
        <v>24</v>
      </c>
      <c r="F20" s="592">
        <f>Table1381[[#This Row],[الطول]]*Table1381[[#This Row],[وزن المتر]]</f>
        <v>24</v>
      </c>
      <c r="G20" s="592">
        <v>5</v>
      </c>
      <c r="H20" s="592">
        <f>Table1381[[#This Row],[السعر]]*Table1381[[#This Row],[الوزن]]</f>
        <v>120</v>
      </c>
      <c r="O20" s="593">
        <v>17</v>
      </c>
      <c r="P20" s="614" t="s">
        <v>55</v>
      </c>
      <c r="Q20" s="614" t="s">
        <v>86</v>
      </c>
      <c r="R20" s="593">
        <v>7</v>
      </c>
      <c r="S20" s="593">
        <v>9</v>
      </c>
      <c r="T20" s="612" t="s">
        <v>87</v>
      </c>
      <c r="U20" s="615">
        <f>IF(S1="اسباني",650,IF(S1="بولي استر",250,0))</f>
        <v>250</v>
      </c>
      <c r="V20" s="612">
        <f t="shared" si="0"/>
        <v>2250</v>
      </c>
      <c r="W20" s="612">
        <f>Table1102[[#This Row],[متطلبات انتاج الشمسيه 2.5]]*Table1102[[#This Row],[سعر]]</f>
        <v>1750</v>
      </c>
    </row>
    <row r="21" ht="27" customHeight="1">
      <c r="A21" s="594" t="s">
        <v>88</v>
      </c>
      <c r="B21" s="594" t="s">
        <v>89</v>
      </c>
      <c r="C21" s="593" t="s">
        <v>90</v>
      </c>
      <c r="D21" s="592">
        <v>3</v>
      </c>
      <c r="E21" s="592">
        <v>3</v>
      </c>
      <c r="F21" s="592">
        <f>Table1381[[#This Row],[الطول]]*Table1381[[#This Row],[وزن المتر]]</f>
        <v>9</v>
      </c>
      <c r="G21" s="592">
        <v>300</v>
      </c>
      <c r="H21" s="592">
        <f>Table1381[[#This Row],[السعر]]*Table1381[[#This Row],[الوزن]]</f>
        <v>2700</v>
      </c>
      <c r="O21" s="616"/>
      <c r="P21" s="617" t="s">
        <v>91</v>
      </c>
      <c r="Q21" s="617"/>
      <c r="R21" s="616">
        <v>1</v>
      </c>
      <c r="S21" s="616">
        <v>1</v>
      </c>
      <c r="T21" s="615"/>
      <c r="U21" s="615">
        <v>4000</v>
      </c>
      <c r="V21" s="615">
        <f t="shared" si="0"/>
        <v>4000</v>
      </c>
      <c r="W21" s="612">
        <f>Table1102[[#This Row],[متطلبات انتاج الشمسيه 2.5]]*Table1102[[#This Row],[سعر]]</f>
        <v>4000</v>
      </c>
    </row>
    <row r="22" ht="27" customHeight="1">
      <c r="H22" s="591">
        <f>SUBTOTAL(109,Table1381[التكلفة])</f>
        <v>16588.620000000003</v>
      </c>
      <c r="O22" s="618" t="s">
        <v>92</v>
      </c>
      <c r="P22" s="619"/>
      <c r="Q22" s="619"/>
      <c r="R22" s="620"/>
      <c r="S22" s="620"/>
      <c r="T22" s="621"/>
      <c r="U22" s="612"/>
      <c r="V22" s="592">
        <f>SUBTOTAL(109,Table1102[3])</f>
        <v>11029.59</v>
      </c>
      <c r="W22" s="574">
        <f>SUBTOTAL(109,Table1102[2.5])</f>
        <v>10178.325</v>
      </c>
    </row>
    <row r="23" ht="27" customHeight="1">
      <c r="V23" s="623">
        <f>IF(تسعير!AI18="قطاعي",Table1102[[#Totals],[3]]*1.35,IF(تسعير!AI18="جملة",Table1102[[#Totals],[3]]*1.25,IF(تسعير!AI18="نصف جملة",Table1102[[#Totals],[3]]*1.3,0)))</f>
        <v>14889.946500000002</v>
      </c>
      <c r="W23" s="623">
        <f>IF(تسعير!AI18="قطاعي",Table1102[[#Totals],[2.5]]*1.35,IF(تسعير!AI18="جملة",Table1102[[#Totals],[2.5]]*1.25,IF(تسعير!AI18="نصف جملة",Table1102[[#Totals],[2.5]]*1.3,0)))</f>
        <v>13740.738750000002</v>
      </c>
    </row>
  </sheetData>
  <mergeCells>
    <mergeCell ref="A1:B1"/>
  </mergeCells>
  <phoneticPr fontId="119" type="noConversion"/>
  <dataValidations disablePrompts="1" count="1">
    <dataValidation type="list" allowBlank="1" showInputMessage="1" showErrorMessage="1" sqref="Q1" xr:uid="{396669DA-9608-4278-9D64-8EA9FFD24C60}">
      <formula1>$N$6:$O$6</formula1>
    </dataValidation>
  </dataValidations>
  <pageMargins left="0.7" right="0.7" top="0.75" bottom="0.75" header="0.3" footer="0.3"/>
  <headerFooter/>
  <tableParts count="2">
    <tablePart r:id="rId1"/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8" tint="-0.249977111117893"/>
    <pageSetUpPr fitToPage="1"/>
  </sheetPr>
  <dimension ref="A1:Y85"/>
  <sheetViews>
    <sheetView rightToLeft="1" view="pageBreakPreview" topLeftCell="L4" zoomScale="130" zoomScaleNormal="90" zoomScaleSheetLayoutView="130" zoomScalePageLayoutView="90" workbookViewId="0">
      <selection activeCell="W11" sqref="W11"/>
    </sheetView>
  </sheetViews>
  <sheetFormatPr defaultColWidth="9.109375" defaultRowHeight="14.4"/>
  <cols>
    <col min="1" max="1" width="8.44140625" customWidth="1" style="207"/>
    <col min="2" max="2" width="10.5546875" customWidth="1" style="207"/>
    <col min="3" max="3" width="45.33203125" customWidth="1" style="361"/>
    <col min="4" max="4" width="14" customWidth="1" style="207"/>
    <col min="5" max="5" width="12.6640625" customWidth="1" style="207"/>
    <col min="6" max="6" width="13.6640625" customWidth="1" style="207"/>
    <col min="7" max="7" width="15.33203125" customWidth="1" style="233"/>
    <col min="8" max="8" width="15.33203125" customWidth="1" style="396"/>
    <col min="9" max="9" width="9.88671875" customWidth="1" style="233"/>
    <col min="10" max="10" width="15" customWidth="1" style="233"/>
    <col min="11" max="11" width="15.88671875" customWidth="1" style="233"/>
    <col min="12" max="12" width="8" customWidth="1" style="233"/>
    <col min="13" max="13" width="9.109375" customWidth="1" style="207"/>
    <col min="14" max="14" width="17.88671875" customWidth="1" style="207"/>
    <col min="15" max="21" width="9.109375" customWidth="1" style="207"/>
    <col min="22" max="22" width="22.109375" customWidth="1" style="207"/>
    <col min="23" max="23" width="9.109375" customWidth="1" style="207"/>
    <col min="24" max="24" width="15" customWidth="1" style="207"/>
    <col min="25" max="16384" width="9.109375" customWidth="1" style="207"/>
  </cols>
  <sheetData>
    <row r="1" ht="16.5" customHeight="1">
      <c r="A1" s="686" t="s">
        <v>93</v>
      </c>
      <c r="B1" s="687"/>
      <c r="C1" s="688"/>
      <c r="D1" s="201" t="s">
        <v>94</v>
      </c>
      <c r="E1" s="202" t="s">
        <v>95</v>
      </c>
      <c r="F1" s="223" t="s">
        <v>96</v>
      </c>
      <c r="G1" s="224" t="s">
        <v>97</v>
      </c>
      <c r="H1" s="224" t="s">
        <v>98</v>
      </c>
      <c r="I1" s="224" t="s">
        <v>99</v>
      </c>
      <c r="J1" s="224" t="s">
        <v>100</v>
      </c>
      <c r="K1" s="392" t="s">
        <v>101</v>
      </c>
      <c r="N1" s="207" t="s">
        <v>102</v>
      </c>
      <c r="O1" s="207" t="s">
        <v>103</v>
      </c>
      <c r="P1" s="207" t="s">
        <v>104</v>
      </c>
      <c r="Q1" s="207" t="s">
        <v>105</v>
      </c>
      <c r="R1" s="207" t="s">
        <v>106</v>
      </c>
      <c r="S1" s="207" t="s">
        <v>107</v>
      </c>
      <c r="T1" s="207" t="s">
        <v>108</v>
      </c>
    </row>
    <row r="2" ht="16.5" customHeight="1">
      <c r="A2" s="689"/>
      <c r="B2" s="690"/>
      <c r="C2" s="691"/>
      <c r="D2" s="203"/>
      <c r="E2" s="204"/>
      <c r="F2" s="228">
        <f>D2*E2</f>
        <v>0</v>
      </c>
      <c r="G2" s="229" t="e">
        <f>G84/F2</f>
        <v>#DIV/0!</v>
      </c>
      <c r="H2" s="230">
        <f>Sheet2!B12</f>
        <v>45000</v>
      </c>
      <c r="I2" s="231">
        <f>Sheet2!B13</f>
        <v>50000</v>
      </c>
      <c r="J2" s="232">
        <f>Sheet2!B14</f>
        <v>202000</v>
      </c>
      <c r="K2" s="232">
        <f>Sheet2!B15</f>
        <v>70000</v>
      </c>
      <c r="N2" s="216" t="s">
        <v>109</v>
      </c>
      <c r="O2" s="216">
        <v>0</v>
      </c>
      <c r="P2" s="216">
        <v>0</v>
      </c>
      <c r="Q2" s="216">
        <v>0</v>
      </c>
      <c r="R2" s="216">
        <v>1000</v>
      </c>
      <c r="S2" s="216">
        <v>2000</v>
      </c>
      <c r="T2" s="216">
        <v>0</v>
      </c>
    </row>
    <row r="3" ht="29.25" customHeight="1">
      <c r="A3" s="682" t="s">
        <v>110</v>
      </c>
      <c r="B3" s="683"/>
      <c r="C3" s="397"/>
      <c r="F3" s="234" t="s">
        <v>111</v>
      </c>
      <c r="G3" s="684">
        <f>NOW()</f>
        <v>46060.582549259256</v>
      </c>
      <c r="H3" s="685"/>
      <c r="I3" s="685"/>
      <c r="J3" s="235"/>
      <c r="K3" s="235"/>
      <c r="L3" s="235"/>
      <c r="N3" s="216" t="s">
        <v>112</v>
      </c>
      <c r="O3" s="216">
        <v>180</v>
      </c>
      <c r="P3" s="216">
        <v>300</v>
      </c>
      <c r="Q3" s="216">
        <v>125</v>
      </c>
      <c r="R3" s="216">
        <v>3000</v>
      </c>
      <c r="S3" s="216">
        <v>5000</v>
      </c>
      <c r="T3" s="216">
        <v>1000</v>
      </c>
    </row>
    <row r="4" ht="18.75" customHeight="1">
      <c r="A4" s="208"/>
      <c r="B4" s="208"/>
      <c r="C4" s="209"/>
      <c r="D4" s="681" t="s">
        <v>113</v>
      </c>
      <c r="E4" s="681"/>
      <c r="F4" s="681"/>
      <c r="G4" s="681"/>
      <c r="H4" s="681"/>
      <c r="I4" s="681"/>
      <c r="J4" s="236"/>
      <c r="K4" s="236"/>
      <c r="L4" s="236"/>
      <c r="N4" s="216" t="s">
        <v>114</v>
      </c>
      <c r="O4" s="216">
        <v>400</v>
      </c>
      <c r="P4" s="216">
        <v>400</v>
      </c>
      <c r="Q4" s="216">
        <v>100</v>
      </c>
      <c r="R4" s="216">
        <v>3500</v>
      </c>
      <c r="S4" s="216">
        <v>6000</v>
      </c>
      <c r="T4" s="216">
        <v>150</v>
      </c>
      <c r="U4" s="207" t="s">
        <v>115</v>
      </c>
      <c r="V4" s="207" t="s">
        <v>116</v>
      </c>
      <c r="W4" s="207" t="s">
        <v>117</v>
      </c>
      <c r="X4" s="207" t="s">
        <v>118</v>
      </c>
      <c r="Y4" s="207" t="s">
        <v>119</v>
      </c>
    </row>
    <row r="5" ht="24.75" customHeight="1">
      <c r="A5" s="208" t="s">
        <v>19</v>
      </c>
      <c r="B5" s="208" t="s">
        <v>32</v>
      </c>
      <c r="C5" s="210" t="s">
        <v>120</v>
      </c>
      <c r="D5" s="208" t="s">
        <v>121</v>
      </c>
      <c r="E5" s="208" t="s">
        <v>102</v>
      </c>
      <c r="F5" s="208" t="s">
        <v>122</v>
      </c>
      <c r="G5" s="237" t="s">
        <v>21</v>
      </c>
      <c r="H5" s="237" t="s">
        <v>12</v>
      </c>
      <c r="I5" s="237" t="s">
        <v>123</v>
      </c>
      <c r="J5" s="237" t="s">
        <v>124</v>
      </c>
      <c r="K5" s="238" t="s">
        <v>125</v>
      </c>
      <c r="L5" s="237" t="s">
        <v>126</v>
      </c>
      <c r="N5" s="216" t="s">
        <v>127</v>
      </c>
      <c r="O5" s="216">
        <v>400</v>
      </c>
      <c r="P5" s="216">
        <v>400</v>
      </c>
      <c r="Q5" s="216">
        <v>100</v>
      </c>
      <c r="R5" s="216">
        <v>3500</v>
      </c>
      <c r="S5" s="216">
        <v>6000</v>
      </c>
      <c r="T5" s="216">
        <v>150</v>
      </c>
      <c r="U5" s="207" t="s">
        <v>128</v>
      </c>
      <c r="V5" s="233" t="s">
        <v>129</v>
      </c>
      <c r="W5" s="233">
        <v>1.4</v>
      </c>
      <c r="X5" s="237" t="s">
        <v>130</v>
      </c>
      <c r="Y5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5</v>
      </c>
      <c r="C6" s="215" t="s">
        <v>131</v>
      </c>
      <c r="D6" s="214">
        <v>0.03</v>
      </c>
      <c r="E6" s="214">
        <v>0.03</v>
      </c>
      <c r="F6" s="214">
        <f>(Table1[[#This Row],[Column1]]+Table1[[#This Row],[Column2]])*12*Table1[[#This Row],[عدد]]</f>
        <v>3.5999999999999996</v>
      </c>
      <c r="G6" s="242" t="s">
        <v>132</v>
      </c>
      <c r="H6" s="211">
        <v>8.5</v>
      </c>
      <c r="I6" s="211"/>
      <c r="J6" s="243">
        <f>H6*$H$2/1000</f>
        <v>382.5</v>
      </c>
      <c r="K6" s="240">
        <f>B6*J6</f>
        <v>1912.5</v>
      </c>
      <c r="L6" s="241">
        <f>(K6)/$G$83</f>
        <v>0.013594257780056707</v>
      </c>
      <c r="N6" s="216" t="s">
        <v>133</v>
      </c>
      <c r="O6" s="216">
        <v>320</v>
      </c>
      <c r="P6" s="216">
        <v>400</v>
      </c>
      <c r="Q6" s="216">
        <v>100</v>
      </c>
      <c r="R6" s="216">
        <v>3500</v>
      </c>
      <c r="S6" s="216">
        <v>6000</v>
      </c>
      <c r="T6" s="216">
        <v>150</v>
      </c>
      <c r="V6" s="216" t="s">
        <v>134</v>
      </c>
      <c r="W6" s="216">
        <v>0.25</v>
      </c>
      <c r="X6" s="216" t="s">
        <v>135</v>
      </c>
      <c r="Y6" s="216">
        <f>Y5*Table6[[#This Row],[المعدل]]+4</f>
        <v>6.1071428571428577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2</v>
      </c>
      <c r="C7" s="215" t="s">
        <v>136</v>
      </c>
      <c r="D7" s="391">
        <v>0.1</v>
      </c>
      <c r="E7" s="391">
        <v>0.1</v>
      </c>
      <c r="F7" s="216">
        <f>(Table1[[#This Row],[Column1]]+Table1[[#This Row],[Column2]])*12*Table1[[#This Row],[عدد]]</f>
        <v>4.8000000000000007</v>
      </c>
      <c r="G7" s="242" t="s">
        <v>132</v>
      </c>
      <c r="H7" s="211">
        <v>46.75</v>
      </c>
      <c r="I7" s="211"/>
      <c r="J7" s="243">
        <f>H7*$H$2/1000</f>
        <v>2103.75</v>
      </c>
      <c r="K7" s="240">
        <f>B7*J7</f>
        <v>4207.5</v>
      </c>
      <c r="L7" s="241">
        <f>(K7)/$G$83</f>
        <v>0.029907367116124756</v>
      </c>
      <c r="N7" s="216" t="s">
        <v>137</v>
      </c>
      <c r="O7" s="216">
        <v>250</v>
      </c>
      <c r="P7" s="216">
        <v>400</v>
      </c>
      <c r="Q7" s="216">
        <v>100</v>
      </c>
      <c r="R7" s="216">
        <v>5000</v>
      </c>
      <c r="S7" s="216">
        <v>8000</v>
      </c>
      <c r="T7" s="216">
        <v>400</v>
      </c>
      <c r="V7" s="216" t="s">
        <v>138</v>
      </c>
      <c r="W7" s="216">
        <v>2</v>
      </c>
      <c r="X7" s="211" t="s">
        <v>139</v>
      </c>
      <c r="Y7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5.9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</v>
      </c>
      <c r="C8" s="215" t="s">
        <v>140</v>
      </c>
      <c r="D8" s="391">
        <v>0.15</v>
      </c>
      <c r="E8" s="391">
        <v>0.05</v>
      </c>
      <c r="F8" s="216">
        <f>(Table1[[#This Row],[Column1]]+Table1[[#This Row],[Column2]])*12*Table1[[#This Row],[عدد]]</f>
        <v>2.4000000000000004</v>
      </c>
      <c r="G8" s="211" t="s">
        <v>132</v>
      </c>
      <c r="H8" s="211">
        <v>56</v>
      </c>
      <c r="I8" s="211"/>
      <c r="J8" s="243">
        <f>H8*$H$2/1000</f>
        <v>2520</v>
      </c>
      <c r="K8" s="240">
        <f>B8*J8</f>
        <v>2520</v>
      </c>
      <c r="L8" s="241">
        <f>(K8)/$G$83</f>
        <v>0.017912433780780602</v>
      </c>
      <c r="N8" s="216" t="s">
        <v>141</v>
      </c>
      <c r="O8" s="216">
        <v>75</v>
      </c>
      <c r="P8" s="216">
        <v>200</v>
      </c>
      <c r="Q8" s="216">
        <v>100</v>
      </c>
      <c r="R8" s="216">
        <v>3000</v>
      </c>
      <c r="S8" s="216">
        <v>5000</v>
      </c>
      <c r="T8" s="216">
        <v>250</v>
      </c>
      <c r="V8" s="216" t="s">
        <v>142</v>
      </c>
      <c r="W8" s="216">
        <v>1.4</v>
      </c>
      <c r="X8" s="211" t="s">
        <v>139</v>
      </c>
      <c r="Y8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9" ht="24.75" customHeight="1" s="216" customFormat="1">
      <c r="A9" s="211"/>
      <c r="B9" s="212"/>
      <c r="C9" s="213" t="s">
        <v>92</v>
      </c>
      <c r="D9" s="214"/>
      <c r="E9" s="214"/>
      <c r="F9" s="216">
        <f>SUBTOTAL(109,Table1[المسطح])</f>
        <v>10.8</v>
      </c>
      <c r="G9" s="211"/>
      <c r="H9" s="211">
        <f>(H6*B6)+(H8*B8)+(H7*B7)</f>
        <v>192</v>
      </c>
      <c r="I9" s="211"/>
      <c r="J9" s="242"/>
      <c r="K9" s="240">
        <f>SUBTOTAL(109,Table1[اجمالي])</f>
        <v>8640</v>
      </c>
      <c r="L9" s="244">
        <f>Table1[[#Totals],[اجمالي]]/$G$83</f>
        <v>0.061414058676962063</v>
      </c>
      <c r="N9" s="216" t="s">
        <v>143</v>
      </c>
      <c r="O9" s="216">
        <v>75</v>
      </c>
      <c r="P9" s="216">
        <v>200</v>
      </c>
      <c r="Q9" s="216">
        <v>100</v>
      </c>
      <c r="R9" s="216">
        <v>3000</v>
      </c>
      <c r="S9" s="216">
        <v>6000</v>
      </c>
      <c r="T9" s="216">
        <v>250</v>
      </c>
      <c r="V9" s="216" t="s">
        <v>144</v>
      </c>
      <c r="X9" s="216" t="s">
        <v>145</v>
      </c>
    </row>
    <row r="10" ht="21" customHeight="1" s="216" customFormat="1">
      <c r="C10" s="217"/>
      <c r="D10" s="681" t="s">
        <v>146</v>
      </c>
      <c r="E10" s="681"/>
      <c r="F10" s="681"/>
      <c r="G10" s="681"/>
      <c r="H10" s="681"/>
      <c r="I10" s="681"/>
      <c r="L10" s="402"/>
      <c r="N10" s="216" t="s">
        <v>147</v>
      </c>
      <c r="O10" s="216">
        <v>75</v>
      </c>
      <c r="P10" s="216">
        <v>200</v>
      </c>
      <c r="Q10" s="216">
        <v>100</v>
      </c>
      <c r="R10" s="216">
        <v>3000</v>
      </c>
      <c r="S10" s="216">
        <v>6000</v>
      </c>
      <c r="T10" s="216">
        <v>250</v>
      </c>
      <c r="V10" s="213" t="s">
        <v>148</v>
      </c>
      <c r="W10" s="216">
        <v>1.6</v>
      </c>
      <c r="Y10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1" ht="21" customHeight="1" s="216" customFormat="1">
      <c r="A11" s="211" t="s">
        <v>19</v>
      </c>
      <c r="B11" s="211" t="s">
        <v>32</v>
      </c>
      <c r="C11" s="218" t="s">
        <v>120</v>
      </c>
      <c r="D11" s="211" t="s">
        <v>121</v>
      </c>
      <c r="E11" s="211" t="s">
        <v>102</v>
      </c>
      <c r="F11" s="211" t="s">
        <v>149</v>
      </c>
      <c r="G11" s="211" t="s">
        <v>21</v>
      </c>
      <c r="H11" s="211" t="s">
        <v>12</v>
      </c>
      <c r="I11" s="237" t="s">
        <v>123</v>
      </c>
      <c r="J11" s="211" t="s">
        <v>124</v>
      </c>
      <c r="K11" s="245" t="s">
        <v>125</v>
      </c>
      <c r="L11" s="211" t="s">
        <v>126</v>
      </c>
      <c r="N11" s="216" t="s">
        <v>150</v>
      </c>
      <c r="O11" s="216">
        <v>150</v>
      </c>
      <c r="P11" s="216">
        <v>200</v>
      </c>
      <c r="Q11" s="216">
        <v>100</v>
      </c>
      <c r="R11" s="216">
        <v>3000</v>
      </c>
      <c r="S11" s="216">
        <v>8000</v>
      </c>
      <c r="T11" s="216">
        <v>250</v>
      </c>
      <c r="V11" s="218" t="s">
        <v>151</v>
      </c>
      <c r="W11" s="216">
        <v>1.6</v>
      </c>
      <c r="Y11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152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153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10100</v>
      </c>
      <c r="K12" s="240">
        <f ref="K12:K13" t="shared" si="1">B12*J12</f>
        <v>0</v>
      </c>
      <c r="L12" s="241">
        <f>(K12)/$G$83</f>
        <v>0</v>
      </c>
      <c r="N12" s="216" t="s">
        <v>154</v>
      </c>
      <c r="O12" s="216">
        <v>150</v>
      </c>
      <c r="P12" s="216">
        <v>200</v>
      </c>
      <c r="Q12" s="216">
        <v>100</v>
      </c>
      <c r="R12" s="216">
        <v>4000</v>
      </c>
      <c r="S12" s="216">
        <v>8000</v>
      </c>
      <c r="T12" s="216">
        <v>250</v>
      </c>
      <c r="V12" s="218" t="s">
        <v>155</v>
      </c>
      <c r="W12" s="216">
        <v>0.1</v>
      </c>
      <c r="Y12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156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132</v>
      </c>
      <c r="H13" s="211">
        <v>101</v>
      </c>
      <c r="I13" s="211">
        <f>Table14[[#This Row],[Column12]]*Table14[[#This Row],[عدد]]</f>
        <v>0</v>
      </c>
      <c r="J13" s="243">
        <f t="shared" si="0"/>
        <v>5050</v>
      </c>
      <c r="K13" s="240">
        <f t="shared" si="1"/>
        <v>0</v>
      </c>
      <c r="L13" s="241">
        <f>(K13)/$G$83</f>
        <v>0</v>
      </c>
      <c r="N13" s="216" t="s">
        <v>157</v>
      </c>
      <c r="O13" s="216">
        <v>150</v>
      </c>
      <c r="P13" s="216">
        <v>200</v>
      </c>
      <c r="Q13" s="216">
        <v>100</v>
      </c>
      <c r="R13" s="216">
        <v>4000</v>
      </c>
      <c r="S13" s="216">
        <v>8000</v>
      </c>
      <c r="T13" s="216">
        <v>250</v>
      </c>
      <c r="V13" s="218" t="s">
        <v>158</v>
      </c>
      <c r="W13" s="216">
        <v>0.1</v>
      </c>
      <c r="Y13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4" ht="21" customHeight="1" s="216" customFormat="1">
      <c r="A14" s="211" t="s">
        <v>92</v>
      </c>
      <c r="B14" s="212"/>
      <c r="C14" s="213" t="s">
        <v>92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Table14[[#Totals],[اجمالي]]/$G$83</f>
        <v>0</v>
      </c>
      <c r="N14" s="216" t="s">
        <v>159</v>
      </c>
      <c r="O14" s="216">
        <v>200</v>
      </c>
      <c r="P14" s="216">
        <v>200</v>
      </c>
      <c r="Q14" s="216">
        <v>100</v>
      </c>
      <c r="R14" s="216">
        <v>4000</v>
      </c>
      <c r="S14" s="216">
        <v>8000</v>
      </c>
      <c r="T14" s="216">
        <v>250</v>
      </c>
    </row>
    <row r="15" ht="21" customHeight="1" s="216" customFormat="1">
      <c r="C15" s="217"/>
      <c r="D15" s="681" t="s">
        <v>160</v>
      </c>
      <c r="E15" s="681"/>
      <c r="F15" s="681"/>
      <c r="G15" s="681"/>
      <c r="H15" s="681"/>
      <c r="I15" s="681"/>
      <c r="N15" s="216" t="s">
        <v>161</v>
      </c>
      <c r="O15" s="216">
        <v>250</v>
      </c>
      <c r="P15" s="216">
        <v>200</v>
      </c>
      <c r="Q15" s="216">
        <v>100</v>
      </c>
      <c r="R15" s="216">
        <v>3000</v>
      </c>
      <c r="S15" s="216">
        <v>10000</v>
      </c>
      <c r="T15" s="216">
        <v>300</v>
      </c>
    </row>
    <row r="16" ht="21" customHeight="1" s="216" customFormat="1">
      <c r="A16" s="211" t="s">
        <v>19</v>
      </c>
      <c r="B16" s="211" t="s">
        <v>32</v>
      </c>
      <c r="C16" s="218" t="s">
        <v>120</v>
      </c>
      <c r="D16" s="211" t="s">
        <v>121</v>
      </c>
      <c r="E16" s="211" t="s">
        <v>102</v>
      </c>
      <c r="F16" s="211" t="s">
        <v>149</v>
      </c>
      <c r="G16" s="211" t="s">
        <v>21</v>
      </c>
      <c r="H16" s="211" t="s">
        <v>12</v>
      </c>
      <c r="I16" s="211" t="s">
        <v>162</v>
      </c>
      <c r="J16" s="211" t="s">
        <v>124</v>
      </c>
      <c r="K16" s="245" t="s">
        <v>125</v>
      </c>
      <c r="L16" s="211" t="s">
        <v>126</v>
      </c>
      <c r="N16" s="216" t="s">
        <v>163</v>
      </c>
      <c r="O16" s="216">
        <v>250</v>
      </c>
      <c r="P16" s="216">
        <v>200</v>
      </c>
      <c r="Q16" s="216">
        <v>100</v>
      </c>
      <c r="R16" s="216">
        <v>3000</v>
      </c>
      <c r="S16" s="216">
        <v>10000</v>
      </c>
      <c r="T16" s="216">
        <v>300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164</v>
      </c>
      <c r="D17" s="214"/>
      <c r="E17" s="214"/>
      <c r="F17" s="214"/>
      <c r="G17" s="211" t="s">
        <v>165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(K17)/$G$83</f>
        <v>0.0056864869145335246</v>
      </c>
      <c r="N17" s="216" t="s">
        <v>166</v>
      </c>
      <c r="O17" s="216">
        <v>250</v>
      </c>
      <c r="P17" s="216">
        <v>200</v>
      </c>
      <c r="Q17" s="216">
        <v>100</v>
      </c>
      <c r="R17" s="216">
        <v>3000</v>
      </c>
      <c r="S17" s="216">
        <v>10000</v>
      </c>
      <c r="T17" s="216">
        <v>300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2</v>
      </c>
      <c r="C18" s="213" t="s">
        <v>167</v>
      </c>
      <c r="D18" s="214"/>
      <c r="E18" s="214"/>
      <c r="F18" s="214"/>
      <c r="G18" s="211" t="s">
        <v>168</v>
      </c>
      <c r="H18" s="211"/>
      <c r="I18" s="242"/>
      <c r="J18" s="247">
        <v>250</v>
      </c>
      <c r="K18" s="240">
        <f t="shared" si="2"/>
        <v>500</v>
      </c>
      <c r="L18" s="241">
        <f t="shared" si="3"/>
        <v>0.0035540543215834531</v>
      </c>
      <c r="N18" s="216" t="s">
        <v>169</v>
      </c>
      <c r="O18" s="216">
        <v>800</v>
      </c>
      <c r="P18" s="216">
        <v>600</v>
      </c>
      <c r="Q18" s="216">
        <v>150</v>
      </c>
      <c r="R18" s="216">
        <v>12000</v>
      </c>
      <c r="S18" s="216">
        <v>22000</v>
      </c>
      <c r="T18" s="216">
        <v>600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170</v>
      </c>
      <c r="D19" s="214"/>
      <c r="E19" s="214"/>
      <c r="F19" s="214"/>
      <c r="G19" s="211" t="s">
        <v>32</v>
      </c>
      <c r="H19" s="211"/>
      <c r="I19" s="242"/>
      <c r="J19" s="247">
        <v>110</v>
      </c>
      <c r="K19" s="240">
        <f t="shared" si="2"/>
        <v>440</v>
      </c>
      <c r="L19" s="241">
        <f t="shared" si="3"/>
        <v>0.0031275678029934386</v>
      </c>
      <c r="N19" s="216" t="s">
        <v>171</v>
      </c>
      <c r="O19" s="216">
        <v>800</v>
      </c>
      <c r="P19" s="216">
        <v>750</v>
      </c>
      <c r="Q19" s="216">
        <v>150</v>
      </c>
      <c r="R19" s="216">
        <v>12000</v>
      </c>
      <c r="S19" s="216">
        <v>22000</v>
      </c>
      <c r="T19" s="216">
        <v>600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172</v>
      </c>
      <c r="D20" s="214"/>
      <c r="E20" s="214"/>
      <c r="F20" s="214"/>
      <c r="G20" s="211" t="s">
        <v>32</v>
      </c>
      <c r="H20" s="211"/>
      <c r="I20" s="242"/>
      <c r="J20" s="247">
        <v>130</v>
      </c>
      <c r="K20" s="240">
        <f t="shared" si="2"/>
        <v>130</v>
      </c>
      <c r="L20" s="241">
        <f t="shared" si="3"/>
        <v>0.00092405412361169781</v>
      </c>
      <c r="N20" s="216" t="s">
        <v>173</v>
      </c>
      <c r="O20" s="216">
        <v>800</v>
      </c>
      <c r="P20" s="216">
        <v>750</v>
      </c>
      <c r="Q20" s="216">
        <v>150</v>
      </c>
      <c r="R20" s="216">
        <v>12000</v>
      </c>
      <c r="S20" s="216">
        <v>22000</v>
      </c>
      <c r="T20" s="216">
        <v>600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4</v>
      </c>
      <c r="C21" s="213" t="s">
        <v>174</v>
      </c>
      <c r="D21" s="214"/>
      <c r="E21" s="214"/>
      <c r="F21" s="214"/>
      <c r="G21" s="247" t="s">
        <v>175</v>
      </c>
      <c r="H21" s="247"/>
      <c r="I21" s="242"/>
      <c r="J21" s="247">
        <v>50</v>
      </c>
      <c r="K21" s="240">
        <f t="shared" si="2"/>
        <v>200</v>
      </c>
      <c r="L21" s="241">
        <f t="shared" si="3"/>
        <v>0.0014216217286333811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6</v>
      </c>
      <c r="C22" s="213" t="s">
        <v>176</v>
      </c>
      <c r="D22" s="214"/>
      <c r="E22" s="214"/>
      <c r="F22" s="214"/>
      <c r="G22" s="247" t="s">
        <v>177</v>
      </c>
      <c r="H22" s="247"/>
      <c r="I22" s="242"/>
      <c r="J22" s="247">
        <v>10</v>
      </c>
      <c r="K22" s="240">
        <f t="shared" si="2"/>
        <v>60</v>
      </c>
      <c r="L22" s="241">
        <f t="shared" si="3"/>
        <v>0.00042648651859001436</v>
      </c>
    </row>
    <row r="23" ht="21" customHeight="1" s="216" customFormat="1">
      <c r="A23" s="211">
        <v>7</v>
      </c>
      <c r="B23" s="585">
        <f>IF(تسعير!T10=Sheet2!A3,0,(تسعير!AA10/100))</f>
        <v>0</v>
      </c>
      <c r="C23" s="215" t="s">
        <v>178</v>
      </c>
      <c r="D23" s="391"/>
      <c r="E23" s="391"/>
      <c r="F23" s="391"/>
      <c r="G23" s="248" t="s">
        <v>177</v>
      </c>
      <c r="H23" s="248"/>
      <c r="I23" s="248"/>
      <c r="J23" s="248">
        <f>Sheet2!B29</f>
        <v>700</v>
      </c>
      <c r="K23" s="240">
        <f t="shared" si="2"/>
        <v>0</v>
      </c>
      <c r="L23" s="241">
        <f t="shared" si="3"/>
        <v>0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30</v>
      </c>
      <c r="C24" s="215" t="s">
        <v>179</v>
      </c>
      <c r="D24" s="391"/>
      <c r="E24" s="391"/>
      <c r="F24" s="391"/>
      <c r="G24" s="248" t="s">
        <v>180</v>
      </c>
      <c r="H24" s="248"/>
      <c r="I24" s="248"/>
      <c r="J24" s="248">
        <v>1</v>
      </c>
      <c r="K24" s="240">
        <f t="shared" si="2"/>
        <v>30</v>
      </c>
      <c r="L24" s="241">
        <f t="shared" si="3"/>
        <v>0.00021324325929500718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2</v>
      </c>
      <c r="C25" s="213" t="s">
        <v>181</v>
      </c>
      <c r="D25" s="214"/>
      <c r="E25" s="214"/>
      <c r="F25" s="214"/>
      <c r="G25" s="211" t="s">
        <v>175</v>
      </c>
      <c r="H25" s="211"/>
      <c r="I25" s="242"/>
      <c r="J25" s="243">
        <f>Sheet2!B30</f>
        <v>1200</v>
      </c>
      <c r="K25" s="240">
        <f t="shared" si="2"/>
        <v>2400</v>
      </c>
      <c r="L25" s="241">
        <f t="shared" si="3"/>
        <v>0.017059460743600575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1</v>
      </c>
      <c r="C26" s="213" t="s">
        <v>182</v>
      </c>
      <c r="D26" s="214"/>
      <c r="E26" s="214"/>
      <c r="F26" s="214"/>
      <c r="G26" s="211" t="s">
        <v>175</v>
      </c>
      <c r="H26" s="211"/>
      <c r="I26" s="242"/>
      <c r="J26" s="243">
        <f>Sheet2!B31</f>
        <v>450</v>
      </c>
      <c r="K26" s="240">
        <f t="shared" si="2"/>
        <v>450</v>
      </c>
      <c r="L26" s="241">
        <f t="shared" si="3"/>
        <v>0.0031986488894251075</v>
      </c>
    </row>
    <row r="27" ht="21" customHeight="1" s="216" customFormat="1">
      <c r="A27" s="211" t="s">
        <v>92</v>
      </c>
      <c r="B27" s="212"/>
      <c r="C27" s="213" t="s">
        <v>92</v>
      </c>
      <c r="D27" s="214"/>
      <c r="E27" s="214"/>
      <c r="G27" s="211"/>
      <c r="H27" s="211"/>
      <c r="I27" s="211"/>
      <c r="J27" s="242"/>
      <c r="K27" s="240">
        <f>SUBTOTAL(109,Table15[اجمالي])</f>
        <v>5010</v>
      </c>
      <c r="L27" s="244">
        <f>Table15[[#Totals],[اجمالي]]/$G$83</f>
        <v>0.0356116243022662</v>
      </c>
    </row>
    <row r="28" ht="21" customHeight="1" s="216" customFormat="1">
      <c r="C28" s="217"/>
      <c r="D28" s="681" t="s">
        <v>183</v>
      </c>
      <c r="E28" s="681"/>
      <c r="F28" s="681"/>
      <c r="G28" s="681"/>
      <c r="H28" s="681"/>
      <c r="I28" s="681"/>
    </row>
    <row r="29" ht="21" customHeight="1" s="216" customFormat="1">
      <c r="A29" s="211" t="s">
        <v>19</v>
      </c>
      <c r="B29" s="211" t="s">
        <v>32</v>
      </c>
      <c r="C29" s="218" t="s">
        <v>120</v>
      </c>
      <c r="D29" s="211" t="s">
        <v>121</v>
      </c>
      <c r="E29" s="211" t="s">
        <v>102</v>
      </c>
      <c r="F29" s="211" t="s">
        <v>149</v>
      </c>
      <c r="G29" s="211" t="s">
        <v>21</v>
      </c>
      <c r="H29" s="211" t="s">
        <v>12</v>
      </c>
      <c r="I29" s="211" t="s">
        <v>184</v>
      </c>
      <c r="J29" s="211" t="s">
        <v>124</v>
      </c>
      <c r="K29" s="245" t="s">
        <v>125</v>
      </c>
      <c r="L29" s="211" t="s">
        <v>126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185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168</v>
      </c>
      <c r="H30" s="211">
        <v>14</v>
      </c>
      <c r="I30" s="211"/>
      <c r="J30" s="243">
        <f ref="J30:J31" t="shared" si="4">H30*$H$2/1000</f>
        <v>630</v>
      </c>
      <c r="K30" s="240">
        <f ref="K30:K31" t="shared" si="5">B30*J30</f>
        <v>0</v>
      </c>
      <c r="L30" s="241">
        <f>(K30)/$G$83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186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168</v>
      </c>
      <c r="H31" s="211">
        <v>1</v>
      </c>
      <c r="I31" s="211"/>
      <c r="J31" s="243">
        <f t="shared" si="4"/>
        <v>45</v>
      </c>
      <c r="K31" s="240">
        <f t="shared" si="5"/>
        <v>0</v>
      </c>
      <c r="L31" s="251">
        <f>(K31)/$G$83</f>
        <v>0</v>
      </c>
    </row>
    <row r="32" ht="21" customHeight="1" s="216" customFormat="1">
      <c r="A32" s="211" t="s">
        <v>92</v>
      </c>
      <c r="B32" s="212">
        <f>SUBTOTAL(103,Table16[عدد])</f>
        <v>2</v>
      </c>
      <c r="C32" s="213" t="s">
        <v>92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Table16[[#Totals],[اجمالي]]/$G$83</f>
        <v>0</v>
      </c>
    </row>
    <row r="33" ht="21" customHeight="1" s="216" customFormat="1">
      <c r="C33" s="217"/>
      <c r="D33" s="681" t="s">
        <v>187</v>
      </c>
      <c r="E33" s="681"/>
      <c r="F33" s="681"/>
      <c r="G33" s="681"/>
      <c r="H33" s="681"/>
      <c r="I33" s="681"/>
    </row>
    <row r="34" ht="21" customHeight="1" s="216" customFormat="1">
      <c r="A34" s="211" t="s">
        <v>19</v>
      </c>
      <c r="B34" s="211" t="s">
        <v>32</v>
      </c>
      <c r="C34" s="218" t="s">
        <v>120</v>
      </c>
      <c r="D34" s="211" t="s">
        <v>121</v>
      </c>
      <c r="E34" s="211" t="s">
        <v>102</v>
      </c>
      <c r="F34" s="211" t="s">
        <v>149</v>
      </c>
      <c r="G34" s="211" t="s">
        <v>21</v>
      </c>
      <c r="H34" s="211" t="s">
        <v>12</v>
      </c>
      <c r="I34" s="211" t="s">
        <v>162</v>
      </c>
      <c r="J34" s="211" t="s">
        <v>124</v>
      </c>
      <c r="K34" s="245" t="s">
        <v>125</v>
      </c>
      <c r="L34" s="211" t="s">
        <v>126</v>
      </c>
    </row>
    <row r="35" ht="21" customHeight="1" s="216" customFormat="1">
      <c r="A35" s="211">
        <v>2</v>
      </c>
      <c r="B35" s="219">
        <v>5</v>
      </c>
      <c r="C35" s="218" t="s">
        <v>188</v>
      </c>
      <c r="D35" s="211"/>
      <c r="E35" s="211"/>
      <c r="F35" s="211"/>
      <c r="G35" s="211" t="s">
        <v>189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(K35)/$G$83</f>
        <v>0.000533108148237518</v>
      </c>
    </row>
    <row r="36" ht="21" customHeight="1" s="216" customFormat="1">
      <c r="A36" s="211">
        <v>3</v>
      </c>
      <c r="B36" s="212">
        <v>5</v>
      </c>
      <c r="C36" s="218" t="s">
        <v>190</v>
      </c>
      <c r="D36" s="211"/>
      <c r="E36" s="211"/>
      <c r="F36" s="211"/>
      <c r="G36" s="211" t="s">
        <v>189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0.000533108148237518</v>
      </c>
    </row>
    <row r="37" ht="21" customHeight="1" s="216" customFormat="1">
      <c r="A37" s="211">
        <v>4</v>
      </c>
      <c r="B37" s="219">
        <v>5</v>
      </c>
      <c r="C37" s="213" t="s">
        <v>191</v>
      </c>
      <c r="D37" s="214"/>
      <c r="E37" s="214"/>
      <c r="F37" s="214"/>
      <c r="G37" s="211" t="s">
        <v>192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0.00088851358039586327</v>
      </c>
    </row>
    <row r="38" ht="21" customHeight="1" s="216" customFormat="1">
      <c r="A38" s="211">
        <v>5</v>
      </c>
      <c r="B38" s="212">
        <v>5</v>
      </c>
      <c r="C38" s="213" t="s">
        <v>193</v>
      </c>
      <c r="D38" s="214"/>
      <c r="E38" s="214"/>
      <c r="F38" s="214"/>
      <c r="G38" s="211" t="s">
        <v>192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0.0053310814823751794</v>
      </c>
    </row>
    <row r="39" ht="21" customHeight="1" s="216" customFormat="1">
      <c r="A39" s="211">
        <v>6</v>
      </c>
      <c r="B39" s="219">
        <v>5</v>
      </c>
      <c r="C39" s="213" t="s">
        <v>194</v>
      </c>
      <c r="D39" s="214"/>
      <c r="E39" s="214"/>
      <c r="F39" s="214"/>
      <c r="G39" s="211" t="s">
        <v>168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0.0014216217286333811</v>
      </c>
    </row>
    <row r="40" ht="21" customHeight="1" s="216" customFormat="1">
      <c r="A40" s="211">
        <v>1</v>
      </c>
      <c r="B40" s="222">
        <f>Y7/3</f>
        <v>1.9666666666666668</v>
      </c>
      <c r="C40" s="213" t="s">
        <v>195</v>
      </c>
      <c r="D40" s="214"/>
      <c r="E40" s="214"/>
      <c r="F40" s="214"/>
      <c r="G40" s="211" t="s">
        <v>196</v>
      </c>
      <c r="H40" s="211"/>
      <c r="I40" s="211"/>
      <c r="J40" s="248">
        <f>Sheet2!B24</f>
        <v>400</v>
      </c>
      <c r="K40" s="240">
        <f t="shared" si="6"/>
        <v>786.66666666666674</v>
      </c>
      <c r="L40" s="241">
        <f t="shared" si="7"/>
        <v>0.005591712132624633</v>
      </c>
    </row>
    <row r="41" ht="21" customHeight="1" s="216" customFormat="1">
      <c r="A41" s="211">
        <v>7</v>
      </c>
      <c r="B41" s="222">
        <f>Y6/1.9</f>
        <v>3.2142857142857149</v>
      </c>
      <c r="C41" s="213" t="s">
        <v>134</v>
      </c>
      <c r="D41" s="214"/>
      <c r="E41" s="214"/>
      <c r="F41" s="214"/>
      <c r="G41" s="211" t="s">
        <v>197</v>
      </c>
      <c r="H41" s="211"/>
      <c r="I41" s="211"/>
      <c r="J41" s="248">
        <f>Sheet2!B25</f>
        <v>95</v>
      </c>
      <c r="K41" s="240">
        <f t="shared" si="6"/>
        <v>305.35714285714289</v>
      </c>
      <c r="L41" s="241">
        <f t="shared" si="7"/>
        <v>0.0021705117463956089</v>
      </c>
    </row>
    <row r="42" ht="21" customHeight="1" s="216" customFormat="1">
      <c r="A42" s="211">
        <v>8</v>
      </c>
      <c r="B42" s="222">
        <f>Y5</f>
        <v>8.4285714285714288</v>
      </c>
      <c r="C42" s="213" t="s">
        <v>198</v>
      </c>
      <c r="D42" s="214"/>
      <c r="E42" s="214"/>
      <c r="F42" s="214"/>
      <c r="G42" s="211" t="s">
        <v>168</v>
      </c>
      <c r="H42" s="211"/>
      <c r="I42" s="211"/>
      <c r="J42" s="248">
        <f>Sheet2!B26</f>
        <v>220</v>
      </c>
      <c r="K42" s="240">
        <f t="shared" si="6"/>
        <v>1854.2857142857145</v>
      </c>
      <c r="L42" s="241">
        <f t="shared" si="7"/>
        <v>0.013180464312615207</v>
      </c>
    </row>
    <row r="43" ht="21" customHeight="1" s="216" customFormat="1">
      <c r="A43" s="211">
        <v>9</v>
      </c>
      <c r="B43" s="222">
        <f>Y8</f>
        <v>8.4285714285714288</v>
      </c>
      <c r="C43" s="213" t="s">
        <v>199</v>
      </c>
      <c r="D43" s="214"/>
      <c r="E43" s="214"/>
      <c r="F43" s="214"/>
      <c r="G43" s="211" t="s">
        <v>168</v>
      </c>
      <c r="H43" s="211"/>
      <c r="I43" s="211"/>
      <c r="J43" s="248">
        <f>Sheet2!B27</f>
        <v>510</v>
      </c>
      <c r="K43" s="240">
        <f t="shared" si="6"/>
        <v>4298.5714285714284</v>
      </c>
      <c r="L43" s="241">
        <f t="shared" si="7"/>
        <v>0.030554712724698885</v>
      </c>
    </row>
    <row r="44" ht="21" customHeight="1" s="216" customFormat="1">
      <c r="A44" s="211">
        <v>10</v>
      </c>
      <c r="B44" s="212">
        <f>IF((تسعير!T5="جلفنة و جوتن"),(Table1[[#Totals],[الوزن]]+Table16[[#Totals],[الوزن]]+Table14[[#Totals],[الوزن]]),0)</f>
        <v>0</v>
      </c>
      <c r="C44" s="213" t="s">
        <v>200</v>
      </c>
      <c r="D44" s="214"/>
      <c r="E44" s="214"/>
      <c r="F44" s="214"/>
      <c r="G44" s="211"/>
      <c r="H44" s="211"/>
      <c r="I44" s="211"/>
      <c r="J44" s="248">
        <v>30</v>
      </c>
      <c r="K44" s="240">
        <f ref="K44:K48" t="shared" si="8">B44*J44</f>
        <v>0</v>
      </c>
      <c r="L44" s="251">
        <f t="shared" si="7"/>
        <v>0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0</v>
      </c>
      <c r="C45" s="213" t="s">
        <v>201</v>
      </c>
      <c r="D45" s="214"/>
      <c r="E45" s="214"/>
      <c r="F45" s="214"/>
      <c r="G45" s="211" t="s">
        <v>202</v>
      </c>
      <c r="H45" s="211"/>
      <c r="I45" s="211"/>
      <c r="J45" s="248">
        <f>Sheet2!B18</f>
        <v>360</v>
      </c>
      <c r="K45" s="240">
        <f t="shared" si="8"/>
        <v>0</v>
      </c>
      <c r="L45" s="251">
        <f t="shared" si="7"/>
        <v>0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0</v>
      </c>
      <c r="C46" s="218" t="s">
        <v>203</v>
      </c>
      <c r="D46" s="214"/>
      <c r="E46" s="214"/>
      <c r="F46" s="214"/>
      <c r="G46" s="218" t="s">
        <v>204</v>
      </c>
      <c r="H46" s="211"/>
      <c r="I46" s="211"/>
      <c r="J46" s="248">
        <f>Sheet2!B20</f>
        <v>435</v>
      </c>
      <c r="K46" s="240">
        <f t="shared" si="8"/>
        <v>0</v>
      </c>
      <c r="L46" s="251">
        <f t="shared" si="7"/>
        <v>0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0</v>
      </c>
      <c r="C47" s="218" t="s">
        <v>155</v>
      </c>
      <c r="D47" s="214"/>
      <c r="E47" s="214"/>
      <c r="F47" s="214"/>
      <c r="G47" s="218" t="s">
        <v>205</v>
      </c>
      <c r="H47" s="211"/>
      <c r="I47" s="211"/>
      <c r="J47" s="248">
        <f>Sheet2!B22</f>
        <v>190</v>
      </c>
      <c r="K47" s="240">
        <f t="shared" si="8"/>
        <v>0</v>
      </c>
      <c r="L47" s="251">
        <f t="shared" si="7"/>
        <v>0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0</v>
      </c>
      <c r="C48" s="218" t="s">
        <v>158</v>
      </c>
      <c r="D48" s="214"/>
      <c r="E48" s="214"/>
      <c r="F48" s="214"/>
      <c r="G48" s="218" t="s">
        <v>205</v>
      </c>
      <c r="H48" s="211"/>
      <c r="I48" s="211"/>
      <c r="J48" s="248">
        <f>Sheet2!B23</f>
        <v>190</v>
      </c>
      <c r="K48" s="240">
        <f t="shared" si="8"/>
        <v>0</v>
      </c>
      <c r="L48" s="251">
        <f t="shared" si="7"/>
        <v>0</v>
      </c>
    </row>
    <row r="49" ht="21" customHeight="1" s="216" customFormat="1">
      <c r="A49" s="211" t="s">
        <v>92</v>
      </c>
      <c r="B49" s="212"/>
      <c r="C49" s="213" t="s">
        <v>92</v>
      </c>
      <c r="D49" s="214"/>
      <c r="E49" s="214"/>
      <c r="F49" s="214"/>
      <c r="G49" s="211" t="s">
        <v>206</v>
      </c>
      <c r="H49" s="211"/>
      <c r="I49" s="211"/>
      <c r="J49" s="242"/>
      <c r="K49" s="240">
        <f>SUBTOTAL(109,Table13[اجمالي])</f>
        <v>8469.8809523809523</v>
      </c>
      <c r="L49" s="244">
        <f>Table13[[#Totals],[اجمالي]]/$G$83</f>
        <v>0.060204834004213795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681" t="s">
        <v>207</v>
      </c>
      <c r="E51" s="681"/>
      <c r="F51" s="681"/>
      <c r="G51" s="681"/>
      <c r="H51" s="681"/>
      <c r="I51" s="681"/>
    </row>
    <row r="52" ht="21" customHeight="1" s="216" customFormat="1">
      <c r="A52" s="211" t="s">
        <v>19</v>
      </c>
      <c r="B52" s="211" t="s">
        <v>32</v>
      </c>
      <c r="C52" s="218" t="s">
        <v>120</v>
      </c>
      <c r="D52" s="211" t="s">
        <v>121</v>
      </c>
      <c r="E52" s="211" t="s">
        <v>102</v>
      </c>
      <c r="F52" s="211" t="s">
        <v>149</v>
      </c>
      <c r="G52" s="211" t="s">
        <v>21</v>
      </c>
      <c r="H52" s="211" t="s">
        <v>12</v>
      </c>
      <c r="I52" s="211" t="s">
        <v>162</v>
      </c>
      <c r="J52" s="211" t="s">
        <v>124</v>
      </c>
      <c r="K52" s="245" t="s">
        <v>125</v>
      </c>
      <c r="L52" s="211" t="s">
        <v>126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3</v>
      </c>
      <c r="C53" s="214" t="s">
        <v>208</v>
      </c>
      <c r="D53" s="214"/>
      <c r="E53" s="214"/>
      <c r="F53" s="214"/>
      <c r="G53" s="398" t="s">
        <v>132</v>
      </c>
      <c r="H53" s="211">
        <v>1.75</v>
      </c>
      <c r="I53" s="247">
        <f>J2/1000</f>
        <v>202</v>
      </c>
      <c r="J53" s="403">
        <f>Table1610[[#This Row],[سعر الكيلو]]*Table1610[[#This Row],[الوزن]]</f>
        <v>353.5</v>
      </c>
      <c r="K53" s="240">
        <f>B53*J53</f>
        <v>1060.5</v>
      </c>
      <c r="L53" s="241">
        <f>(Table1610[[#This Row],[اجمالي]])/$G$83</f>
        <v>0.0075381492160785032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0.25</v>
      </c>
      <c r="C54" s="214" t="s">
        <v>209</v>
      </c>
      <c r="D54" s="214"/>
      <c r="E54" s="214"/>
      <c r="F54" s="214"/>
      <c r="G54" s="398" t="s">
        <v>210</v>
      </c>
      <c r="H54" s="211"/>
      <c r="I54" s="247"/>
      <c r="J54" s="403">
        <f>Sheet2!B32</f>
        <v>8000</v>
      </c>
      <c r="K54" s="240">
        <f>B54*J54</f>
        <v>2000</v>
      </c>
      <c r="L54" s="241">
        <f>(Table1610[[#This Row],[اجمالي]])/$G$83</f>
        <v>0.014216217286333812</v>
      </c>
    </row>
    <row r="55" ht="21" customHeight="1" s="216" customFormat="1">
      <c r="A55" s="211" t="s">
        <v>92</v>
      </c>
      <c r="B55" s="219"/>
      <c r="C55" s="214" t="s">
        <v>92</v>
      </c>
      <c r="D55" s="214"/>
      <c r="E55" s="214"/>
      <c r="F55" s="214">
        <f>SUBTOTAL(109,Table1610[Column12])</f>
        <v>0</v>
      </c>
      <c r="G55" s="399"/>
      <c r="H55" s="211"/>
      <c r="I55" s="247"/>
      <c r="J55" s="403"/>
      <c r="K55" s="240">
        <f>SUBTOTAL(109,Table1610[اجمالي])</f>
        <v>3060.5</v>
      </c>
      <c r="L55" s="244">
        <f>Table1610[[#Totals],[اجمالي]]/$G$83</f>
        <v>0.021754366502412314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681" t="s">
        <v>211</v>
      </c>
      <c r="E56" s="681"/>
      <c r="F56" s="681"/>
      <c r="G56" s="681"/>
      <c r="H56" s="681"/>
      <c r="I56" s="681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19</v>
      </c>
      <c r="B57" s="211" t="s">
        <v>32</v>
      </c>
      <c r="C57" s="214" t="s">
        <v>212</v>
      </c>
      <c r="D57" s="211" t="s">
        <v>149</v>
      </c>
      <c r="E57" s="211" t="s">
        <v>102</v>
      </c>
      <c r="F57" s="400" t="s">
        <v>213</v>
      </c>
      <c r="G57" s="216" t="s">
        <v>214</v>
      </c>
      <c r="H57" s="401" t="s">
        <v>215</v>
      </c>
      <c r="I57" s="211" t="s">
        <v>121</v>
      </c>
      <c r="J57" s="211" t="s">
        <v>216</v>
      </c>
      <c r="K57" s="245" t="s">
        <v>125</v>
      </c>
      <c r="L57" s="211" t="s">
        <v>126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586">
        <f>IF(تسعير!T10=Sheet2!A3,0,1)</f>
        <v>0</v>
      </c>
      <c r="C58" s="214" t="s">
        <v>217</v>
      </c>
      <c r="D58" s="214"/>
      <c r="E58" s="211"/>
      <c r="F58" s="214"/>
      <c r="G58" s="214"/>
      <c r="H58" s="398">
        <f>'Cutting Ro-1'!$O$7</f>
        <v>3467.2738127311732</v>
      </c>
      <c r="I58" s="247"/>
      <c r="J58" s="403">
        <f>IF((Table1611[[#This Row],[عدد]]&gt;0),'Cutting Ro-1'!O8,0)</f>
        <v>0</v>
      </c>
      <c r="K58" s="240">
        <f>B58*Table1611[[#This Row],[سعر البرجولا كاملة]]</f>
        <v>0</v>
      </c>
      <c r="L58" s="241">
        <f>(K58)/$G$83</f>
        <v>0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577"/>
      <c r="B59" s="586">
        <f>IF(تسعير!T10=Sheet2!A3,1,0)</f>
        <v>1</v>
      </c>
      <c r="C59" s="573" t="s">
        <v>218</v>
      </c>
      <c r="D59" s="573"/>
      <c r="E59" s="577"/>
      <c r="F59" s="578"/>
      <c r="G59" s="578"/>
      <c r="H59" s="398">
        <f>'Cutting Ro-1'!$O$7</f>
        <v>3467.2738127311732</v>
      </c>
      <c r="I59" s="579"/>
      <c r="J59" s="580">
        <f>IF((Table1611[[#This Row],[عدد]]&gt;0),'Cutting Ro-1'!O8,0)</f>
        <v>55476.381003698771</v>
      </c>
      <c r="K59" s="581">
        <f>B59*Table1611[[#This Row],[سعر البرجولا كاملة]]</f>
        <v>55476.381003698771</v>
      </c>
      <c r="L59" s="241">
        <f ref="L59:L60" t="shared" si="9">(K59)/$G$83</f>
        <v>0.39433214330401156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>
        <v>4</v>
      </c>
      <c r="B60" s="212">
        <f>IF((F79="الاسكندرية"),0.25,0.1)</f>
        <v>0.1</v>
      </c>
      <c r="C60" s="213" t="s">
        <v>219</v>
      </c>
      <c r="D60" s="214"/>
      <c r="E60" s="211"/>
      <c r="G60" s="214"/>
      <c r="H60" s="211"/>
      <c r="I60" s="247"/>
      <c r="J60" s="248">
        <f>(K58)+K59</f>
        <v>55476.381003698771</v>
      </c>
      <c r="K60" s="240">
        <f>B60*Table1611[[#This Row],[سعر البرجولا كاملة]]</f>
        <v>5547.6381003698771</v>
      </c>
      <c r="L60" s="241">
        <f t="shared" si="9"/>
        <v>0.039433214330401159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A61" s="572" t="s">
        <v>92</v>
      </c>
      <c r="B61" s="571"/>
      <c r="C61" s="550" t="s">
        <v>92</v>
      </c>
      <c r="D61" s="574">
        <f>SUBTOTAL(109,Table1611[Column12])</f>
        <v>0</v>
      </c>
      <c r="E61" s="572"/>
      <c r="F61" s="573"/>
      <c r="G61" s="573"/>
      <c r="H61" s="572"/>
      <c r="I61" s="572"/>
      <c r="J61" s="242"/>
      <c r="K61" s="575">
        <f>SUBTOTAL(109,Table1611[اجمالي])</f>
        <v>61024.019104068648</v>
      </c>
      <c r="L61" s="576">
        <f>Table1611[[#Totals],[اجمالي]]/$G$83</f>
        <v>0.43376535763441276</v>
      </c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21" customHeight="1" s="216" customFormat="1">
      <c r="N62" s="207"/>
      <c r="O62" s="207"/>
      <c r="P62" s="207"/>
      <c r="Q62" s="207"/>
      <c r="R62" s="207"/>
      <c r="S62" s="207"/>
      <c r="T62" s="207"/>
      <c r="V62" s="207"/>
      <c r="W62" s="207"/>
      <c r="X62" s="207"/>
      <c r="Y62" s="207"/>
    </row>
    <row r="65" ht="18">
      <c r="A65" s="216"/>
      <c r="B65" s="216"/>
      <c r="C65" s="217"/>
      <c r="D65" s="681" t="s">
        <v>220</v>
      </c>
      <c r="E65" s="681"/>
      <c r="F65" s="681"/>
      <c r="G65" s="681"/>
      <c r="H65" s="681"/>
      <c r="I65" s="681"/>
      <c r="J65" s="216"/>
      <c r="K65" s="216"/>
      <c r="L65" s="216"/>
    </row>
    <row r="66" ht="18">
      <c r="A66" s="211" t="s">
        <v>19</v>
      </c>
      <c r="B66" s="211" t="s">
        <v>32</v>
      </c>
      <c r="C66" s="218" t="s">
        <v>120</v>
      </c>
      <c r="D66" s="211" t="s">
        <v>221</v>
      </c>
      <c r="E66" s="211" t="s">
        <v>105</v>
      </c>
      <c r="F66" s="211" t="s">
        <v>222</v>
      </c>
      <c r="G66" s="211" t="s">
        <v>223</v>
      </c>
      <c r="H66" s="211" t="s">
        <v>149</v>
      </c>
      <c r="I66" s="211" t="s">
        <v>224</v>
      </c>
      <c r="J66" s="211" t="s">
        <v>225</v>
      </c>
      <c r="K66" s="245" t="s">
        <v>125</v>
      </c>
      <c r="L66" s="211" t="s">
        <v>126</v>
      </c>
    </row>
    <row r="67" ht="18">
      <c r="A67" s="211">
        <v>1</v>
      </c>
      <c r="B67" s="219">
        <v>4</v>
      </c>
      <c r="C67" s="220" t="s">
        <v>226</v>
      </c>
      <c r="D67" s="211">
        <f>IF((Table1612[[#This Row],[موقع العمل]]="المصنع"),280,IF((Table1612[[#This Row],[موقع العمل]]="الاسكندرية"),320,400))</f>
        <v>280</v>
      </c>
      <c r="E67" s="211">
        <f>SUMIF(Table17[Column1],Table1612[[#This Row],[موقع العمل]],$Q$2:$Q$20)</f>
        <v>0</v>
      </c>
      <c r="F67" s="211" t="s">
        <v>227</v>
      </c>
      <c r="G67" s="214" t="s">
        <v>128</v>
      </c>
      <c r="H67" s="216"/>
      <c r="I67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67" s="240">
        <f ref="K67:K79" t="shared" si="10">B67*J67</f>
        <v>1120</v>
      </c>
      <c r="L67" s="241">
        <f ref="L67:L79" t="shared" si="11">(K67)/$G$83</f>
        <v>0.0079610816803469351</v>
      </c>
    </row>
    <row r="68" ht="18">
      <c r="A68" s="211">
        <v>2</v>
      </c>
      <c r="B68" s="219">
        <v>3</v>
      </c>
      <c r="C68" s="220" t="s">
        <v>228</v>
      </c>
      <c r="D68" s="211">
        <f>IF((Table1612[[#This Row],[موقع العمل]]="المصنع"),280,IF((Table1612[[#This Row],[موقع العمل]]="الاسكندرية"),320,400))</f>
        <v>280</v>
      </c>
      <c r="E68" s="211">
        <f>SUMIF(Table17[Column1],Table1612[[#This Row],[موقع العمل]],$Q$2:$Q$20)</f>
        <v>0</v>
      </c>
      <c r="F68" s="211" t="s">
        <v>227</v>
      </c>
      <c r="G68" s="214" t="s">
        <v>128</v>
      </c>
      <c r="H68" s="216"/>
      <c r="I68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68" s="240">
        <f t="shared" si="10"/>
        <v>840</v>
      </c>
      <c r="L68" s="241">
        <f t="shared" si="11"/>
        <v>0.0059708112602602009</v>
      </c>
    </row>
    <row r="69" ht="18">
      <c r="A69" s="211">
        <v>3</v>
      </c>
      <c r="B69" s="219">
        <v>3</v>
      </c>
      <c r="C69" s="220" t="s">
        <v>229</v>
      </c>
      <c r="D69" s="211">
        <f>IF((Table1612[[#This Row],[موقع العمل]]="المصنع"),280,IF((Table1612[[#This Row],[موقع العمل]]="الاسكندرية"),320,400))</f>
        <v>280</v>
      </c>
      <c r="E69" s="211">
        <f>SUMIF(Table17[Column1],Table1612[[#This Row],[موقع العمل]],$Q$2:$Q$20)</f>
        <v>0</v>
      </c>
      <c r="F69" s="211" t="s">
        <v>227</v>
      </c>
      <c r="G69" s="214" t="s">
        <v>128</v>
      </c>
      <c r="H69" s="216"/>
      <c r="I69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560</v>
      </c>
      <c r="K69" s="240">
        <f t="shared" si="10"/>
        <v>1680</v>
      </c>
      <c r="L69" s="241">
        <f t="shared" si="11"/>
        <v>0.011941622520520402</v>
      </c>
    </row>
    <row r="70" ht="18">
      <c r="A70" s="211">
        <v>4</v>
      </c>
      <c r="B70" s="212">
        <v>3</v>
      </c>
      <c r="C70" s="220" t="s">
        <v>230</v>
      </c>
      <c r="D70" s="211">
        <f>IF((Table1612[[#This Row],[موقع العمل]]="المصنع"),280,IF((Table1612[[#This Row],[موقع العمل]]="الاسكندرية"),320,400))</f>
        <v>280</v>
      </c>
      <c r="E70" s="211">
        <f>SUMIF(Table17[Column1],Table1612[[#This Row],[موقع العمل]],$Q$2:$Q$20)</f>
        <v>0</v>
      </c>
      <c r="F70" s="211" t="s">
        <v>227</v>
      </c>
      <c r="G70" s="214" t="s">
        <v>128</v>
      </c>
      <c r="H70" s="216"/>
      <c r="I70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70" s="240">
        <f t="shared" si="10"/>
        <v>840</v>
      </c>
      <c r="L70" s="241">
        <f t="shared" si="11"/>
        <v>0.0059708112602602009</v>
      </c>
    </row>
    <row r="71" ht="18">
      <c r="A71" s="211">
        <v>5</v>
      </c>
      <c r="B71" s="212">
        <v>4</v>
      </c>
      <c r="C71" s="220" t="s">
        <v>231</v>
      </c>
      <c r="D71" s="211">
        <f>IF((Table1612[[#This Row],[موقع العمل]]="المصنع"),280,IF((Table1612[[#This Row],[موقع العمل]]="الاسكندرية"),320,400))</f>
        <v>400</v>
      </c>
      <c r="E71" s="211">
        <f>SUMIF(Table17[Column1],Table1612[[#This Row],[موقع العمل]],$Q$2:$Q$20)</f>
        <v>100</v>
      </c>
      <c r="F71" s="211" t="str">
        <f>تسعير!$T$4</f>
        <v>الشيخ زايد</v>
      </c>
      <c r="G71" s="214" t="s">
        <v>128</v>
      </c>
      <c r="H71" s="216"/>
      <c r="I71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71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1500</v>
      </c>
      <c r="K71" s="240">
        <f t="shared" si="10"/>
        <v>6000</v>
      </c>
      <c r="L71" s="241">
        <f t="shared" si="11"/>
        <v>0.042648651859001435</v>
      </c>
    </row>
    <row r="72" ht="18">
      <c r="A72" s="211">
        <v>6</v>
      </c>
      <c r="B72" s="212">
        <v>3</v>
      </c>
      <c r="C72" s="220" t="s">
        <v>232</v>
      </c>
      <c r="D72" s="211">
        <f>IF((Table1612[[#This Row],[موقع العمل]]="المصنع"),280,IF((Table1612[[#This Row],[موقع العمل]]="الاسكندرية"),320,400))</f>
        <v>400</v>
      </c>
      <c r="E72" s="211">
        <f>SUMIF(Table17[Column1],Table1612[[#This Row],[موقع العمل]],$Q$2:$Q$20)</f>
        <v>100</v>
      </c>
      <c r="F72" s="211" t="str">
        <f>تسعير!$T$4</f>
        <v>الشيخ زايد</v>
      </c>
      <c r="G72" s="214" t="s">
        <v>128</v>
      </c>
      <c r="H72" s="216"/>
      <c r="I72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72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1500</v>
      </c>
      <c r="K72" s="240">
        <f t="shared" si="10"/>
        <v>4500</v>
      </c>
      <c r="L72" s="241">
        <f t="shared" si="11"/>
        <v>0.031986488894251076</v>
      </c>
    </row>
    <row r="73" ht="18">
      <c r="A73" s="211">
        <v>7</v>
      </c>
      <c r="B73" s="212">
        <v>0</v>
      </c>
      <c r="C73" s="220" t="s">
        <v>233</v>
      </c>
      <c r="D73" s="211">
        <f>IF((Table1612[[#This Row],[موقع العمل]]="المصنع"),280,IF((Table1612[[#This Row],[موقع العمل]]="الاسكندرية"),320,400))</f>
        <v>400</v>
      </c>
      <c r="E73" s="211">
        <f>SUMIF(Table17[Column1],Table1612[[#This Row],[موقع العمل]],$Q$2:$Q$20)</f>
        <v>100</v>
      </c>
      <c r="F73" s="211" t="str">
        <f>تسعير!$T$4</f>
        <v>الشيخ زايد</v>
      </c>
      <c r="G73" s="214" t="s">
        <v>128</v>
      </c>
      <c r="H73" s="216"/>
      <c r="I73" s="243"/>
      <c r="J7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73" s="240">
        <f t="shared" si="10"/>
        <v>0</v>
      </c>
      <c r="L73" s="241">
        <f t="shared" si="11"/>
        <v>0</v>
      </c>
    </row>
    <row r="74" ht="18">
      <c r="A74" s="211">
        <v>8</v>
      </c>
      <c r="B74" s="212">
        <v>4</v>
      </c>
      <c r="C74" s="220" t="s">
        <v>234</v>
      </c>
      <c r="D74" s="211">
        <f>IF((Table1612[[#This Row],[موقع العمل]]="المصنع"),280,IF((Table1612[[#This Row],[موقع العمل]]="الاسكندرية"),320,400))</f>
        <v>400</v>
      </c>
      <c r="E74" s="211">
        <f>SUMIF(Table17[Column1],Table1612[[#This Row],[موقع العمل]],$Q$2:$Q$20)</f>
        <v>100</v>
      </c>
      <c r="F74" s="211" t="str">
        <f>تسعير!$T$4</f>
        <v>الشيخ زايد</v>
      </c>
      <c r="G74" s="214" t="s">
        <v>128</v>
      </c>
      <c r="H74" s="216"/>
      <c r="I74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2</v>
      </c>
      <c r="J7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1000</v>
      </c>
      <c r="K74" s="240">
        <f t="shared" si="10"/>
        <v>4000</v>
      </c>
      <c r="L74" s="241">
        <f t="shared" si="11"/>
        <v>0.028432434572667625</v>
      </c>
    </row>
    <row r="75" ht="18">
      <c r="A75" s="211">
        <v>9</v>
      </c>
      <c r="B75" s="212">
        <f>(B71+B72+B73+B74)*2</f>
        <v>22</v>
      </c>
      <c r="C75" s="220" t="s">
        <v>235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العمل]],$O$2:$O$20)</f>
        <v>400</v>
      </c>
      <c r="I75" s="247"/>
      <c r="J75" s="243">
        <f>Table1612[[#This Row],[Column12]]</f>
        <v>400</v>
      </c>
      <c r="K75" s="240">
        <f t="shared" si="10"/>
        <v>8800</v>
      </c>
      <c r="L75" s="241">
        <f t="shared" si="11"/>
        <v>0.062551356059868765</v>
      </c>
    </row>
    <row r="76" ht="18">
      <c r="A76" s="211">
        <v>10</v>
      </c>
      <c r="B76" s="212">
        <f>((I71+I72+I73+I74)*2)-2</f>
        <v>14</v>
      </c>
      <c r="C76" s="220" t="s">
        <v>236</v>
      </c>
      <c r="D76" s="211"/>
      <c r="E76" s="211"/>
      <c r="F76" s="211" t="str">
        <f>تسعير!$T$4</f>
        <v>الشيخ زايد</v>
      </c>
      <c r="G76" s="214"/>
      <c r="H76" s="247">
        <f>SUMIF(Table17[Column1],Table1612[[#This Row],[موقع العمل]],$P$2:$P$20)</f>
        <v>400</v>
      </c>
      <c r="I76" s="247"/>
      <c r="J76" s="243">
        <f>Table1612[[#This Row],[Column12]]</f>
        <v>400</v>
      </c>
      <c r="K76" s="240">
        <f t="shared" si="10"/>
        <v>5600</v>
      </c>
      <c r="L76" s="241">
        <f t="shared" si="11"/>
        <v>0.039805408401734674</v>
      </c>
    </row>
    <row r="77" ht="18">
      <c r="A77" s="211">
        <v>11</v>
      </c>
      <c r="B77" s="212">
        <v>2</v>
      </c>
      <c r="C77" s="220" t="s">
        <v>237</v>
      </c>
      <c r="D77" s="211"/>
      <c r="E77" s="211"/>
      <c r="F77" s="211" t="str">
        <f>تسعير!$T$4</f>
        <v>الشيخ زايد</v>
      </c>
      <c r="G77" s="214"/>
      <c r="H77" s="247">
        <f>SUMIF(Table17[Column1],Table1612[[#This Row],[موقع العمل]],$R$2:$R$20)</f>
        <v>3500</v>
      </c>
      <c r="I77" s="247"/>
      <c r="J77" s="243">
        <f>Table1612[[#This Row],[Column12]]</f>
        <v>3500</v>
      </c>
      <c r="K77" s="240">
        <f t="shared" si="10"/>
        <v>7000</v>
      </c>
      <c r="L77" s="241">
        <f t="shared" si="11"/>
        <v>0.049756760502168339</v>
      </c>
    </row>
    <row r="78" ht="18">
      <c r="A78" s="211">
        <v>12</v>
      </c>
      <c r="B78" s="212">
        <v>2</v>
      </c>
      <c r="C78" s="220" t="s">
        <v>238</v>
      </c>
      <c r="D78" s="211"/>
      <c r="E78" s="211"/>
      <c r="F78" s="211" t="str">
        <f>تسعير!$T$4</f>
        <v>الشيخ زايد</v>
      </c>
      <c r="G78" s="214"/>
      <c r="H78" s="247">
        <f>SUMIF(Table17[Column1],Table1612[[#This Row],[موقع العمل]],$S$2:$S$20)</f>
        <v>6000</v>
      </c>
      <c r="I78" s="247"/>
      <c r="J78" s="243">
        <f>Table1612[[#This Row],[Column12]]</f>
        <v>6000</v>
      </c>
      <c r="K78" s="240">
        <f t="shared" si="10"/>
        <v>12000</v>
      </c>
      <c r="L78" s="241">
        <f t="shared" si="11"/>
        <v>0.08529730371800287</v>
      </c>
    </row>
    <row r="79" ht="18">
      <c r="A79" s="211">
        <v>13</v>
      </c>
      <c r="B79" s="212">
        <f>B76</f>
        <v>14</v>
      </c>
      <c r="C79" s="220" t="s">
        <v>108</v>
      </c>
      <c r="D79" s="211"/>
      <c r="E79" s="211"/>
      <c r="F79" s="211" t="str">
        <f>تسعير!$T$4</f>
        <v>الشيخ زايد</v>
      </c>
      <c r="G79" s="214"/>
      <c r="H79" s="247">
        <f>SUMIF(Table17[Column1],Table1612[[#This Row],[موقع العمل]],$T$2:$T$20)</f>
        <v>150</v>
      </c>
      <c r="I79" s="247"/>
      <c r="J79" s="243">
        <f>Table1612[[#This Row],[Column12]]</f>
        <v>150</v>
      </c>
      <c r="K79" s="240">
        <f t="shared" si="10"/>
        <v>2100</v>
      </c>
      <c r="L79" s="241">
        <f t="shared" si="11"/>
        <v>0.014927028150650503</v>
      </c>
    </row>
    <row r="80" ht="18">
      <c r="A80" s="572" t="s">
        <v>92</v>
      </c>
      <c r="B80" s="571"/>
      <c r="C80" s="550" t="s">
        <v>92</v>
      </c>
      <c r="D80" s="572"/>
      <c r="E80" s="572"/>
      <c r="F80" s="573"/>
      <c r="G80" s="573"/>
      <c r="H80" s="574">
        <f>SUBTOTAL(109,Table1612[Column12])</f>
        <v>10450</v>
      </c>
      <c r="I80" s="572"/>
      <c r="J80" s="242"/>
      <c r="K80" s="575">
        <f>SUBTOTAL(109,Table1612[اجمالي])</f>
        <v>54480</v>
      </c>
      <c r="L80" s="576">
        <f>Table1612[[#Totals],[اجمالي]]/$G$83</f>
        <v>0.387249758879733</v>
      </c>
    </row>
    <row r="81" ht="18">
      <c r="A81" s="211"/>
      <c r="B81" s="212"/>
      <c r="H81" s="211"/>
      <c r="I81" s="211"/>
      <c r="J81" s="243"/>
      <c r="K81" s="282"/>
      <c r="L81" s="283"/>
    </row>
    <row r="82" ht="18">
      <c r="A82" s="211"/>
      <c r="B82" s="219"/>
      <c r="C82" s="218" t="s">
        <v>102</v>
      </c>
      <c r="D82" s="211" t="s">
        <v>239</v>
      </c>
      <c r="E82" s="211" t="s">
        <v>240</v>
      </c>
      <c r="F82" s="211" t="s">
        <v>184</v>
      </c>
      <c r="G82" s="211" t="s">
        <v>121</v>
      </c>
      <c r="H82" s="211"/>
      <c r="I82" s="211"/>
      <c r="J82" s="243"/>
      <c r="K82" s="282"/>
      <c r="L82" s="283"/>
    </row>
    <row r="83" ht="18">
      <c r="A83" s="211"/>
      <c r="B83" s="212"/>
      <c r="C83" s="213" t="s">
        <v>241</v>
      </c>
      <c r="D83" s="214"/>
      <c r="E83" s="211"/>
      <c r="F83" s="280"/>
      <c r="G83" s="281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140684.40005644958</v>
      </c>
      <c r="H83" s="211"/>
      <c r="I83" s="242"/>
      <c r="J83" s="243"/>
      <c r="K83" s="282"/>
      <c r="L83" s="283"/>
    </row>
    <row r="84" ht="18">
      <c r="A84" s="211"/>
      <c r="B84" s="219"/>
      <c r="C84" s="213" t="s">
        <v>242</v>
      </c>
      <c r="D84" s="214"/>
      <c r="E84" s="211"/>
      <c r="F84" s="310">
        <f>IF((F79="المقطم"),0.3,IF((F79="التجمع"),0.3,IF((F79="الشيخ زايد"),0.3,IF((F79="الاسكندرية"),0.5,IF((F79="الساحل"),0.5,0.35)))))</f>
        <v>0.3</v>
      </c>
      <c r="G84" s="281">
        <f>G83*(1+Table18[[#This Row],[Column3]])</f>
        <v>182889.72007338447</v>
      </c>
      <c r="H84" s="211"/>
      <c r="I84" s="242"/>
      <c r="J84" s="247"/>
      <c r="K84" s="282"/>
      <c r="L84" s="283"/>
    </row>
    <row r="85" ht="18">
      <c r="A85" s="211"/>
      <c r="B85" s="212"/>
      <c r="H85" s="211"/>
      <c r="I85" s="211"/>
      <c r="J85" s="242"/>
      <c r="K85" s="282"/>
      <c r="L85" s="216"/>
    </row>
  </sheetData>
  <sheetProtection selectLockedCells="1" selectUnlockedCells="1"/>
  <mergeCells>
    <mergeCell ref="A1:C2"/>
    <mergeCell ref="D28:I28"/>
    <mergeCell ref="D33:I33"/>
    <mergeCell ref="D51:I51"/>
    <mergeCell ref="D56:I56"/>
    <mergeCell ref="D65:I65"/>
    <mergeCell ref="A3:B3"/>
    <mergeCell ref="G3:I3"/>
    <mergeCell ref="D4:I4"/>
    <mergeCell ref="D10:I10"/>
    <mergeCell ref="D15:I15"/>
  </mergeCells>
  <dataValidations disablePrompts="1" count="2">
    <dataValidation type="list" allowBlank="1" showInputMessage="1" showErrorMessage="1" sqref="F71:F79" xr:uid="{00000000-0002-0000-0200-000000000000}">
      <formula1>$N$2:$N$20</formula1>
    </dataValidation>
    <dataValidation type="list" allowBlank="1" showInputMessage="1" showErrorMessage="1" sqref="G67:G79" xr:uid="{00000000-0002-0000-0200-000001000000}">
      <formula1>$U$4:$U$5</formula1>
    </dataValidation>
  </dataValidations>
  <printOptions horizontalCentered="1" verticalCentered="1"/>
  <pageMargins left="0" right="0" top="0" bottom="0" header="0" footer="0"/>
  <pageSetup paperSize="9" scale="30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3">
    <pageSetUpPr fitToPage="1"/>
  </sheetPr>
  <dimension ref="A1:AB90"/>
  <sheetViews>
    <sheetView rightToLeft="1" view="pageBreakPreview" topLeftCell="A53" zoomScale="70" zoomScaleNormal="55" zoomScaleSheetLayoutView="70" workbookViewId="0">
      <selection activeCell="D69" sqref="D69:D76"/>
    </sheetView>
  </sheetViews>
  <sheetFormatPr defaultColWidth="9.109375" defaultRowHeight="14.4"/>
  <cols>
    <col min="1" max="1" width="4.5546875" customWidth="1" style="207"/>
    <col min="2" max="2" width="14.109375" customWidth="1" style="207"/>
    <col min="3" max="3" width="45.109375" customWidth="1" style="361"/>
    <col min="4" max="4" width="10.109375" customWidth="1" style="207"/>
    <col min="5" max="6" width="9.44140625" customWidth="1" style="207"/>
    <col min="7" max="7" width="17.33203125" customWidth="1" style="233"/>
    <col min="8" max="8" width="14.109375" customWidth="1" style="396"/>
    <col min="9" max="9" hidden="1" width="14.88671875" customWidth="1" style="233"/>
    <col min="10" max="10" width="16" customWidth="1" style="233"/>
    <col min="11" max="11" width="15.44140625" customWidth="1" style="233"/>
    <col min="12" max="12" width="11" customWidth="1" style="233"/>
    <col min="13" max="13" width="9.109375" customWidth="1" style="207"/>
    <col min="14" max="14" width="17.88671875" customWidth="1" style="207"/>
    <col min="15" max="23" width="9.109375" customWidth="1" style="207"/>
    <col min="24" max="24" width="9.109375" customWidth="1" style="207"/>
    <col min="25" max="25" width="40.33203125" customWidth="1" style="207"/>
    <col min="26" max="26" width="11.44140625" customWidth="1" style="207"/>
    <col min="27" max="27" width="19.6640625" customWidth="1" style="207"/>
    <col min="28" max="28" width="14" customWidth="1" style="207"/>
    <col min="29" max="16384" width="9.109375" customWidth="1" style="207"/>
  </cols>
  <sheetData>
    <row r="1" ht="16.5" customHeight="1">
      <c r="A1" s="686" t="s">
        <v>93</v>
      </c>
      <c r="B1" s="687"/>
      <c r="C1" s="688"/>
      <c r="D1" s="201" t="s">
        <v>94</v>
      </c>
      <c r="E1" s="202" t="s">
        <v>95</v>
      </c>
      <c r="F1" s="223" t="s">
        <v>96</v>
      </c>
      <c r="G1" s="224" t="s">
        <v>97</v>
      </c>
      <c r="H1" s="224" t="s">
        <v>98</v>
      </c>
      <c r="I1" s="224" t="s">
        <v>99</v>
      </c>
      <c r="J1" s="224" t="s">
        <v>100</v>
      </c>
      <c r="K1" s="392" t="s">
        <v>101</v>
      </c>
      <c r="N1" s="207" t="s">
        <v>102</v>
      </c>
      <c r="O1" s="207" t="s">
        <v>103</v>
      </c>
      <c r="P1" s="207" t="s">
        <v>104</v>
      </c>
      <c r="Q1" s="207" t="s">
        <v>105</v>
      </c>
      <c r="R1" s="207" t="s">
        <v>106</v>
      </c>
      <c r="S1" s="207" t="s">
        <v>107</v>
      </c>
      <c r="T1" s="207" t="s">
        <v>108</v>
      </c>
    </row>
    <row r="2" ht="16.5" customHeight="1">
      <c r="A2" s="689"/>
      <c r="B2" s="690"/>
      <c r="C2" s="691"/>
      <c r="D2" s="203"/>
      <c r="E2" s="204"/>
      <c r="F2" s="228">
        <f>D2*E2</f>
        <v>0</v>
      </c>
      <c r="G2" s="229" t="e">
        <f>G86/F2</f>
        <v>#DIV/0!</v>
      </c>
      <c r="H2" s="230">
        <f>Sheet2!B12</f>
        <v>45000</v>
      </c>
      <c r="I2" s="231">
        <f>Sheet2!B13</f>
        <v>50000</v>
      </c>
      <c r="J2" s="232">
        <f>Sheet2!B14</f>
        <v>202000</v>
      </c>
      <c r="K2" s="232">
        <f>Sheet2!B15</f>
        <v>70000</v>
      </c>
      <c r="N2" s="216" t="s">
        <v>109</v>
      </c>
      <c r="O2" s="216">
        <v>0</v>
      </c>
      <c r="P2" s="216">
        <v>0</v>
      </c>
      <c r="Q2" s="216">
        <v>0</v>
      </c>
      <c r="R2" s="216">
        <v>1000</v>
      </c>
      <c r="S2" s="216">
        <v>2000</v>
      </c>
      <c r="T2" s="216">
        <v>0</v>
      </c>
    </row>
    <row r="3" ht="29.25" customHeight="1">
      <c r="A3" s="682" t="s">
        <v>110</v>
      </c>
      <c r="B3" s="683"/>
      <c r="C3" s="397"/>
      <c r="F3" s="234" t="s">
        <v>111</v>
      </c>
      <c r="G3" s="684">
        <f>NOW()</f>
        <v>46060.582549259256</v>
      </c>
      <c r="H3" s="685"/>
      <c r="I3" s="685"/>
      <c r="J3" s="235"/>
      <c r="K3" s="235"/>
      <c r="L3" s="235"/>
      <c r="N3" s="216" t="s">
        <v>112</v>
      </c>
      <c r="O3" s="216">
        <v>180</v>
      </c>
      <c r="P3" s="216">
        <v>300</v>
      </c>
      <c r="Q3" s="216">
        <v>125</v>
      </c>
      <c r="R3" s="216">
        <v>3000</v>
      </c>
      <c r="S3" s="216">
        <v>5000</v>
      </c>
      <c r="T3" s="216">
        <v>1000</v>
      </c>
    </row>
    <row r="4" ht="18.75" customHeight="1">
      <c r="A4" s="208"/>
      <c r="B4" s="208"/>
      <c r="C4" s="209"/>
      <c r="D4" s="681" t="s">
        <v>113</v>
      </c>
      <c r="E4" s="681"/>
      <c r="F4" s="681"/>
      <c r="G4" s="681"/>
      <c r="H4" s="681"/>
      <c r="I4" s="681"/>
      <c r="J4" s="236"/>
      <c r="K4" s="236"/>
      <c r="L4" s="236"/>
      <c r="N4" s="216" t="s">
        <v>114</v>
      </c>
      <c r="O4" s="216">
        <v>400</v>
      </c>
      <c r="P4" s="216">
        <v>400</v>
      </c>
      <c r="Q4" s="216">
        <v>100</v>
      </c>
      <c r="R4" s="216">
        <v>3500</v>
      </c>
      <c r="S4" s="216">
        <v>6000</v>
      </c>
      <c r="T4" s="216">
        <v>150</v>
      </c>
      <c r="U4" s="207" t="s">
        <v>115</v>
      </c>
      <c r="Y4" s="207" t="s">
        <v>116</v>
      </c>
      <c r="Z4" s="207" t="s">
        <v>117</v>
      </c>
      <c r="AA4" s="207" t="s">
        <v>118</v>
      </c>
      <c r="AB4" s="207" t="s">
        <v>119</v>
      </c>
    </row>
    <row r="5" ht="16.5" customHeight="1">
      <c r="A5" s="208" t="s">
        <v>19</v>
      </c>
      <c r="B5" s="208" t="s">
        <v>32</v>
      </c>
      <c r="C5" s="210" t="s">
        <v>120</v>
      </c>
      <c r="D5" s="208" t="s">
        <v>121</v>
      </c>
      <c r="E5" s="208" t="s">
        <v>102</v>
      </c>
      <c r="F5" s="208" t="s">
        <v>122</v>
      </c>
      <c r="G5" s="237" t="s">
        <v>21</v>
      </c>
      <c r="H5" s="237" t="s">
        <v>12</v>
      </c>
      <c r="I5" s="237" t="s">
        <v>243</v>
      </c>
      <c r="J5" s="237" t="s">
        <v>124</v>
      </c>
      <c r="K5" s="238" t="s">
        <v>125</v>
      </c>
      <c r="L5" s="237" t="s">
        <v>126</v>
      </c>
      <c r="N5" s="216" t="s">
        <v>127</v>
      </c>
      <c r="O5" s="216">
        <v>400</v>
      </c>
      <c r="P5" s="216">
        <v>400</v>
      </c>
      <c r="Q5" s="216">
        <v>100</v>
      </c>
      <c r="R5" s="216">
        <v>3500</v>
      </c>
      <c r="S5" s="216">
        <v>6000</v>
      </c>
      <c r="T5" s="216">
        <v>150</v>
      </c>
      <c r="U5" s="207" t="s">
        <v>128</v>
      </c>
      <c r="Y5" s="233" t="s">
        <v>129</v>
      </c>
      <c r="Z5" s="233">
        <v>1.4</v>
      </c>
      <c r="AA5" s="237" t="s">
        <v>130</v>
      </c>
      <c r="AB5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12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2</v>
      </c>
      <c r="C6" s="215" t="s">
        <v>131</v>
      </c>
      <c r="D6" s="214">
        <v>0.03</v>
      </c>
      <c r="E6" s="214">
        <v>0.03</v>
      </c>
      <c r="F6" s="214">
        <f>(Table118[[#This Row],[Column1]]+Table118[[#This Row],[Column2]])*12*Table118[[#This Row],[عدد]]</f>
        <v>1.44</v>
      </c>
      <c r="G6" s="242" t="s">
        <v>132</v>
      </c>
      <c r="H6" s="211">
        <v>8.5</v>
      </c>
      <c r="I6" s="211">
        <f>Table118[[#This Row],[الوزن]]*Table118[[#This Row],[عدد]]</f>
        <v>17</v>
      </c>
      <c r="J6" s="243">
        <f>H6*$H$2/1000</f>
        <v>382.5</v>
      </c>
      <c r="K6" s="240">
        <f>B6*J6</f>
        <v>765</v>
      </c>
      <c r="L6" s="241">
        <f>(K6)/$G$85</f>
        <v>0.0047706422056042509</v>
      </c>
      <c r="N6" s="216" t="s">
        <v>133</v>
      </c>
      <c r="O6" s="216">
        <v>320</v>
      </c>
      <c r="P6" s="216">
        <v>400</v>
      </c>
      <c r="Q6" s="216">
        <v>100</v>
      </c>
      <c r="R6" s="216">
        <v>3500</v>
      </c>
      <c r="S6" s="216">
        <v>6000</v>
      </c>
      <c r="T6" s="216">
        <v>150</v>
      </c>
      <c r="Y6" s="216" t="s">
        <v>134</v>
      </c>
      <c r="Z6" s="216">
        <v>0.25</v>
      </c>
      <c r="AA6" s="216" t="s">
        <v>135</v>
      </c>
      <c r="AB6" s="216">
        <f>(AB5*Table625[[#This Row],[المعدل]]+4)</f>
        <v>7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3</v>
      </c>
      <c r="C7" s="215" t="s">
        <v>136</v>
      </c>
      <c r="D7" s="391">
        <v>0.1</v>
      </c>
      <c r="E7" s="391">
        <v>0.1</v>
      </c>
      <c r="F7" s="214">
        <f>(Table118[[#This Row],[Column1]]+Table118[[#This Row],[Column2]])*12*Table118[[#This Row],[عدد]]</f>
        <v>7.2000000000000011</v>
      </c>
      <c r="G7" s="242" t="s">
        <v>132</v>
      </c>
      <c r="H7" s="211">
        <v>46.75</v>
      </c>
      <c r="I7" s="211">
        <f>Table118[[#This Row],[الوزن]]*Table118[[#This Row],[عدد]]</f>
        <v>140.25</v>
      </c>
      <c r="J7" s="243">
        <f ref="J7:J9" t="shared" si="1">H7*$H$2/1000</f>
        <v>2103.75</v>
      </c>
      <c r="K7" s="240">
        <f ref="K7:K9" t="shared" si="2">B7*J7</f>
        <v>6311.25</v>
      </c>
      <c r="L7" s="241">
        <f>(K7)/$G$85</f>
        <v>0.039357798196235069</v>
      </c>
      <c r="N7" s="216" t="s">
        <v>137</v>
      </c>
      <c r="O7" s="216">
        <v>250</v>
      </c>
      <c r="P7" s="216">
        <v>400</v>
      </c>
      <c r="Q7" s="216">
        <v>100</v>
      </c>
      <c r="R7" s="216">
        <v>5000</v>
      </c>
      <c r="S7" s="216">
        <v>8000</v>
      </c>
      <c r="T7" s="216">
        <v>400</v>
      </c>
      <c r="Y7" s="216" t="s">
        <v>138</v>
      </c>
      <c r="Z7" s="216">
        <v>2</v>
      </c>
      <c r="AA7" s="211" t="s">
        <v>139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9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2</v>
      </c>
      <c r="C8" s="215" t="s">
        <v>244</v>
      </c>
      <c r="D8" s="391">
        <v>0.1</v>
      </c>
      <c r="E8" s="391">
        <v>0.05</v>
      </c>
      <c r="F8" s="214">
        <f>(Table118[[#This Row],[Column1]]+Table118[[#This Row],[Column2]])*12*Table118[[#This Row],[عدد]]</f>
        <v>3.6000000000000005</v>
      </c>
      <c r="G8" s="211" t="s">
        <v>132</v>
      </c>
      <c r="H8" s="211">
        <v>28.25</v>
      </c>
      <c r="I8" s="211">
        <f>Table118[[#This Row],[الوزن]]*Table118[[#This Row],[عدد]]</f>
        <v>56.5</v>
      </c>
      <c r="J8" s="243">
        <f t="shared" si="1"/>
        <v>1271.25</v>
      </c>
      <c r="K8" s="240">
        <f t="shared" si="2"/>
        <v>2542.5</v>
      </c>
      <c r="L8" s="241">
        <f>(K8)/$G$85</f>
        <v>0.015855369683331774</v>
      </c>
      <c r="N8" s="216" t="s">
        <v>141</v>
      </c>
      <c r="O8" s="216">
        <v>75</v>
      </c>
      <c r="P8" s="216">
        <v>200</v>
      </c>
      <c r="Q8" s="216">
        <v>100</v>
      </c>
      <c r="R8" s="216">
        <v>3000</v>
      </c>
      <c r="S8" s="216">
        <v>5000</v>
      </c>
      <c r="T8" s="216">
        <v>250</v>
      </c>
      <c r="Y8" s="216" t="s">
        <v>142</v>
      </c>
      <c r="Z8" s="216">
        <v>1.8</v>
      </c>
      <c r="AA8" s="211" t="s">
        <v>139</v>
      </c>
      <c r="AB8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9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1</v>
      </c>
      <c r="C9" s="215" t="s">
        <v>140</v>
      </c>
      <c r="D9" s="391">
        <v>0.15</v>
      </c>
      <c r="E9" s="391">
        <v>0.05</v>
      </c>
      <c r="F9" s="214">
        <f>(Table118[[#This Row],[Column1]]+Table118[[#This Row],[Column2]])*12*Table118[[#This Row],[عدد]]</f>
        <v>2.4000000000000004</v>
      </c>
      <c r="G9" s="211" t="s">
        <v>132</v>
      </c>
      <c r="H9" s="211">
        <v>56</v>
      </c>
      <c r="I9" s="211">
        <f>Table118[[#This Row],[الوزن]]*Table118[[#This Row],[عدد]]</f>
        <v>56</v>
      </c>
      <c r="J9" s="243">
        <f t="shared" si="1"/>
        <v>2520</v>
      </c>
      <c r="K9" s="240">
        <f t="shared" si="2"/>
        <v>2520</v>
      </c>
      <c r="L9" s="241">
        <f>(K9)/$G$85</f>
        <v>0.015715056677284591</v>
      </c>
      <c r="N9" s="216" t="s">
        <v>143</v>
      </c>
      <c r="O9" s="216">
        <v>75</v>
      </c>
      <c r="P9" s="216">
        <v>200</v>
      </c>
      <c r="Q9" s="216">
        <v>100</v>
      </c>
      <c r="R9" s="216">
        <v>3000</v>
      </c>
      <c r="S9" s="216">
        <v>6000</v>
      </c>
      <c r="T9" s="216">
        <v>250</v>
      </c>
      <c r="Y9" s="216" t="s">
        <v>144</v>
      </c>
      <c r="AA9" s="216" t="s">
        <v>145</v>
      </c>
    </row>
    <row r="10" ht="21" customHeight="1" s="216" customFormat="1">
      <c r="A10" s="211"/>
      <c r="B10" s="212"/>
      <c r="C10" s="213" t="s">
        <v>92</v>
      </c>
      <c r="D10" s="214"/>
      <c r="E10" s="214"/>
      <c r="F10" s="216">
        <f>SUBTOTAL(109,Table118[المسطح])</f>
        <v>14.640000000000002</v>
      </c>
      <c r="G10" s="211"/>
      <c r="H10" s="211">
        <f>H9*B9+H8*B8+H7*B7</f>
        <v>252.75</v>
      </c>
      <c r="I10" s="211">
        <f>SUBTOTAL(109,Table118[اجمالي الميزان])</f>
        <v>269.75</v>
      </c>
      <c r="J10" s="242"/>
      <c r="K10" s="240">
        <f>SUBTOTAL(109,Table118[اجمالي])</f>
        <v>12138.75</v>
      </c>
      <c r="L10" s="244">
        <f>Table118[[#Totals],[اجمالي]]/$G$85</f>
        <v>0.075698866762455685</v>
      </c>
      <c r="N10" s="216" t="s">
        <v>147</v>
      </c>
      <c r="O10" s="216">
        <v>75</v>
      </c>
      <c r="P10" s="216">
        <v>200</v>
      </c>
      <c r="Q10" s="216">
        <v>100</v>
      </c>
      <c r="R10" s="216">
        <v>3000</v>
      </c>
      <c r="S10" s="216">
        <v>6000</v>
      </c>
      <c r="T10" s="216">
        <v>250</v>
      </c>
    </row>
    <row r="11" ht="21" customHeight="1" s="216" customFormat="1">
      <c r="C11" s="217"/>
      <c r="D11" s="681" t="s">
        <v>146</v>
      </c>
      <c r="E11" s="681"/>
      <c r="F11" s="681"/>
      <c r="G11" s="681"/>
      <c r="H11" s="681"/>
      <c r="I11" s="681"/>
      <c r="L11" s="402"/>
      <c r="N11" s="216" t="s">
        <v>150</v>
      </c>
      <c r="O11" s="216">
        <v>150</v>
      </c>
      <c r="P11" s="216">
        <v>200</v>
      </c>
      <c r="Q11" s="216">
        <v>100</v>
      </c>
      <c r="R11" s="216">
        <v>3000</v>
      </c>
      <c r="S11" s="216">
        <v>8000</v>
      </c>
      <c r="T11" s="216">
        <v>250</v>
      </c>
      <c r="Y11" s="213" t="s">
        <v>201</v>
      </c>
      <c r="Z11" s="216">
        <v>1.85</v>
      </c>
      <c r="AB11" s="526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2" ht="21" customHeight="1" s="216" customFormat="1">
      <c r="A12" s="211" t="s">
        <v>19</v>
      </c>
      <c r="B12" s="211" t="s">
        <v>32</v>
      </c>
      <c r="C12" s="218" t="s">
        <v>120</v>
      </c>
      <c r="D12" s="211" t="s">
        <v>121</v>
      </c>
      <c r="E12" s="211" t="s">
        <v>102</v>
      </c>
      <c r="F12" s="211" t="s">
        <v>149</v>
      </c>
      <c r="G12" s="211" t="s">
        <v>21</v>
      </c>
      <c r="H12" s="211" t="s">
        <v>12</v>
      </c>
      <c r="I12" s="211" t="s">
        <v>162</v>
      </c>
      <c r="J12" s="211" t="s">
        <v>124</v>
      </c>
      <c r="K12" s="245" t="s">
        <v>125</v>
      </c>
      <c r="L12" s="211" t="s">
        <v>126</v>
      </c>
      <c r="N12" s="216" t="s">
        <v>154</v>
      </c>
      <c r="O12" s="216">
        <v>150</v>
      </c>
      <c r="P12" s="216">
        <v>200</v>
      </c>
      <c r="Q12" s="216">
        <v>100</v>
      </c>
      <c r="R12" s="216">
        <v>4000</v>
      </c>
      <c r="S12" s="216">
        <v>8000</v>
      </c>
      <c r="T12" s="216">
        <v>250</v>
      </c>
      <c r="Y12" s="218" t="s">
        <v>245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0</v>
      </c>
      <c r="C13" s="213" t="s">
        <v>152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0</v>
      </c>
      <c r="G13" s="211" t="s">
        <v>153</v>
      </c>
      <c r="H13" s="211">
        <v>202</v>
      </c>
      <c r="I13" s="211">
        <f>Table1421[[#This Row],[الوزن]]*Table1421[[#This Row],[عدد]]</f>
        <v>0</v>
      </c>
      <c r="J13" s="243">
        <f ref="J13:J14" t="shared" si="3">H13*$I$2/1000</f>
        <v>10100</v>
      </c>
      <c r="K13" s="240">
        <f ref="K13:K14" t="shared" si="4">B13*J13</f>
        <v>0</v>
      </c>
      <c r="L13" s="241">
        <f>(K13)/$G$85</f>
        <v>0</v>
      </c>
      <c r="N13" s="216" t="s">
        <v>157</v>
      </c>
      <c r="O13" s="216">
        <v>150</v>
      </c>
      <c r="P13" s="216">
        <v>200</v>
      </c>
      <c r="Q13" s="216">
        <v>100</v>
      </c>
      <c r="R13" s="216">
        <v>4000</v>
      </c>
      <c r="S13" s="216">
        <v>8000</v>
      </c>
      <c r="T13" s="216">
        <v>250</v>
      </c>
      <c r="Y13" s="218" t="s">
        <v>203</v>
      </c>
      <c r="Z13" s="216">
        <v>1.85</v>
      </c>
      <c r="AB13" s="527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156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132</v>
      </c>
      <c r="H14" s="211">
        <v>101</v>
      </c>
      <c r="I14" s="211">
        <f>Table1421[[#This Row],[الوزن]]*Table1421[[#This Row],[عدد]]</f>
        <v>0</v>
      </c>
      <c r="J14" s="243">
        <f t="shared" si="3"/>
        <v>5050</v>
      </c>
      <c r="K14" s="240">
        <f t="shared" si="4"/>
        <v>0</v>
      </c>
      <c r="L14" s="241">
        <f>(K14)/$G$85</f>
        <v>0</v>
      </c>
      <c r="N14" s="216" t="s">
        <v>159</v>
      </c>
      <c r="O14" s="216">
        <v>200</v>
      </c>
      <c r="P14" s="216">
        <v>200</v>
      </c>
      <c r="Q14" s="216">
        <v>100</v>
      </c>
      <c r="R14" s="216">
        <v>4000</v>
      </c>
      <c r="S14" s="216">
        <v>8000</v>
      </c>
      <c r="T14" s="216">
        <v>250</v>
      </c>
      <c r="Y14" s="218" t="s">
        <v>246</v>
      </c>
    </row>
    <row r="15" ht="21" customHeight="1" s="216" customFormat="1">
      <c r="A15" s="211" t="s">
        <v>92</v>
      </c>
      <c r="B15" s="212"/>
      <c r="C15" s="213" t="s">
        <v>92</v>
      </c>
      <c r="D15" s="214"/>
      <c r="E15" s="214"/>
      <c r="F15" s="214">
        <f>SUBTOTAL(109,Table1421[Column12])</f>
        <v>0</v>
      </c>
      <c r="G15" s="211"/>
      <c r="H15" s="211">
        <f>H13*B13+H14*B14</f>
        <v>0</v>
      </c>
      <c r="I15" s="211">
        <f>SUBTOTAL(109,Table1421[سعر الكيلو])</f>
        <v>0</v>
      </c>
      <c r="J15" s="239"/>
      <c r="K15" s="240">
        <f>SUBTOTAL(109,Table1421[اجمالي])</f>
        <v>0</v>
      </c>
      <c r="L15" s="244">
        <f>Table1421[[#Totals],[اجمالي]]/$G$85</f>
        <v>0</v>
      </c>
      <c r="N15" s="216" t="s">
        <v>161</v>
      </c>
      <c r="O15" s="216">
        <v>250</v>
      </c>
      <c r="P15" s="216">
        <v>200</v>
      </c>
      <c r="Q15" s="216">
        <v>100</v>
      </c>
      <c r="R15" s="216">
        <v>3000</v>
      </c>
      <c r="S15" s="216">
        <v>10000</v>
      </c>
      <c r="T15" s="216">
        <v>300</v>
      </c>
      <c r="Y15" s="218" t="s">
        <v>247</v>
      </c>
    </row>
    <row r="16" ht="21" customHeight="1" s="216" customFormat="1">
      <c r="C16" s="217"/>
      <c r="D16" s="681" t="s">
        <v>160</v>
      </c>
      <c r="E16" s="681"/>
      <c r="F16" s="681"/>
      <c r="G16" s="681"/>
      <c r="H16" s="681"/>
      <c r="I16" s="681"/>
      <c r="N16" s="216" t="s">
        <v>163</v>
      </c>
      <c r="O16" s="216">
        <v>250</v>
      </c>
      <c r="P16" s="216">
        <v>200</v>
      </c>
      <c r="Q16" s="216">
        <v>100</v>
      </c>
      <c r="R16" s="216">
        <v>3000</v>
      </c>
      <c r="S16" s="216">
        <v>10000</v>
      </c>
      <c r="T16" s="216">
        <v>300</v>
      </c>
      <c r="Y16" s="218" t="s">
        <v>155</v>
      </c>
      <c r="Z16" s="216">
        <v>0.25</v>
      </c>
      <c r="AB16" s="527">
        <f>IF((تسعير!T25="B"),(AB13*Table625[[#This Row],[المعدل]]),0)</f>
        <v>0</v>
      </c>
    </row>
    <row r="17" ht="18" s="216" customFormat="1">
      <c r="A17" s="211" t="s">
        <v>19</v>
      </c>
      <c r="B17" s="211" t="s">
        <v>32</v>
      </c>
      <c r="C17" s="218" t="s">
        <v>120</v>
      </c>
      <c r="D17" s="211" t="s">
        <v>121</v>
      </c>
      <c r="E17" s="211" t="s">
        <v>102</v>
      </c>
      <c r="F17" s="211" t="s">
        <v>149</v>
      </c>
      <c r="G17" s="211" t="s">
        <v>21</v>
      </c>
      <c r="H17" s="211" t="s">
        <v>12</v>
      </c>
      <c r="I17" s="211" t="s">
        <v>162</v>
      </c>
      <c r="J17" s="211" t="s">
        <v>124</v>
      </c>
      <c r="K17" s="245" t="s">
        <v>125</v>
      </c>
      <c r="L17" s="211" t="s">
        <v>126</v>
      </c>
      <c r="N17" s="216" t="s">
        <v>166</v>
      </c>
      <c r="O17" s="216">
        <v>250</v>
      </c>
      <c r="P17" s="216">
        <v>200</v>
      </c>
      <c r="Q17" s="216">
        <v>100</v>
      </c>
      <c r="R17" s="216">
        <v>3000</v>
      </c>
      <c r="S17" s="216">
        <v>10000</v>
      </c>
      <c r="T17" s="216">
        <v>300</v>
      </c>
      <c r="Y17" s="218" t="s">
        <v>158</v>
      </c>
      <c r="Z17" s="216">
        <v>0.25</v>
      </c>
      <c r="AB17" s="527">
        <f>IF((تسعير!T25="B"),(AB11*Table625[[#This Row],[المعدل]]),0)</f>
        <v>0</v>
      </c>
    </row>
    <row r="18" ht="18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1</v>
      </c>
      <c r="C18" s="213" t="s">
        <v>164</v>
      </c>
      <c r="D18" s="214"/>
      <c r="E18" s="214"/>
      <c r="F18" s="214"/>
      <c r="G18" s="211" t="s">
        <v>165</v>
      </c>
      <c r="H18" s="211"/>
      <c r="I18" s="242"/>
      <c r="J18" s="247">
        <f>Sheet2!B28</f>
        <v>400</v>
      </c>
      <c r="K18" s="240">
        <f ref="K18:K27" t="shared" si="5">B18*J18</f>
        <v>400</v>
      </c>
      <c r="L18" s="241">
        <f ref="L18:L27" t="shared" si="6">(K18)/$G$85</f>
        <v>0.002494453440838824</v>
      </c>
      <c r="N18" s="216" t="s">
        <v>169</v>
      </c>
      <c r="O18" s="216">
        <v>800</v>
      </c>
      <c r="P18" s="216">
        <v>600</v>
      </c>
      <c r="Q18" s="216">
        <v>150</v>
      </c>
      <c r="R18" s="216">
        <v>12000</v>
      </c>
      <c r="S18" s="216">
        <v>22000</v>
      </c>
      <c r="T18" s="216">
        <v>600</v>
      </c>
    </row>
    <row r="19" ht="18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2</v>
      </c>
      <c r="C19" s="213" t="s">
        <v>167</v>
      </c>
      <c r="D19" s="214"/>
      <c r="E19" s="214"/>
      <c r="F19" s="214"/>
      <c r="G19" s="211" t="s">
        <v>168</v>
      </c>
      <c r="H19" s="211"/>
      <c r="I19" s="242"/>
      <c r="J19" s="247">
        <v>250</v>
      </c>
      <c r="K19" s="240">
        <f t="shared" si="5"/>
        <v>500</v>
      </c>
      <c r="L19" s="241">
        <f t="shared" si="6"/>
        <v>0.00311806680104853</v>
      </c>
      <c r="N19" s="216" t="s">
        <v>171</v>
      </c>
      <c r="O19" s="216">
        <v>800</v>
      </c>
      <c r="P19" s="216">
        <v>750</v>
      </c>
      <c r="Q19" s="216">
        <v>150</v>
      </c>
      <c r="R19" s="216">
        <v>12000</v>
      </c>
      <c r="S19" s="216">
        <v>22000</v>
      </c>
      <c r="T19" s="216">
        <v>600</v>
      </c>
    </row>
    <row r="20" ht="18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3</v>
      </c>
      <c r="C20" s="213" t="s">
        <v>170</v>
      </c>
      <c r="D20" s="214"/>
      <c r="E20" s="214"/>
      <c r="F20" s="214"/>
      <c r="G20" s="211" t="s">
        <v>32</v>
      </c>
      <c r="H20" s="211"/>
      <c r="I20" s="242"/>
      <c r="J20" s="247">
        <v>110</v>
      </c>
      <c r="K20" s="240">
        <f t="shared" si="5"/>
        <v>330</v>
      </c>
      <c r="L20" s="241">
        <f t="shared" si="6"/>
        <v>0.00205792408869203</v>
      </c>
      <c r="N20" s="216" t="s">
        <v>173</v>
      </c>
      <c r="O20" s="216">
        <v>800</v>
      </c>
      <c r="P20" s="216">
        <v>750</v>
      </c>
      <c r="Q20" s="216">
        <v>150</v>
      </c>
      <c r="R20" s="216">
        <v>12000</v>
      </c>
      <c r="S20" s="216">
        <v>22000</v>
      </c>
      <c r="T20" s="216">
        <v>600</v>
      </c>
    </row>
    <row r="21" ht="18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1</v>
      </c>
      <c r="C21" s="213" t="s">
        <v>172</v>
      </c>
      <c r="D21" s="214"/>
      <c r="E21" s="214"/>
      <c r="F21" s="214"/>
      <c r="G21" s="211" t="s">
        <v>32</v>
      </c>
      <c r="H21" s="211"/>
      <c r="I21" s="242"/>
      <c r="J21" s="247">
        <v>130</v>
      </c>
      <c r="K21" s="240">
        <f t="shared" si="5"/>
        <v>130</v>
      </c>
      <c r="L21" s="241">
        <f t="shared" si="6"/>
        <v>0.00081069736827261778</v>
      </c>
    </row>
    <row r="22" ht="18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16</v>
      </c>
      <c r="C22" s="213" t="s">
        <v>174</v>
      </c>
      <c r="D22" s="214"/>
      <c r="E22" s="214"/>
      <c r="F22" s="214"/>
      <c r="G22" s="247" t="s">
        <v>175</v>
      </c>
      <c r="H22" s="247"/>
      <c r="I22" s="242"/>
      <c r="J22" s="247">
        <v>30</v>
      </c>
      <c r="K22" s="240">
        <f t="shared" si="5"/>
        <v>480</v>
      </c>
      <c r="L22" s="241">
        <f t="shared" si="6"/>
        <v>0.002993344129006589</v>
      </c>
    </row>
    <row r="23" ht="18" s="216" customFormat="1">
      <c r="A23" s="211">
        <v>6</v>
      </c>
      <c r="B23" s="219">
        <f>B19*3</f>
        <v>6</v>
      </c>
      <c r="C23" s="213" t="s">
        <v>176</v>
      </c>
      <c r="D23" s="214"/>
      <c r="E23" s="214"/>
      <c r="F23" s="214"/>
      <c r="G23" s="247" t="s">
        <v>177</v>
      </c>
      <c r="H23" s="247"/>
      <c r="I23" s="242"/>
      <c r="J23" s="247">
        <v>10</v>
      </c>
      <c r="K23" s="240">
        <f t="shared" si="5"/>
        <v>60</v>
      </c>
      <c r="L23" s="241">
        <f t="shared" si="6"/>
        <v>0.00037416801612582363</v>
      </c>
    </row>
    <row r="24" ht="18" s="216" customFormat="1">
      <c r="A24" s="211">
        <v>7</v>
      </c>
      <c r="B24" s="212">
        <f>IF((تسعير!T31=Sheet2!A6),0,(تسعير!AA33/100))</f>
        <v>0</v>
      </c>
      <c r="C24" s="215" t="s">
        <v>178</v>
      </c>
      <c r="D24" s="391"/>
      <c r="E24" s="391"/>
      <c r="F24" s="391"/>
      <c r="G24" s="248" t="s">
        <v>177</v>
      </c>
      <c r="H24" s="248"/>
      <c r="I24" s="248"/>
      <c r="J24" s="248">
        <f>Sheet2!B29</f>
        <v>700</v>
      </c>
      <c r="K24" s="240">
        <f t="shared" si="5"/>
        <v>0</v>
      </c>
      <c r="L24" s="241">
        <f t="shared" si="6"/>
        <v>0</v>
      </c>
    </row>
    <row r="25" ht="18" s="216" customFormat="1">
      <c r="A25" s="211">
        <v>8</v>
      </c>
      <c r="B25" s="219">
        <f>B19*10</f>
        <v>20</v>
      </c>
      <c r="C25" s="215" t="s">
        <v>179</v>
      </c>
      <c r="D25" s="391"/>
      <c r="E25" s="391"/>
      <c r="F25" s="391"/>
      <c r="G25" s="248" t="s">
        <v>180</v>
      </c>
      <c r="H25" s="248"/>
      <c r="I25" s="248"/>
      <c r="J25" s="248">
        <v>1</v>
      </c>
      <c r="K25" s="240">
        <f t="shared" si="5"/>
        <v>20</v>
      </c>
      <c r="L25" s="241">
        <f t="shared" si="6"/>
        <v>0.00012472267204194121</v>
      </c>
    </row>
    <row r="26" ht="18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181</v>
      </c>
      <c r="D26" s="214"/>
      <c r="E26" s="214"/>
      <c r="F26" s="214"/>
      <c r="G26" s="211" t="s">
        <v>175</v>
      </c>
      <c r="H26" s="211"/>
      <c r="I26" s="242"/>
      <c r="J26" s="243">
        <f>Sheet2!B30</f>
        <v>1200</v>
      </c>
      <c r="K26" s="240">
        <f t="shared" si="5"/>
        <v>0</v>
      </c>
      <c r="L26" s="241">
        <f t="shared" si="6"/>
        <v>0</v>
      </c>
    </row>
    <row r="27" ht="18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1</v>
      </c>
      <c r="C27" s="213" t="s">
        <v>182</v>
      </c>
      <c r="D27" s="214"/>
      <c r="E27" s="214"/>
      <c r="F27" s="214"/>
      <c r="G27" s="211" t="s">
        <v>175</v>
      </c>
      <c r="H27" s="211"/>
      <c r="I27" s="242"/>
      <c r="J27" s="243">
        <f>Sheet2!B31</f>
        <v>450</v>
      </c>
      <c r="K27" s="240">
        <f t="shared" si="5"/>
        <v>450</v>
      </c>
      <c r="L27" s="241">
        <f t="shared" si="6"/>
        <v>0.002806260120943677</v>
      </c>
    </row>
    <row r="28" ht="18" s="216" customFormat="1">
      <c r="A28" s="211" t="s">
        <v>92</v>
      </c>
      <c r="B28" s="212"/>
      <c r="C28" s="213" t="s">
        <v>92</v>
      </c>
      <c r="D28" s="214"/>
      <c r="E28" s="214"/>
      <c r="G28" s="211"/>
      <c r="H28" s="211"/>
      <c r="I28" s="211"/>
      <c r="J28" s="242"/>
      <c r="K28" s="240">
        <f>SUBTOTAL(109,Table1522[اجمالي])</f>
        <v>2370</v>
      </c>
      <c r="L28" s="244">
        <f>Table1522[[#Totals],[اجمالي]]/$G$85</f>
        <v>0.014779636636970033</v>
      </c>
    </row>
    <row r="29" ht="18" s="216" customFormat="1">
      <c r="C29" s="217"/>
      <c r="D29" s="681" t="s">
        <v>183</v>
      </c>
      <c r="E29" s="681"/>
      <c r="F29" s="681"/>
      <c r="G29" s="681"/>
      <c r="H29" s="681"/>
      <c r="I29" s="681"/>
    </row>
    <row r="30" ht="18" s="216" customFormat="1">
      <c r="A30" s="211" t="s">
        <v>19</v>
      </c>
      <c r="B30" s="211" t="s">
        <v>32</v>
      </c>
      <c r="C30" s="218" t="s">
        <v>120</v>
      </c>
      <c r="D30" s="211" t="s">
        <v>121</v>
      </c>
      <c r="E30" s="211" t="s">
        <v>102</v>
      </c>
      <c r="F30" s="211" t="s">
        <v>149</v>
      </c>
      <c r="G30" s="211" t="s">
        <v>21</v>
      </c>
      <c r="H30" s="211" t="s">
        <v>12</v>
      </c>
      <c r="I30" s="211" t="s">
        <v>162</v>
      </c>
      <c r="J30" s="211" t="s">
        <v>124</v>
      </c>
      <c r="K30" s="245" t="s">
        <v>125</v>
      </c>
      <c r="L30" s="211" t="s">
        <v>126</v>
      </c>
    </row>
    <row r="31" ht="18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4</v>
      </c>
      <c r="C31" s="213" t="s">
        <v>185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1.2800000000000003</v>
      </c>
      <c r="G31" s="250" t="s">
        <v>168</v>
      </c>
      <c r="H31" s="211">
        <v>14</v>
      </c>
      <c r="I31" s="211">
        <f ref="I31:I32" t="shared" si="7">$H$2/1000</f>
        <v>45</v>
      </c>
      <c r="J31" s="243">
        <f ref="J31:J32" t="shared" si="8">H31*$H$2/1000</f>
        <v>630</v>
      </c>
      <c r="K31" s="240">
        <f ref="K31:K32" t="shared" si="9">B31*J31</f>
        <v>2520</v>
      </c>
      <c r="L31" s="241">
        <f>(K31)/$G$85</f>
        <v>0.015715056677284591</v>
      </c>
    </row>
    <row r="32" ht="18" s="216" customFormat="1">
      <c r="A32" s="211">
        <v>8</v>
      </c>
      <c r="B32" s="212">
        <f>B31*4</f>
        <v>16</v>
      </c>
      <c r="C32" s="213" t="s">
        <v>186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0.16000000000000003</v>
      </c>
      <c r="G32" s="211" t="s">
        <v>168</v>
      </c>
      <c r="H32" s="211">
        <v>1.5</v>
      </c>
      <c r="I32" s="211">
        <f t="shared" si="7"/>
        <v>45</v>
      </c>
      <c r="J32" s="243">
        <f t="shared" si="8"/>
        <v>67.5</v>
      </c>
      <c r="K32" s="240">
        <f t="shared" si="9"/>
        <v>1080</v>
      </c>
      <c r="L32" s="251">
        <f>(K32)/$G$85</f>
        <v>0.0067350242902648252</v>
      </c>
    </row>
    <row r="33" ht="18" s="216" customFormat="1">
      <c r="A33" s="211" t="s">
        <v>92</v>
      </c>
      <c r="B33" s="212">
        <f>SUBTOTAL(103,Table1624[عدد])</f>
        <v>2</v>
      </c>
      <c r="C33" s="213" t="s">
        <v>92</v>
      </c>
      <c r="D33" s="214"/>
      <c r="E33" s="214"/>
      <c r="F33" s="216">
        <f>SUBTOTAL(109,Table1624[Column12])</f>
        <v>1.4400000000000004</v>
      </c>
      <c r="G33" s="211"/>
      <c r="H33" s="211">
        <f>H31*B31+H32*B32</f>
        <v>80</v>
      </c>
      <c r="I33" s="211"/>
      <c r="J33" s="242"/>
      <c r="K33" s="240">
        <f>SUBTOTAL(109,Table1624[اجمالي])</f>
        <v>3600</v>
      </c>
      <c r="L33" s="244">
        <f>Table1624[[#Totals],[اجمالي]]/$G$85</f>
        <v>0.022450080967549416</v>
      </c>
    </row>
    <row r="34" ht="18" s="216" customFormat="1">
      <c r="C34" s="217"/>
      <c r="D34" s="681" t="s">
        <v>187</v>
      </c>
      <c r="E34" s="681"/>
      <c r="F34" s="681"/>
      <c r="G34" s="681"/>
      <c r="H34" s="681"/>
      <c r="I34" s="681"/>
    </row>
    <row r="35" ht="18" s="216" customFormat="1">
      <c r="A35" s="211" t="s">
        <v>19</v>
      </c>
      <c r="B35" s="211" t="s">
        <v>32</v>
      </c>
      <c r="C35" s="218" t="s">
        <v>120</v>
      </c>
      <c r="D35" s="211" t="s">
        <v>121</v>
      </c>
      <c r="E35" s="211" t="s">
        <v>102</v>
      </c>
      <c r="F35" s="211" t="s">
        <v>149</v>
      </c>
      <c r="G35" s="211" t="s">
        <v>21</v>
      </c>
      <c r="H35" s="211" t="s">
        <v>12</v>
      </c>
      <c r="I35" s="211" t="s">
        <v>162</v>
      </c>
      <c r="J35" s="211" t="s">
        <v>124</v>
      </c>
      <c r="K35" s="245" t="s">
        <v>125</v>
      </c>
      <c r="L35" s="211" t="s">
        <v>126</v>
      </c>
    </row>
    <row r="36" ht="18" s="216" customFormat="1">
      <c r="A36" s="211">
        <v>1</v>
      </c>
      <c r="B36" s="222">
        <f>AB7/3</f>
        <v>3</v>
      </c>
      <c r="C36" s="213" t="s">
        <v>195</v>
      </c>
      <c r="D36" s="214"/>
      <c r="E36" s="214"/>
      <c r="F36" s="214"/>
      <c r="G36" s="211" t="s">
        <v>196</v>
      </c>
      <c r="H36" s="211"/>
      <c r="I36" s="211"/>
      <c r="J36" s="248">
        <f>Sheet2!B24</f>
        <v>400</v>
      </c>
      <c r="K36" s="240">
        <f ref="K36:K44" t="shared" si="10">B36*J36</f>
        <v>1200</v>
      </c>
      <c r="L36" s="241">
        <f ref="L36:L49" t="shared" si="11">(K36)/$G$85</f>
        <v>0.0074833603225164724</v>
      </c>
    </row>
    <row r="37" ht="18" s="216" customFormat="1">
      <c r="A37" s="211">
        <v>7</v>
      </c>
      <c r="B37" s="222">
        <f>AB6/2</f>
        <v>3.5</v>
      </c>
      <c r="C37" s="213" t="s">
        <v>134</v>
      </c>
      <c r="D37" s="214"/>
      <c r="E37" s="214"/>
      <c r="F37" s="214"/>
      <c r="G37" s="211" t="s">
        <v>197</v>
      </c>
      <c r="H37" s="211"/>
      <c r="I37" s="211"/>
      <c r="J37" s="248">
        <f>Sheet2!B25</f>
        <v>95</v>
      </c>
      <c r="K37" s="240">
        <f t="shared" si="10"/>
        <v>332.5</v>
      </c>
      <c r="L37" s="241">
        <f t="shared" si="11"/>
        <v>0.0020735144226972724</v>
      </c>
    </row>
    <row r="38" ht="18" s="216" customFormat="1">
      <c r="A38" s="211">
        <v>8</v>
      </c>
      <c r="B38" s="222">
        <f>AB5</f>
        <v>12</v>
      </c>
      <c r="C38" s="213" t="s">
        <v>198</v>
      </c>
      <c r="D38" s="214"/>
      <c r="E38" s="214"/>
      <c r="F38" s="214"/>
      <c r="G38" s="211" t="s">
        <v>168</v>
      </c>
      <c r="H38" s="211"/>
      <c r="I38" s="211"/>
      <c r="J38" s="248">
        <f>Sheet2!B26</f>
        <v>220</v>
      </c>
      <c r="K38" s="240">
        <f t="shared" si="10"/>
        <v>2640</v>
      </c>
      <c r="L38" s="241">
        <f t="shared" si="11"/>
        <v>0.016463392709536239</v>
      </c>
    </row>
    <row r="39" ht="18" s="216" customFormat="1">
      <c r="A39" s="211">
        <v>9</v>
      </c>
      <c r="B39" s="222">
        <f>AB8</f>
        <v>9</v>
      </c>
      <c r="C39" s="213" t="s">
        <v>199</v>
      </c>
      <c r="D39" s="214"/>
      <c r="E39" s="214"/>
      <c r="F39" s="214"/>
      <c r="G39" s="211" t="s">
        <v>168</v>
      </c>
      <c r="H39" s="211"/>
      <c r="I39" s="211"/>
      <c r="J39" s="248">
        <f>Sheet2!B27</f>
        <v>510</v>
      </c>
      <c r="K39" s="240">
        <f t="shared" si="10"/>
        <v>4590</v>
      </c>
      <c r="L39" s="241">
        <f t="shared" si="11"/>
        <v>0.028623853233625506</v>
      </c>
    </row>
    <row r="40" ht="18" s="216" customFormat="1">
      <c r="A40" s="211">
        <v>2</v>
      </c>
      <c r="B40" s="219">
        <v>5</v>
      </c>
      <c r="C40" s="218" t="s">
        <v>188</v>
      </c>
      <c r="D40" s="211"/>
      <c r="E40" s="211"/>
      <c r="F40" s="211"/>
      <c r="G40" s="211" t="s">
        <v>189</v>
      </c>
      <c r="H40" s="211"/>
      <c r="I40" s="211"/>
      <c r="J40" s="248">
        <v>15</v>
      </c>
      <c r="K40" s="240">
        <f t="shared" si="10"/>
        <v>75</v>
      </c>
      <c r="L40" s="241">
        <f t="shared" si="11"/>
        <v>0.00046771002015727952</v>
      </c>
    </row>
    <row r="41" ht="18" s="216" customFormat="1">
      <c r="A41" s="211">
        <v>3</v>
      </c>
      <c r="B41" s="212">
        <v>5</v>
      </c>
      <c r="C41" s="218" t="s">
        <v>190</v>
      </c>
      <c r="D41" s="211"/>
      <c r="E41" s="211"/>
      <c r="F41" s="211"/>
      <c r="G41" s="211" t="s">
        <v>189</v>
      </c>
      <c r="H41" s="211"/>
      <c r="I41" s="211"/>
      <c r="J41" s="248">
        <v>15</v>
      </c>
      <c r="K41" s="240">
        <f t="shared" si="10"/>
        <v>75</v>
      </c>
      <c r="L41" s="241">
        <f t="shared" si="11"/>
        <v>0.00046771002015727952</v>
      </c>
    </row>
    <row r="42" ht="18" s="216" customFormat="1">
      <c r="A42" s="211">
        <v>4</v>
      </c>
      <c r="B42" s="219">
        <v>10</v>
      </c>
      <c r="C42" s="213" t="s">
        <v>191</v>
      </c>
      <c r="D42" s="214"/>
      <c r="E42" s="214"/>
      <c r="F42" s="214"/>
      <c r="G42" s="211" t="s">
        <v>192</v>
      </c>
      <c r="H42" s="211"/>
      <c r="I42" s="211"/>
      <c r="J42" s="248">
        <v>25</v>
      </c>
      <c r="K42" s="240">
        <f t="shared" si="10"/>
        <v>250</v>
      </c>
      <c r="L42" s="241">
        <f t="shared" si="11"/>
        <v>0.0015590334005242651</v>
      </c>
    </row>
    <row r="43" ht="18" s="216" customFormat="1">
      <c r="A43" s="211">
        <v>5</v>
      </c>
      <c r="B43" s="212">
        <v>5</v>
      </c>
      <c r="C43" s="213" t="s">
        <v>193</v>
      </c>
      <c r="D43" s="214"/>
      <c r="E43" s="214"/>
      <c r="F43" s="214"/>
      <c r="G43" s="211" t="s">
        <v>192</v>
      </c>
      <c r="H43" s="211"/>
      <c r="I43" s="211"/>
      <c r="J43" s="248">
        <v>150</v>
      </c>
      <c r="K43" s="240">
        <f t="shared" si="10"/>
        <v>750</v>
      </c>
      <c r="L43" s="241">
        <f t="shared" si="11"/>
        <v>0.0046771002015727949</v>
      </c>
    </row>
    <row r="44" ht="18" s="216" customFormat="1">
      <c r="A44" s="211">
        <v>6</v>
      </c>
      <c r="B44" s="219">
        <v>5</v>
      </c>
      <c r="C44" s="213" t="s">
        <v>194</v>
      </c>
      <c r="D44" s="214"/>
      <c r="E44" s="214"/>
      <c r="F44" s="214"/>
      <c r="G44" s="211" t="s">
        <v>168</v>
      </c>
      <c r="H44" s="211"/>
      <c r="I44" s="211"/>
      <c r="J44" s="248">
        <v>40</v>
      </c>
      <c r="K44" s="240">
        <f t="shared" si="10"/>
        <v>200</v>
      </c>
      <c r="L44" s="241">
        <f t="shared" si="11"/>
        <v>0.001247226720419412</v>
      </c>
    </row>
    <row r="45" ht="18" s="216" customFormat="1">
      <c r="A45" s="211">
        <v>10</v>
      </c>
      <c r="B45" s="212"/>
      <c r="C45" s="550" t="s">
        <v>248</v>
      </c>
      <c r="D45" s="214"/>
      <c r="E45" s="214"/>
      <c r="F45" s="214"/>
      <c r="G45" s="211"/>
      <c r="H45" s="211"/>
      <c r="I45" s="211"/>
      <c r="J45" s="248">
        <v>30</v>
      </c>
      <c r="K45" s="240">
        <f>B45*J45</f>
        <v>0</v>
      </c>
      <c r="L45" s="251">
        <f t="shared" si="11"/>
        <v>0</v>
      </c>
    </row>
    <row r="46" ht="18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0</v>
      </c>
      <c r="C46" s="213" t="s">
        <v>201</v>
      </c>
      <c r="D46" s="214"/>
      <c r="E46" s="214"/>
      <c r="F46" s="214"/>
      <c r="G46" s="211" t="s">
        <v>202</v>
      </c>
      <c r="H46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6" s="248">
        <f>Sheet2!B18</f>
        <v>360</v>
      </c>
      <c r="J46" s="248"/>
      <c r="K46" s="240">
        <f>B46*Table1319[[#This Row],[سعر الكيلو]]</f>
        <v>0</v>
      </c>
      <c r="L46" s="251">
        <f t="shared" si="11"/>
        <v>0</v>
      </c>
    </row>
    <row r="47" ht="18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0</v>
      </c>
      <c r="C47" s="218" t="s">
        <v>203</v>
      </c>
      <c r="D47" s="214"/>
      <c r="E47" s="214"/>
      <c r="F47" s="214"/>
      <c r="G47" s="218" t="s">
        <v>204</v>
      </c>
      <c r="H47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7" s="248">
        <f>Sheet2!B20</f>
        <v>435</v>
      </c>
      <c r="J47" s="248"/>
      <c r="K47" s="240">
        <f>B47*Table1319[[#This Row],[سعر الكيلو]]</f>
        <v>0</v>
      </c>
      <c r="L47" s="251">
        <f t="shared" si="11"/>
        <v>0</v>
      </c>
    </row>
    <row r="48" ht="18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0</v>
      </c>
      <c r="C48" s="218" t="s">
        <v>155</v>
      </c>
      <c r="D48" s="214"/>
      <c r="E48" s="214"/>
      <c r="F48" s="214"/>
      <c r="G48" s="218" t="s">
        <v>205</v>
      </c>
      <c r="H48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8" s="247">
        <f>Sheet2!B22</f>
        <v>190</v>
      </c>
      <c r="J48" s="248"/>
      <c r="K48" s="240">
        <f>B48*Table1319[[#This Row],[سعر الكيلو]]</f>
        <v>0</v>
      </c>
      <c r="L48" s="251">
        <f t="shared" si="11"/>
        <v>0</v>
      </c>
    </row>
    <row r="49" ht="18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0</v>
      </c>
      <c r="C49" s="218" t="s">
        <v>158</v>
      </c>
      <c r="D49" s="214"/>
      <c r="E49" s="214"/>
      <c r="F49" s="214"/>
      <c r="G49" s="218" t="s">
        <v>205</v>
      </c>
      <c r="H49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9" s="248">
        <f>Sheet2!B23</f>
        <v>190</v>
      </c>
      <c r="J49" s="248"/>
      <c r="K49" s="240">
        <f>B49*Table1319[[#This Row],[سعر الكيلو]]</f>
        <v>0</v>
      </c>
      <c r="L49" s="251">
        <f t="shared" si="11"/>
        <v>0</v>
      </c>
    </row>
    <row r="50" ht="18" s="216" customFormat="1">
      <c r="A50" s="211" t="s">
        <v>92</v>
      </c>
      <c r="B50" s="212"/>
      <c r="C50" s="213" t="s">
        <v>92</v>
      </c>
      <c r="D50" s="214"/>
      <c r="E50" s="214"/>
      <c r="F50" s="214"/>
      <c r="G50" s="211" t="s">
        <v>206</v>
      </c>
      <c r="H50" s="211"/>
      <c r="I50" s="211"/>
      <c r="J50" s="242"/>
      <c r="K50" s="240">
        <f>SUBTOTAL(109,Table1319[اجمالي])</f>
        <v>10112.5</v>
      </c>
      <c r="L50" s="244">
        <f>Table1319[[#Totals],[اجمالي]]/$G$85</f>
        <v>0.063062901051206516</v>
      </c>
    </row>
    <row r="51" ht="18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" s="216" customFormat="1">
      <c r="C52" s="217"/>
      <c r="D52" s="681" t="s">
        <v>207</v>
      </c>
      <c r="E52" s="681"/>
      <c r="F52" s="681"/>
      <c r="G52" s="681"/>
      <c r="H52" s="681"/>
      <c r="I52" s="681"/>
    </row>
    <row r="53" ht="18" s="216" customFormat="1">
      <c r="A53" s="211" t="s">
        <v>19</v>
      </c>
      <c r="B53" s="211" t="s">
        <v>32</v>
      </c>
      <c r="C53" s="218" t="s">
        <v>120</v>
      </c>
      <c r="D53" s="211" t="s">
        <v>121</v>
      </c>
      <c r="E53" s="211" t="s">
        <v>102</v>
      </c>
      <c r="F53" s="211" t="s">
        <v>149</v>
      </c>
      <c r="G53" s="211" t="s">
        <v>21</v>
      </c>
      <c r="H53" s="211" t="s">
        <v>12</v>
      </c>
      <c r="I53" s="211" t="s">
        <v>162</v>
      </c>
      <c r="J53" s="211" t="s">
        <v>124</v>
      </c>
      <c r="K53" s="245" t="s">
        <v>125</v>
      </c>
      <c r="L53" s="211" t="s">
        <v>126</v>
      </c>
    </row>
    <row r="54" ht="18.6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3</v>
      </c>
      <c r="C54" s="214" t="s">
        <v>208</v>
      </c>
      <c r="D54" s="214"/>
      <c r="E54" s="214"/>
      <c r="F54" s="214"/>
      <c r="G54" s="398" t="s">
        <v>132</v>
      </c>
      <c r="H54" s="211">
        <v>1.75</v>
      </c>
      <c r="I54" s="247">
        <f>J2/1000</f>
        <v>202</v>
      </c>
      <c r="J54" s="403">
        <f>Table161027[[#This Row],[سعر الكيلو]]*Table161027[[#This Row],[الوزن]]</f>
        <v>353.5</v>
      </c>
      <c r="K54" s="240">
        <f ref="K54:K55" t="shared" si="13">B54*J54</f>
        <v>1060.5</v>
      </c>
      <c r="L54" s="241">
        <f>(Table161027[[#This Row],[اجمالي]])/$G$85</f>
        <v>0.0066134196850239323</v>
      </c>
    </row>
    <row r="55" ht="18.6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3</v>
      </c>
      <c r="C55" s="214" t="s">
        <v>209</v>
      </c>
      <c r="D55" s="214"/>
      <c r="E55" s="214"/>
      <c r="F55" s="214"/>
      <c r="G55" s="398" t="s">
        <v>210</v>
      </c>
      <c r="H55" s="211"/>
      <c r="I55" s="247"/>
      <c r="J55" s="403">
        <f>Sheet2!B32</f>
        <v>8000</v>
      </c>
      <c r="K55" s="240">
        <f t="shared" si="13"/>
        <v>24000</v>
      </c>
      <c r="L55" s="241">
        <f>(Table161027[[#This Row],[اجمالي]])/$G$85</f>
        <v>0.14966720645032944</v>
      </c>
    </row>
    <row r="56" ht="18.6" s="216" customFormat="1">
      <c r="A56" s="211" t="s">
        <v>92</v>
      </c>
      <c r="B56" s="219"/>
      <c r="C56" s="214" t="s">
        <v>92</v>
      </c>
      <c r="D56" s="214"/>
      <c r="E56" s="214"/>
      <c r="F56" s="214">
        <f>SUBTOTAL(109,Table161027[Column12])</f>
        <v>0</v>
      </c>
      <c r="G56" s="399"/>
      <c r="H56" s="211"/>
      <c r="I56" s="247"/>
      <c r="J56" s="403"/>
      <c r="K56" s="240">
        <f>SUBTOTAL(109,Table161027[اجمالي])</f>
        <v>25060.5</v>
      </c>
      <c r="L56" s="241">
        <f>Table161027[[#Totals],[اجمالي]]/$G$85</f>
        <v>0.15628062613535337</v>
      </c>
    </row>
    <row r="57" ht="18" s="216" customFormat="1">
      <c r="C57" s="217"/>
      <c r="D57" s="681" t="s">
        <v>211</v>
      </c>
      <c r="E57" s="681"/>
      <c r="F57" s="681"/>
      <c r="G57" s="681"/>
      <c r="H57" s="681"/>
      <c r="I57" s="681"/>
    </row>
    <row r="58" ht="18" s="216" customFormat="1">
      <c r="A58" s="211" t="s">
        <v>19</v>
      </c>
      <c r="B58" s="211" t="s">
        <v>32</v>
      </c>
      <c r="C58" s="214" t="s">
        <v>212</v>
      </c>
      <c r="D58" s="211" t="s">
        <v>149</v>
      </c>
      <c r="E58" s="211" t="s">
        <v>102</v>
      </c>
      <c r="F58" s="400" t="s">
        <v>213</v>
      </c>
      <c r="G58" s="216" t="s">
        <v>214</v>
      </c>
      <c r="H58" s="401" t="s">
        <v>215</v>
      </c>
      <c r="I58" s="211" t="s">
        <v>121</v>
      </c>
      <c r="J58" s="211" t="s">
        <v>216</v>
      </c>
      <c r="K58" s="245" t="s">
        <v>125</v>
      </c>
      <c r="L58" s="211" t="s">
        <v>126</v>
      </c>
    </row>
    <row r="59" ht="18.6" s="216" customFormat="1">
      <c r="A59" s="211">
        <v>1</v>
      </c>
      <c r="B59" s="219">
        <f>IF((تسعير!T31=Sheet2!A6),0,1)</f>
        <v>0</v>
      </c>
      <c r="C59" s="214" t="s">
        <v>217</v>
      </c>
      <c r="D59" s="214"/>
      <c r="E59" s="211"/>
      <c r="F59" s="214"/>
      <c r="G59" s="214"/>
      <c r="H59" s="398">
        <f>'Cutting Ro-2'!$O$7</f>
        <v>3473.5238127311732</v>
      </c>
      <c r="I59" s="247"/>
      <c r="J59" s="403">
        <f>IF((Table161128[[#This Row],[عدد]]&gt;0),'Cutting Ro-2'!O8,0)</f>
        <v>0</v>
      </c>
      <c r="K59" s="240">
        <f>Table161128[[#This Row],[عدد]]*Table161128[[#This Row],[سعر البرجولا كاملة]]</f>
        <v>0</v>
      </c>
      <c r="L59" s="241">
        <f>(K59)/$G$85</f>
        <v>0</v>
      </c>
    </row>
    <row r="60" ht="18.6" s="216" customFormat="1">
      <c r="A60" s="577"/>
      <c r="B60" s="563">
        <f>IF((تسعير!T31=Sheet2!A6),1,0)</f>
        <v>1</v>
      </c>
      <c r="C60" s="573" t="s">
        <v>249</v>
      </c>
      <c r="D60" s="573"/>
      <c r="E60" s="577"/>
      <c r="F60" s="578"/>
      <c r="G60" s="578"/>
      <c r="H60" s="398">
        <f>'Cutting Ro-2'!$O$7</f>
        <v>3473.5238127311732</v>
      </c>
      <c r="I60" s="579"/>
      <c r="J60" s="403">
        <f>IF((Table161128[[#This Row],[عدد]]&gt;0),'Cutting Ro-2'!O8,0)</f>
        <v>55576.381003698771</v>
      </c>
      <c r="K60" s="581">
        <f>Table161128[[#This Row],[عدد]]*Table161128[[#This Row],[سعر البرجولا كاملة]]</f>
        <v>55576.381003698771</v>
      </c>
      <c r="L60" s="241">
        <f>Table161128[[#Totals],[اجمالي]]/$G$85</f>
        <v>0.38123991076612612</v>
      </c>
    </row>
    <row r="61" ht="18" s="216" customFormat="1">
      <c r="A61" s="211">
        <v>4</v>
      </c>
      <c r="B61" s="212">
        <f>IF((F81="الاسكندرية"),0.25,0.1)</f>
        <v>0.1</v>
      </c>
      <c r="C61" s="213" t="s">
        <v>219</v>
      </c>
      <c r="D61" s="214"/>
      <c r="E61" s="211"/>
      <c r="G61" s="214"/>
      <c r="H61" s="211"/>
      <c r="I61" s="247"/>
      <c r="J61" s="248">
        <f>K59+K60</f>
        <v>55576.381003698771</v>
      </c>
      <c r="K61" s="240">
        <f>Table161128[[#This Row],[عدد]]*Table161128[[#This Row],[سعر البرجولا كاملة]]</f>
        <v>5557.6381003698771</v>
      </c>
      <c r="L61" s="241">
        <f>(K61)/$G$85</f>
        <v>0.034658173706011465</v>
      </c>
    </row>
    <row r="62" ht="18" s="216" customFormat="1">
      <c r="A62" s="572" t="s">
        <v>92</v>
      </c>
      <c r="B62" s="571"/>
      <c r="C62" s="550" t="s">
        <v>92</v>
      </c>
      <c r="D62" s="574">
        <f>SUBTOTAL(109,Table161128[Column12])</f>
        <v>0</v>
      </c>
      <c r="E62" s="572"/>
      <c r="F62" s="573"/>
      <c r="G62" s="573"/>
      <c r="H62" s="572"/>
      <c r="I62" s="572"/>
      <c r="J62" s="242"/>
      <c r="K62" s="575">
        <f>SUBTOTAL(109,Table161128[اجمالي])</f>
        <v>61134.019104068648</v>
      </c>
      <c r="L62" s="576">
        <f>Table161128[[#Totals],[اجمالي]]/$G$85</f>
        <v>0.38123991076612612</v>
      </c>
    </row>
    <row r="63" ht="18" s="216" customFormat="1">
      <c r="C63" s="217"/>
      <c r="D63" s="681" t="s">
        <v>250</v>
      </c>
      <c r="E63" s="681"/>
      <c r="F63" s="681"/>
      <c r="G63" s="681"/>
      <c r="H63" s="681"/>
      <c r="I63" s="681"/>
    </row>
    <row r="64" ht="18" s="216" customFormat="1">
      <c r="A64" s="211" t="s">
        <v>19</v>
      </c>
      <c r="B64" s="211" t="s">
        <v>32</v>
      </c>
      <c r="C64" s="218" t="s">
        <v>120</v>
      </c>
      <c r="D64" s="211" t="s">
        <v>121</v>
      </c>
      <c r="E64" s="211" t="s">
        <v>102</v>
      </c>
      <c r="F64" s="211" t="s">
        <v>149</v>
      </c>
      <c r="G64" s="211" t="s">
        <v>21</v>
      </c>
      <c r="H64" s="211" t="s">
        <v>12</v>
      </c>
      <c r="I64" s="211" t="s">
        <v>162</v>
      </c>
      <c r="J64" s="211" t="s">
        <v>124</v>
      </c>
      <c r="K64" s="245" t="s">
        <v>125</v>
      </c>
      <c r="L64" s="211" t="s">
        <v>126</v>
      </c>
    </row>
    <row r="65" ht="18" s="216" customFormat="1">
      <c r="A65" s="211">
        <v>1</v>
      </c>
      <c r="B65" s="219">
        <f>IF((تسعير!T25="جلفنة و جوتن"),(Table118[[#Totals],[اجمالي الميزان]]+Table1624[[#Totals],[الوزن]]+Table1421[[#Totals],[الوزن]]),0)</f>
        <v>0</v>
      </c>
      <c r="C65" s="214" t="s">
        <v>200</v>
      </c>
      <c r="D65" s="214"/>
      <c r="E65" s="211"/>
      <c r="G65" s="247"/>
      <c r="H65" s="211"/>
      <c r="I65" s="247"/>
      <c r="J65" s="247">
        <v>30</v>
      </c>
      <c r="K65" s="240">
        <f>B65*Table161330[[#This Row],[سعر الشبك ]]</f>
        <v>0</v>
      </c>
      <c r="L65" s="241">
        <f>(K65)/$G$85</f>
        <v>0</v>
      </c>
    </row>
    <row r="66" ht="18" s="216" customFormat="1">
      <c r="A66" s="211" t="s">
        <v>92</v>
      </c>
      <c r="B66" s="212"/>
      <c r="C66" s="213" t="s">
        <v>92</v>
      </c>
      <c r="D66" s="214"/>
      <c r="E66" s="214"/>
      <c r="F66" s="216">
        <f>SUBTOTAL(109,Table161330[Column12])</f>
        <v>0</v>
      </c>
      <c r="G66" s="211"/>
      <c r="H66" s="211"/>
      <c r="I66" s="211"/>
      <c r="J66" s="242"/>
      <c r="K66" s="240">
        <f>SUBTOTAL(109,Table161330[اجمالي])</f>
        <v>0</v>
      </c>
      <c r="L66" s="241">
        <f>Table161330[[#Totals],[اجمالي]]/$G$85</f>
        <v>0</v>
      </c>
    </row>
    <row r="67" ht="18" s="216" customFormat="1">
      <c r="C67" s="217"/>
      <c r="D67" s="681" t="s">
        <v>220</v>
      </c>
      <c r="E67" s="681"/>
      <c r="F67" s="681"/>
      <c r="G67" s="681"/>
      <c r="H67" s="681"/>
      <c r="I67" s="681"/>
    </row>
    <row r="68" ht="18" s="216" customFormat="1">
      <c r="A68" s="211" t="s">
        <v>19</v>
      </c>
      <c r="B68" s="211" t="s">
        <v>32</v>
      </c>
      <c r="C68" s="218" t="s">
        <v>120</v>
      </c>
      <c r="D68" s="211" t="s">
        <v>221</v>
      </c>
      <c r="E68" s="211" t="s">
        <v>105</v>
      </c>
      <c r="F68" s="211" t="s">
        <v>222</v>
      </c>
      <c r="G68" s="211" t="s">
        <v>223</v>
      </c>
      <c r="H68" s="211" t="s">
        <v>149</v>
      </c>
      <c r="I68" s="211" t="s">
        <v>224</v>
      </c>
      <c r="J68" s="211" t="s">
        <v>225</v>
      </c>
      <c r="K68" s="245" t="s">
        <v>125</v>
      </c>
      <c r="L68" s="211" t="s">
        <v>126</v>
      </c>
    </row>
    <row r="69" ht="18" s="216" customFormat="1">
      <c r="A69" s="211">
        <v>1</v>
      </c>
      <c r="B69" s="219">
        <v>4</v>
      </c>
      <c r="C69" s="220" t="s">
        <v>226</v>
      </c>
      <c r="D69" s="211">
        <f>IF((Table161229[[#This Row],[موقع العمل]]="المصنع"),280,IF((Table161229[[#This Row],[موقع العمل]]="الاسكندرية"),320,400))</f>
        <v>280</v>
      </c>
      <c r="E69" s="211">
        <f>SUMIF(Table1731[Column1],Table161229[[#This Row],[موقع العمل]],$Q$2:$Q$26)</f>
        <v>0</v>
      </c>
      <c r="F69" s="211" t="s">
        <v>227</v>
      </c>
      <c r="G69" s="214" t="s">
        <v>128</v>
      </c>
      <c r="I69" s="404">
        <v>1.5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420</v>
      </c>
      <c r="K69" s="240">
        <f ref="K69:K81" t="shared" si="14">B69*J69</f>
        <v>1680</v>
      </c>
      <c r="L69" s="241">
        <f ref="L69:L81" t="shared" si="15">(K69)/$G$85</f>
        <v>0.010476704451523062</v>
      </c>
    </row>
    <row r="70" ht="18" s="216" customFormat="1">
      <c r="A70" s="211">
        <v>2</v>
      </c>
      <c r="B70" s="219">
        <v>3</v>
      </c>
      <c r="C70" s="220" t="s">
        <v>228</v>
      </c>
      <c r="D70" s="211">
        <f>IF((Table161229[[#This Row],[موقع العمل]]="المصنع"),280,IF((Table161229[[#This Row],[موقع العمل]]="الاسكندرية"),320,400))</f>
        <v>280</v>
      </c>
      <c r="E70" s="211">
        <f>SUMIF(Table1731[Column1],Table161229[[#This Row],[موقع العمل]],$Q$2:$Q$26)</f>
        <v>0</v>
      </c>
      <c r="F70" s="211" t="s">
        <v>227</v>
      </c>
      <c r="G70" s="214" t="s">
        <v>128</v>
      </c>
      <c r="I70" s="243">
        <v>1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280</v>
      </c>
      <c r="K70" s="240">
        <f t="shared" si="14"/>
        <v>840</v>
      </c>
      <c r="L70" s="241">
        <f t="shared" si="15"/>
        <v>0.0052383522257615309</v>
      </c>
    </row>
    <row r="71" ht="18" s="216" customFormat="1">
      <c r="A71" s="211">
        <v>3</v>
      </c>
      <c r="B71" s="219">
        <v>3</v>
      </c>
      <c r="C71" s="220" t="s">
        <v>229</v>
      </c>
      <c r="D71" s="211">
        <f>IF((Table161229[[#This Row],[موقع العمل]]="المصنع"),280,IF((Table161229[[#This Row],[موقع العمل]]="الاسكندرية"),320,400))</f>
        <v>280</v>
      </c>
      <c r="E71" s="211">
        <f>SUMIF(Table1731[Column1],Table161229[[#This Row],[موقع العمل]],$Q$2:$Q$26)</f>
        <v>0</v>
      </c>
      <c r="F71" s="211" t="s">
        <v>227</v>
      </c>
      <c r="G71" s="214" t="s">
        <v>128</v>
      </c>
      <c r="I71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2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560</v>
      </c>
      <c r="K71" s="240">
        <f t="shared" si="14"/>
        <v>1680</v>
      </c>
      <c r="L71" s="241">
        <f t="shared" si="15"/>
        <v>0.010476704451523062</v>
      </c>
    </row>
    <row r="72" ht="18" s="216" customFormat="1">
      <c r="A72" s="211">
        <v>4</v>
      </c>
      <c r="B72" s="212">
        <v>3</v>
      </c>
      <c r="C72" s="220" t="s">
        <v>230</v>
      </c>
      <c r="D72" s="211">
        <f>IF((Table161229[[#This Row],[موقع العمل]]="المصنع"),280,IF((Table161229[[#This Row],[موقع العمل]]="الاسكندرية"),320,400))</f>
        <v>280</v>
      </c>
      <c r="E72" s="211">
        <f>SUMIF(Table1731[Column1],Table161229[[#This Row],[موقع العمل]],$Q$2:$Q$26)</f>
        <v>0</v>
      </c>
      <c r="F72" s="211" t="s">
        <v>227</v>
      </c>
      <c r="G72" s="214" t="s">
        <v>128</v>
      </c>
      <c r="I72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1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280</v>
      </c>
      <c r="K72" s="240">
        <f t="shared" si="14"/>
        <v>840</v>
      </c>
      <c r="L72" s="241">
        <f t="shared" si="15"/>
        <v>0.0052383522257615309</v>
      </c>
    </row>
    <row r="73" ht="18" s="216" customFormat="1">
      <c r="A73" s="211">
        <v>5</v>
      </c>
      <c r="B73" s="212">
        <v>4</v>
      </c>
      <c r="C73" s="220" t="s">
        <v>231</v>
      </c>
      <c r="D73" s="211">
        <f>IF((Table161229[[#This Row],[موقع العمل]]="المصنع"),280,IF((Table161229[[#This Row],[موقع العمل]]="الاسكندرية"),320,400))</f>
        <v>400</v>
      </c>
      <c r="E73" s="211">
        <f>SUMIF(Table1731[Column1],Table161229[[#This Row],[موقع العمل]],$Q$2:$Q$26)</f>
        <v>100</v>
      </c>
      <c r="F73" s="211" t="str">
        <f>تسعير!$T$24</f>
        <v>الشيخ زايد</v>
      </c>
      <c r="G73" s="214" t="s">
        <v>128</v>
      </c>
      <c r="I73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2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1000</v>
      </c>
      <c r="K73" s="240">
        <f t="shared" si="14"/>
        <v>4000</v>
      </c>
      <c r="L73" s="241">
        <f t="shared" si="15"/>
        <v>0.024944534408388241</v>
      </c>
    </row>
    <row r="74" ht="18" s="216" customFormat="1">
      <c r="A74" s="211">
        <v>6</v>
      </c>
      <c r="B74" s="212">
        <v>3</v>
      </c>
      <c r="C74" s="220" t="s">
        <v>232</v>
      </c>
      <c r="D74" s="211">
        <f>IF((Table161229[[#This Row],[موقع العمل]]="المصنع"),280,IF((Table161229[[#This Row],[موقع العمل]]="الاسكندرية"),320,400))</f>
        <v>400</v>
      </c>
      <c r="E74" s="211">
        <f>SUMIF(Table1731[Column1],Table161229[[#This Row],[موقع العمل]],$Q$2:$Q$26)</f>
        <v>100</v>
      </c>
      <c r="F74" s="211" t="str">
        <f>تسعير!$T$24</f>
        <v>الشيخ زايد</v>
      </c>
      <c r="G74" s="214" t="s">
        <v>128</v>
      </c>
      <c r="I74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3</v>
      </c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1500</v>
      </c>
      <c r="K74" s="240">
        <f t="shared" si="14"/>
        <v>4500</v>
      </c>
      <c r="L74" s="241">
        <f t="shared" si="15"/>
        <v>0.02806260120943677</v>
      </c>
      <c r="N74" s="207"/>
      <c r="O74" s="207"/>
      <c r="P74" s="207"/>
      <c r="Q74" s="207"/>
      <c r="R74" s="207"/>
      <c r="S74" s="207"/>
      <c r="T74" s="207"/>
    </row>
    <row r="75" ht="18" s="216" customFormat="1">
      <c r="A75" s="211">
        <v>7</v>
      </c>
      <c r="B75" s="212">
        <v>0</v>
      </c>
      <c r="C75" s="220" t="s">
        <v>233</v>
      </c>
      <c r="D75" s="211">
        <f>IF((Table161229[[#This Row],[موقع العمل]]="المصنع"),280,IF((Table161229[[#This Row],[موقع العمل]]="الاسكندرية"),320,400))</f>
        <v>400</v>
      </c>
      <c r="E75" s="211">
        <f>SUMIF(Table1731[Column1],Table161229[[#This Row],[موقع العمل]],$Q$2:$Q$26)</f>
        <v>100</v>
      </c>
      <c r="F75" s="211" t="str">
        <f>تسعير!$T$24</f>
        <v>الشيخ زايد</v>
      </c>
      <c r="G75" s="214" t="s">
        <v>128</v>
      </c>
      <c r="I75" s="243"/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5" s="240">
        <f t="shared" si="14"/>
        <v>0</v>
      </c>
      <c r="L75" s="241">
        <f t="shared" si="15"/>
        <v>0</v>
      </c>
      <c r="N75" s="207"/>
      <c r="O75" s="207"/>
      <c r="P75" s="207"/>
      <c r="Q75" s="207"/>
      <c r="R75" s="207"/>
      <c r="S75" s="207"/>
      <c r="T75" s="207"/>
    </row>
    <row r="76" ht="18" s="216" customFormat="1">
      <c r="A76" s="211">
        <v>8</v>
      </c>
      <c r="B76" s="212">
        <v>4</v>
      </c>
      <c r="C76" s="220" t="s">
        <v>234</v>
      </c>
      <c r="D76" s="211">
        <f>IF((Table161229[[#This Row],[موقع العمل]]="المصنع"),280,IF((Table161229[[#This Row],[موقع العمل]]="الاسكندرية"),320,400))</f>
        <v>400</v>
      </c>
      <c r="E76" s="211">
        <f>SUMIF(Table1731[Column1],Table161229[[#This Row],[موقع العمل]],$Q$2:$Q$26)</f>
        <v>100</v>
      </c>
      <c r="F76" s="211" t="str">
        <f>تسعير!$T$24</f>
        <v>الشيخ زايد</v>
      </c>
      <c r="G76" s="214" t="s">
        <v>128</v>
      </c>
      <c r="I76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2</v>
      </c>
      <c r="J76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1000</v>
      </c>
      <c r="K76" s="240">
        <f t="shared" si="14"/>
        <v>4000</v>
      </c>
      <c r="L76" s="241">
        <f t="shared" si="15"/>
        <v>0.024944534408388241</v>
      </c>
      <c r="N76" s="207"/>
      <c r="O76" s="207"/>
      <c r="P76" s="207"/>
      <c r="Q76" s="207"/>
      <c r="R76" s="207"/>
      <c r="S76" s="207"/>
      <c r="T76" s="207"/>
    </row>
    <row r="77" ht="18" s="216" customFormat="1">
      <c r="A77" s="211">
        <v>9</v>
      </c>
      <c r="B77" s="212">
        <f>(B73+B74+B75+B76)*2</f>
        <v>22</v>
      </c>
      <c r="C77" s="220" t="s">
        <v>235</v>
      </c>
      <c r="D77" s="211"/>
      <c r="E77" s="211"/>
      <c r="F77" s="211" t="str">
        <f>تسعير!$T$24</f>
        <v>الشيخ زايد</v>
      </c>
      <c r="G77" s="214"/>
      <c r="H77" s="247">
        <f>SUMIF(Table1731[Column1],Table161229[[#This Row],[موقع العمل]],$O$2:$O$26)</f>
        <v>400</v>
      </c>
      <c r="I77" s="247"/>
      <c r="J77" s="243">
        <f>Table161229[[#This Row],[Column12]]</f>
        <v>400</v>
      </c>
      <c r="K77" s="240">
        <f t="shared" si="14"/>
        <v>8800</v>
      </c>
      <c r="L77" s="241">
        <f t="shared" si="15"/>
        <v>0.05487797569845413</v>
      </c>
      <c r="N77" s="207"/>
      <c r="O77" s="207"/>
      <c r="P77" s="207"/>
      <c r="Q77" s="207"/>
      <c r="R77" s="207"/>
      <c r="S77" s="207"/>
      <c r="T77" s="207"/>
    </row>
    <row r="78" ht="18" s="216" customFormat="1">
      <c r="A78" s="211">
        <v>10</v>
      </c>
      <c r="B78" s="212">
        <f>((I73+I74+I75+I76)*2)-2</f>
        <v>12</v>
      </c>
      <c r="C78" s="220" t="s">
        <v>236</v>
      </c>
      <c r="D78" s="211"/>
      <c r="E78" s="211"/>
      <c r="F78" s="211" t="str">
        <f>تسعير!$T$24</f>
        <v>الشيخ زايد</v>
      </c>
      <c r="G78" s="214"/>
      <c r="H78" s="247">
        <f>SUMIF(Table1731[Column1],Table161229[[#This Row],[موقع العمل]],$P$2:$P$26)</f>
        <v>400</v>
      </c>
      <c r="I78" s="247"/>
      <c r="J78" s="243">
        <f>Table161229[[#This Row],[Column12]]</f>
        <v>400</v>
      </c>
      <c r="K78" s="240">
        <f t="shared" si="14"/>
        <v>4800</v>
      </c>
      <c r="L78" s="241">
        <f t="shared" si="15"/>
        <v>0.02993344129006589</v>
      </c>
      <c r="N78" s="207"/>
      <c r="O78" s="207"/>
      <c r="P78" s="207"/>
      <c r="Q78" s="207"/>
      <c r="R78" s="207"/>
      <c r="S78" s="207"/>
      <c r="T78" s="207"/>
    </row>
    <row r="79" ht="18" s="216" customFormat="1">
      <c r="A79" s="211">
        <v>11</v>
      </c>
      <c r="B79" s="212">
        <v>2</v>
      </c>
      <c r="C79" s="220" t="s">
        <v>237</v>
      </c>
      <c r="D79" s="211"/>
      <c r="E79" s="211"/>
      <c r="F79" s="211" t="str">
        <f>تسعير!$T$24</f>
        <v>الشيخ زايد</v>
      </c>
      <c r="G79" s="214"/>
      <c r="H79" s="247">
        <f>SUMIF(Table1731[Column1],Table161229[[#This Row],[موقع العمل]],$R$2:$R$26)</f>
        <v>3500</v>
      </c>
      <c r="I79" s="247"/>
      <c r="J79" s="243">
        <f>Table161229[[#This Row],[Column12]]</f>
        <v>3500</v>
      </c>
      <c r="K79" s="240">
        <f t="shared" si="14"/>
        <v>7000</v>
      </c>
      <c r="L79" s="241">
        <f t="shared" si="15"/>
        <v>0.043652935214679424</v>
      </c>
      <c r="N79" s="207"/>
      <c r="O79" s="207"/>
      <c r="P79" s="207"/>
      <c r="Q79" s="207"/>
      <c r="R79" s="207"/>
      <c r="S79" s="207"/>
      <c r="T79" s="207"/>
    </row>
    <row r="80" ht="18" s="216" customFormat="1">
      <c r="A80" s="211">
        <v>12</v>
      </c>
      <c r="B80" s="212">
        <v>1</v>
      </c>
      <c r="C80" s="220" t="s">
        <v>238</v>
      </c>
      <c r="D80" s="211"/>
      <c r="E80" s="211"/>
      <c r="F80" s="211" t="str">
        <f>تسعير!$T$24</f>
        <v>الشيخ زايد</v>
      </c>
      <c r="G80" s="214"/>
      <c r="H80" s="247">
        <f>SUMIF(Table1731[Column1],Table161229[[#This Row],[موقع العمل]],$S$2:$S$26)</f>
        <v>6000</v>
      </c>
      <c r="I80" s="247"/>
      <c r="J80" s="243">
        <f>Table161229[[#This Row],[Column12]]</f>
        <v>6000</v>
      </c>
      <c r="K80" s="240">
        <f t="shared" si="14"/>
        <v>6000</v>
      </c>
      <c r="L80" s="241">
        <f t="shared" si="15"/>
        <v>0.037416801612582359</v>
      </c>
      <c r="N80" s="207"/>
      <c r="O80" s="207"/>
      <c r="P80" s="207"/>
      <c r="Q80" s="207"/>
      <c r="R80" s="207"/>
      <c r="S80" s="207"/>
      <c r="T80" s="207"/>
    </row>
    <row r="81" ht="18" s="216" customFormat="1">
      <c r="A81" s="211">
        <v>13</v>
      </c>
      <c r="B81" s="212">
        <f>B78</f>
        <v>12</v>
      </c>
      <c r="C81" s="220" t="s">
        <v>108</v>
      </c>
      <c r="D81" s="211"/>
      <c r="E81" s="211"/>
      <c r="F81" s="211" t="str">
        <f>تسعير!$T$24</f>
        <v>الشيخ زايد</v>
      </c>
      <c r="G81" s="214"/>
      <c r="H81" s="247">
        <f>SUMIF(Table1731[Column1],Table161229[[#This Row],[موقع العمل]],$T$2:$T$26)</f>
        <v>150</v>
      </c>
      <c r="I81" s="247"/>
      <c r="J81" s="243">
        <f>Table161229[[#This Row],[Column12]]</f>
        <v>150</v>
      </c>
      <c r="K81" s="240">
        <f t="shared" si="14"/>
        <v>1800</v>
      </c>
      <c r="L81" s="241">
        <f t="shared" si="15"/>
        <v>0.011225040483774708</v>
      </c>
      <c r="N81" s="207"/>
      <c r="O81" s="207"/>
      <c r="P81" s="207"/>
      <c r="Q81" s="207"/>
      <c r="R81" s="207"/>
      <c r="S81" s="207"/>
      <c r="T81" s="207"/>
    </row>
    <row r="82" ht="18">
      <c r="A82" s="572" t="s">
        <v>92</v>
      </c>
      <c r="B82" s="571"/>
      <c r="C82" s="550" t="s">
        <v>92</v>
      </c>
      <c r="D82" s="572"/>
      <c r="E82" s="572"/>
      <c r="F82" s="573"/>
      <c r="G82" s="573"/>
      <c r="H82" s="574">
        <f>SUBTOTAL(109,Table161229[Column12])</f>
        <v>10450</v>
      </c>
      <c r="I82" s="572"/>
      <c r="J82" s="242"/>
      <c r="K82" s="575">
        <f>SUBTOTAL(109,Table161229[اجمالي])</f>
        <v>45940</v>
      </c>
      <c r="L82" s="576">
        <f>Table161229[[#Totals],[اجمالي]]/$G$85</f>
        <v>0.28648797768033896</v>
      </c>
    </row>
    <row r="83" ht="18">
      <c r="A83" s="216"/>
      <c r="B83" s="216"/>
      <c r="C83" s="217"/>
      <c r="D83" s="692"/>
      <c r="E83" s="692"/>
      <c r="F83" s="692"/>
      <c r="G83" s="692"/>
      <c r="H83" s="692"/>
      <c r="I83" s="692"/>
      <c r="J83" s="216"/>
      <c r="K83" s="216"/>
      <c r="L83" s="216"/>
    </row>
    <row r="84" ht="18">
      <c r="A84" s="211"/>
      <c r="B84" s="211"/>
      <c r="C84" s="218" t="s">
        <v>102</v>
      </c>
      <c r="D84" s="211" t="s">
        <v>239</v>
      </c>
      <c r="E84" s="211" t="s">
        <v>240</v>
      </c>
      <c r="F84" s="211" t="s">
        <v>184</v>
      </c>
      <c r="G84" s="211" t="s">
        <v>121</v>
      </c>
      <c r="H84" s="211"/>
      <c r="I84" s="211"/>
      <c r="J84" s="211"/>
      <c r="K84" s="245"/>
      <c r="L84" s="211"/>
    </row>
    <row r="85" ht="18">
      <c r="A85" s="211"/>
      <c r="B85" s="219"/>
      <c r="C85" s="213" t="s">
        <v>241</v>
      </c>
      <c r="D85" s="214"/>
      <c r="E85" s="211"/>
      <c r="F85" s="280"/>
      <c r="G85" s="281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160355.76910406863</v>
      </c>
      <c r="H85" s="211"/>
      <c r="I85" s="211"/>
      <c r="J85" s="243"/>
      <c r="K85" s="282"/>
      <c r="L85" s="283"/>
    </row>
    <row r="86" ht="18">
      <c r="A86" s="211"/>
      <c r="B86" s="212"/>
      <c r="C86" s="213" t="s">
        <v>242</v>
      </c>
      <c r="D86" s="214"/>
      <c r="E86" s="211"/>
      <c r="F86" s="310">
        <f>IF((F81="المقطم"),0.3,IF((F81="التجمع"),0.3,IF((F81="الشيخ زايد"),0.3,IF((F81="الاسكندرية"),0.5,IF((F75="الساحل"),0.5,0.35)))))</f>
        <v>0.3</v>
      </c>
      <c r="G86" s="281">
        <f>G85*(1+Table1832[[#This Row],[Column3]])</f>
        <v>208462.49983528923</v>
      </c>
      <c r="H86" s="211"/>
      <c r="I86" s="211"/>
      <c r="J86" s="243"/>
      <c r="K86" s="282"/>
      <c r="L86" s="283"/>
    </row>
    <row r="87" ht="18">
      <c r="A87" s="211"/>
      <c r="B87" s="219"/>
      <c r="H87" s="211"/>
      <c r="I87" s="211"/>
      <c r="J87" s="243"/>
      <c r="K87" s="282"/>
      <c r="L87" s="283"/>
    </row>
    <row r="88" ht="18">
      <c r="A88" s="211"/>
      <c r="B88" s="212"/>
      <c r="H88" s="211"/>
      <c r="I88" s="242"/>
      <c r="J88" s="243"/>
      <c r="K88" s="282"/>
      <c r="L88" s="283"/>
    </row>
    <row r="89" ht="18">
      <c r="A89" s="211"/>
      <c r="B89" s="219"/>
      <c r="H89" s="211"/>
      <c r="I89" s="242"/>
      <c r="J89" s="247"/>
      <c r="K89" s="282"/>
      <c r="L89" s="283"/>
    </row>
    <row r="90" ht="18">
      <c r="A90" s="211"/>
      <c r="B90" s="212"/>
      <c r="H90" s="211"/>
      <c r="I90" s="211"/>
      <c r="J90" s="242"/>
      <c r="K90" s="282"/>
      <c r="L90" s="216"/>
    </row>
  </sheetData>
  <sheetProtection selectLockedCells="1" selectUnlockedCells="1"/>
  <mergeCells>
    <mergeCell ref="D67:I67"/>
    <mergeCell ref="D83:I83"/>
    <mergeCell ref="A1:C2"/>
    <mergeCell ref="D29:I29"/>
    <mergeCell ref="D34:I34"/>
    <mergeCell ref="D52:I52"/>
    <mergeCell ref="D57:I57"/>
    <mergeCell ref="D63:I63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9:G81" xr:uid="{00000000-0002-0000-0300-000000000000}">
      <formula1>$U$4:$U$5</formula1>
    </dataValidation>
    <dataValidation type="list" allowBlank="1" showInputMessage="1" showErrorMessage="1" sqref="F73:F81" xr:uid="{00000000-0002-0000-0300-000001000000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5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2"/>
  <dimension ref="A1:BB179"/>
  <sheetViews>
    <sheetView rightToLeft="1" topLeftCell="A28" zoomScale="40" zoomScaleNormal="40" workbookViewId="0">
      <selection activeCell="O55" sqref="O55:O62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" customWidth="1" style="1"/>
    <col min="5" max="5" width="14.109375" customWidth="1" style="1"/>
    <col min="6" max="6" width="19.88671875" customWidth="1" style="1"/>
    <col min="7" max="7" width="5.5546875" customWidth="1" style="1"/>
    <col min="8" max="8" width="4.33203125" customWidth="1" style="1"/>
    <col min="9" max="9" width="4" customWidth="1" style="1"/>
    <col min="10" max="10" width="9.10937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40.33203125" customWidth="1" style="1"/>
    <col min="37" max="37" width="9.109375" customWidth="1" style="1"/>
    <col min="38" max="38" width="16.6640625" customWidth="1" style="1"/>
    <col min="39" max="39" width="17" customWidth="1" style="1"/>
    <col min="40" max="16384" width="9.109375" customWidth="1" style="1"/>
  </cols>
  <sheetData>
    <row r="1" ht="21">
      <c r="A1" s="382" t="s">
        <v>251</v>
      </c>
      <c r="B1" s="269">
        <f>(F1*D1)/10000</f>
        <v>12.5</v>
      </c>
      <c r="C1" s="270" t="s">
        <v>252</v>
      </c>
      <c r="D1" s="271">
        <f>تسعير!BA12</f>
        <v>500</v>
      </c>
      <c r="E1" s="270" t="s">
        <v>213</v>
      </c>
      <c r="F1" s="271">
        <f>تسعير!AV10</f>
        <v>250</v>
      </c>
      <c r="G1" s="167"/>
      <c r="H1" s="167"/>
      <c r="I1" s="167"/>
      <c r="J1" s="167"/>
      <c r="K1" s="167"/>
      <c r="L1" s="686" t="s">
        <v>93</v>
      </c>
      <c r="M1" s="687"/>
      <c r="N1" s="688"/>
      <c r="O1" s="201" t="s">
        <v>94</v>
      </c>
      <c r="P1" s="202" t="s">
        <v>95</v>
      </c>
      <c r="Q1" s="223" t="s">
        <v>96</v>
      </c>
      <c r="R1" s="224" t="s">
        <v>97</v>
      </c>
      <c r="S1" s="224" t="s">
        <v>98</v>
      </c>
      <c r="T1" s="224" t="s">
        <v>99</v>
      </c>
      <c r="U1" s="224" t="s">
        <v>100</v>
      </c>
      <c r="V1" s="392" t="s">
        <v>101</v>
      </c>
      <c r="W1" s="233"/>
      <c r="X1" s="207"/>
      <c r="Y1" s="207" t="s">
        <v>102</v>
      </c>
      <c r="Z1" s="207" t="s">
        <v>103</v>
      </c>
      <c r="AA1" s="207" t="s">
        <v>104</v>
      </c>
      <c r="AB1" s="207" t="s">
        <v>105</v>
      </c>
      <c r="AC1" s="207" t="s">
        <v>106</v>
      </c>
      <c r="AD1" s="207" t="s">
        <v>107</v>
      </c>
      <c r="AE1" s="207" t="s">
        <v>108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83" t="s">
        <v>253</v>
      </c>
      <c r="B2" s="187" t="s">
        <v>254</v>
      </c>
      <c r="C2" s="187" t="s">
        <v>255</v>
      </c>
      <c r="D2" s="187" t="s">
        <v>162</v>
      </c>
      <c r="E2" s="187" t="s">
        <v>256</v>
      </c>
      <c r="F2" s="187" t="s">
        <v>241</v>
      </c>
      <c r="G2" s="1" t="s">
        <v>102</v>
      </c>
      <c r="H2" s="1" t="s">
        <v>121</v>
      </c>
      <c r="I2" s="1" t="s">
        <v>184</v>
      </c>
      <c r="J2" s="1" t="s">
        <v>119</v>
      </c>
      <c r="L2" s="689"/>
      <c r="M2" s="690"/>
      <c r="N2" s="69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50000</v>
      </c>
      <c r="U2" s="232">
        <f>Sheet2!B14</f>
        <v>202000</v>
      </c>
      <c r="V2" s="232">
        <f>Sheet2!B15</f>
        <v>70000</v>
      </c>
      <c r="W2" s="233"/>
      <c r="X2" s="207"/>
      <c r="Y2" s="216" t="s">
        <v>109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257</v>
      </c>
      <c r="B3" s="187">
        <f>MAX(G3:I3)</f>
        <v>5</v>
      </c>
      <c r="C3" s="187">
        <v>2.25</v>
      </c>
      <c r="D3" s="187">
        <f>IF((تسعير!$AT$6="سادة"),((wavy1!$U$2+(Sheet2!B41*1000))/1000),IF((تسعير!$AT$6="خشبي"),((wavy1!$U$2+wavy1!$V$2)/1000),0))</f>
        <v>227</v>
      </c>
      <c r="E3" s="187">
        <v>2</v>
      </c>
      <c r="F3" s="384">
        <f>B3*C3*D3*E3</f>
        <v>5107.5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682" t="s">
        <v>110</v>
      </c>
      <c r="M3" s="683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111</v>
      </c>
      <c r="R3" s="684">
        <f>NOW()</f>
        <v>46060.582549444443</v>
      </c>
      <c r="S3" s="685"/>
      <c r="T3" s="685"/>
      <c r="U3" s="235"/>
      <c r="V3" s="235"/>
      <c r="W3" s="235"/>
      <c r="X3" s="207"/>
      <c r="Y3" s="216" t="s">
        <v>112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" s="187" customFormat="1">
      <c r="A4" s="187" t="s">
        <v>258</v>
      </c>
      <c r="B4" s="187">
        <f>MAX(G4:J4)</f>
        <v>2.5</v>
      </c>
      <c r="C4" s="187">
        <v>0.56</v>
      </c>
      <c r="D4" s="187">
        <f>IF((تسعير!$AT$6="سادة"),((wavy1!$U$2+(Sheet2!B41*1000))/1000),IF((تسعير!$AT$6="خشبي"),((wavy1!$U$2+wavy1!$V$2)/1000),0))</f>
        <v>227</v>
      </c>
      <c r="E4" s="187">
        <f>CEILING(D1/60,1)+1</f>
        <v>10</v>
      </c>
      <c r="F4" s="384">
        <f>B4*C4*D4*E4</f>
        <v>3178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681" t="s">
        <v>113</v>
      </c>
      <c r="P4" s="681"/>
      <c r="Q4" s="681"/>
      <c r="R4" s="681"/>
      <c r="S4" s="681"/>
      <c r="T4" s="681"/>
      <c r="U4" s="236"/>
      <c r="V4" s="236"/>
      <c r="W4" s="236"/>
      <c r="X4" s="207"/>
      <c r="Y4" s="216" t="s">
        <v>114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115</v>
      </c>
      <c r="AG4" s="207"/>
      <c r="AH4" s="207"/>
      <c r="AI4" s="207"/>
      <c r="AJ4" s="207" t="s">
        <v>116</v>
      </c>
      <c r="AK4" s="207" t="s">
        <v>117</v>
      </c>
      <c r="AL4" s="207" t="s">
        <v>118</v>
      </c>
      <c r="AM4" s="207" t="s">
        <v>119</v>
      </c>
      <c r="AN4" s="207"/>
      <c r="AO4" s="207" t="s">
        <v>102</v>
      </c>
      <c r="AP4" s="207" t="s">
        <v>121</v>
      </c>
      <c r="AQ4" s="207" t="s">
        <v>184</v>
      </c>
      <c r="AR4" s="207" t="s">
        <v>119</v>
      </c>
      <c r="AS4" s="207" t="s">
        <v>259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" s="187" customFormat="1">
      <c r="A5" s="187" t="s">
        <v>260</v>
      </c>
      <c r="B5" s="187">
        <f>B3*3</f>
        <v>15</v>
      </c>
      <c r="D5" s="187">
        <v>50</v>
      </c>
      <c r="E5" s="187">
        <v>2</v>
      </c>
      <c r="F5" s="384">
        <f>B5*D5*E5</f>
        <v>1500</v>
      </c>
      <c r="G5" s="195"/>
      <c r="H5" s="195"/>
      <c r="I5" s="195"/>
      <c r="J5" s="195"/>
      <c r="L5" s="208" t="s">
        <v>19</v>
      </c>
      <c r="M5" s="208" t="s">
        <v>32</v>
      </c>
      <c r="N5" s="210" t="s">
        <v>120</v>
      </c>
      <c r="O5" s="208" t="s">
        <v>121</v>
      </c>
      <c r="P5" s="208" t="s">
        <v>102</v>
      </c>
      <c r="Q5" s="208" t="s">
        <v>122</v>
      </c>
      <c r="R5" s="237" t="s">
        <v>21</v>
      </c>
      <c r="S5" s="237" t="s">
        <v>12</v>
      </c>
      <c r="T5" s="237" t="s">
        <v>162</v>
      </c>
      <c r="U5" s="237" t="s">
        <v>124</v>
      </c>
      <c r="V5" s="238" t="s">
        <v>125</v>
      </c>
      <c r="W5" s="237" t="s">
        <v>126</v>
      </c>
      <c r="X5" s="207"/>
      <c r="Y5" s="216" t="s">
        <v>127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128</v>
      </c>
      <c r="AG5" s="207"/>
      <c r="AH5" s="207"/>
      <c r="AI5" s="207"/>
      <c r="AJ5" s="233" t="s">
        <v>129</v>
      </c>
      <c r="AK5" s="233">
        <v>0.4</v>
      </c>
      <c r="AL5" s="237" t="s">
        <v>130</v>
      </c>
      <c r="AM5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5" s="207"/>
      <c r="AO5" s="207" t="s">
        <v>261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" s="187" customFormat="1">
      <c r="A6" s="187" t="s">
        <v>262</v>
      </c>
      <c r="B6" s="187">
        <f>E4*2</f>
        <v>20</v>
      </c>
      <c r="D6" s="187">
        <v>15</v>
      </c>
      <c r="F6" s="384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131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132</v>
      </c>
      <c r="S6" s="211">
        <v>8.5</v>
      </c>
      <c r="T6" s="211">
        <f>Table158[[#This Row],[المسطح]]*Table158[[#This Row],[عدد]]</f>
        <v>6.48</v>
      </c>
      <c r="U6" s="243">
        <f>S6*$S$2/1000</f>
        <v>382.5</v>
      </c>
      <c r="V6" s="240">
        <f>M6*U6</f>
        <v>1147.5</v>
      </c>
      <c r="W6" s="241">
        <f>(V6)/$R$71</f>
        <v>0.014112762303161813</v>
      </c>
      <c r="X6" s="216"/>
      <c r="Y6" s="216" t="s">
        <v>133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134</v>
      </c>
      <c r="AK6" s="216">
        <v>0.25</v>
      </c>
      <c r="AL6" s="216" t="s">
        <v>135</v>
      </c>
      <c r="AM6" s="216">
        <f>AM5*Table663[[#This Row],[المعدل]]+4</f>
        <v>4.55</v>
      </c>
      <c r="AN6" s="216"/>
      <c r="AO6" s="216" t="s">
        <v>263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" s="187" customFormat="1">
      <c r="A7" s="187" t="s">
        <v>264</v>
      </c>
      <c r="B7" s="187">
        <f>(((D1/(E4-1)+10)*(E4-1))*F1)/10000</f>
        <v>14.75</v>
      </c>
      <c r="D7" s="187">
        <f>Sheet2!B16</f>
        <v>950</v>
      </c>
      <c r="F7" s="384">
        <f t="shared" si="0"/>
        <v>14012.5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244</v>
      </c>
      <c r="O7" s="391">
        <v>0.1</v>
      </c>
      <c r="P7" s="391">
        <v>0.05</v>
      </c>
      <c r="Q7" s="216">
        <f>(Table158[[#This Row],[Column1]]+Table158[[#This Row],[Column2]])*12*Table158[[#This Row],[عدد]]</f>
        <v>4.5000000000000009</v>
      </c>
      <c r="R7" s="211" t="s">
        <v>132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1282.5</v>
      </c>
      <c r="V7" s="240">
        <f>M7*U7</f>
        <v>3206.25</v>
      </c>
      <c r="W7" s="241">
        <f>(V7)/$R$71</f>
        <v>0.039432718200010944</v>
      </c>
      <c r="X7" s="216"/>
      <c r="Y7" s="216" t="s">
        <v>137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138</v>
      </c>
      <c r="AK7" s="216">
        <v>0.25</v>
      </c>
      <c r="AL7" s="211" t="s">
        <v>139</v>
      </c>
      <c r="AM7" s="216">
        <f>IF((تسعير!AT5="A"),IF(((Table158[[#Totals],[المسطح]]+Table1662[[#Totals],[Column12]])&gt;0),(Table158[[#Totals],[المسطح]]+Table1662[[#Totals],[Column12]]+1)*Table663[[#This Row],[المعدل]]),0)</f>
        <v>1.9150000000000003</v>
      </c>
      <c r="AN7" s="216"/>
      <c r="AO7" s="216" t="s">
        <v>265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" s="187" customFormat="1">
      <c r="A8" s="187" t="s">
        <v>266</v>
      </c>
      <c r="B8" s="187">
        <f>MAX(G8:H8)</f>
        <v>3</v>
      </c>
      <c r="D8" s="187">
        <v>320</v>
      </c>
      <c r="F8" s="384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92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4353.75</v>
      </c>
      <c r="W8" s="244">
        <f>Table158[[#Totals],[اجمالي]]/$R$71</f>
        <v>0.05354548050317276</v>
      </c>
      <c r="X8" s="216"/>
      <c r="Y8" s="216" t="s">
        <v>141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142</v>
      </c>
      <c r="AK8" s="216">
        <v>0.4</v>
      </c>
      <c r="AL8" s="211" t="s">
        <v>139</v>
      </c>
      <c r="AM8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8" s="216"/>
      <c r="AO8" s="216" t="s">
        <v>267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" s="187" customFormat="1">
      <c r="A9" s="187" t="s">
        <v>268</v>
      </c>
      <c r="B9" s="187">
        <v>2</v>
      </c>
      <c r="D9" s="187">
        <v>50</v>
      </c>
      <c r="F9" s="384">
        <f t="shared" si="0"/>
        <v>100</v>
      </c>
      <c r="G9" s="195"/>
      <c r="H9" s="195"/>
      <c r="I9" s="195"/>
      <c r="J9" s="195"/>
      <c r="L9" s="216"/>
      <c r="M9" s="216"/>
      <c r="N9" s="217"/>
      <c r="O9" s="681" t="s">
        <v>160</v>
      </c>
      <c r="P9" s="681"/>
      <c r="Q9" s="681"/>
      <c r="R9" s="681"/>
      <c r="S9" s="681"/>
      <c r="T9" s="681"/>
      <c r="U9" s="216"/>
      <c r="V9" s="216"/>
      <c r="W9" s="216"/>
      <c r="X9" s="216"/>
      <c r="Y9" s="216" t="s">
        <v>143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144</v>
      </c>
      <c r="AK9" s="216"/>
      <c r="AL9" s="216" t="s">
        <v>145</v>
      </c>
      <c r="AM9" s="216"/>
      <c r="AN9" s="216"/>
      <c r="AO9" s="216" t="s">
        <v>269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" s="187" customFormat="1">
      <c r="A10" s="187" t="s">
        <v>270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19</v>
      </c>
      <c r="M10" s="211" t="s">
        <v>32</v>
      </c>
      <c r="N10" s="218" t="s">
        <v>120</v>
      </c>
      <c r="O10" s="211" t="s">
        <v>121</v>
      </c>
      <c r="P10" s="211" t="s">
        <v>102</v>
      </c>
      <c r="Q10" s="211" t="s">
        <v>149</v>
      </c>
      <c r="R10" s="211" t="s">
        <v>21</v>
      </c>
      <c r="S10" s="211" t="s">
        <v>12</v>
      </c>
      <c r="T10" s="211" t="s">
        <v>162</v>
      </c>
      <c r="U10" s="211" t="s">
        <v>124</v>
      </c>
      <c r="V10" s="245" t="s">
        <v>125</v>
      </c>
      <c r="W10" s="211" t="s">
        <v>126</v>
      </c>
      <c r="X10" s="216"/>
      <c r="Y10" s="216" t="s">
        <v>147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201</v>
      </c>
      <c r="AK10" s="216">
        <v>0.6</v>
      </c>
      <c r="AL10" s="216"/>
      <c r="AM10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0" s="216"/>
      <c r="AO10" s="216" t="s">
        <v>271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" s="187" customFormat="1">
      <c r="A11" s="187" t="s">
        <v>272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164</v>
      </c>
      <c r="O11" s="214"/>
      <c r="P11" s="214"/>
      <c r="Q11" s="214"/>
      <c r="R11" s="211" t="s">
        <v>165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0.0049194814128668629</v>
      </c>
      <c r="X11" s="216"/>
      <c r="Y11" s="216" t="s">
        <v>150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203</v>
      </c>
      <c r="AK11" s="216">
        <v>0.6</v>
      </c>
      <c r="AL11" s="216"/>
      <c r="AM11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1" s="216"/>
      <c r="AO11" s="216" t="s">
        <v>273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" s="187" customFormat="1">
      <c r="A12" s="187" t="s">
        <v>274</v>
      </c>
      <c r="B12" s="187">
        <f>IF((تسعير!AT9=wavy1!A20),0,1)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170</v>
      </c>
      <c r="O12" s="214"/>
      <c r="P12" s="214"/>
      <c r="Q12" s="214"/>
      <c r="R12" s="211" t="s">
        <v>32</v>
      </c>
      <c r="S12" s="211"/>
      <c r="T12" s="242"/>
      <c r="U12" s="246">
        <v>110</v>
      </c>
      <c r="V12" s="240">
        <f t="shared" si="1"/>
        <v>220</v>
      </c>
      <c r="W12" s="241">
        <f t="shared" si="2" ca="1"/>
        <v>0.0027057147770767746</v>
      </c>
      <c r="X12" s="216"/>
      <c r="Y12" s="216" t="s">
        <v>154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155</v>
      </c>
      <c r="AK12" s="216">
        <v>0.1</v>
      </c>
      <c r="AL12" s="216"/>
      <c r="AM12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2" s="216"/>
      <c r="AO12" s="216" t="s">
        <v>275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" s="187" customFormat="1">
      <c r="A13" s="187" t="s">
        <v>276</v>
      </c>
      <c r="B13" s="187">
        <f>E4*2</f>
        <v>20</v>
      </c>
      <c r="D13" s="187">
        <v>10</v>
      </c>
      <c r="F13" s="384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172</v>
      </c>
      <c r="O13" s="214"/>
      <c r="P13" s="214"/>
      <c r="Q13" s="214"/>
      <c r="R13" s="211" t="s">
        <v>32</v>
      </c>
      <c r="S13" s="211"/>
      <c r="T13" s="242"/>
      <c r="U13" s="246">
        <v>130</v>
      </c>
      <c r="V13" s="240">
        <f t="shared" si="1"/>
        <v>130</v>
      </c>
      <c r="W13" s="241">
        <f t="shared" si="2" ca="1"/>
        <v>0.0015988314591817304</v>
      </c>
      <c r="X13" s="216"/>
      <c r="Y13" s="216" t="s">
        <v>157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158</v>
      </c>
      <c r="AK13" s="216">
        <v>0.1</v>
      </c>
      <c r="AL13" s="216"/>
      <c r="AM13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" s="187" customFormat="1">
      <c r="A14" s="195" t="s">
        <v>277</v>
      </c>
      <c r="B14" s="195">
        <f>IF((تسعير!AT9=wavy1!A20),1,0)</f>
        <v>1</v>
      </c>
      <c r="C14" s="195"/>
      <c r="D14" s="195">
        <f>Sheet2!B56</f>
        <v>6000</v>
      </c>
      <c r="E14" s="195"/>
      <c r="F14" s="384">
        <f t="shared" si="0"/>
        <v>6000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174</v>
      </c>
      <c r="O14" s="214"/>
      <c r="P14" s="214"/>
      <c r="Q14" s="214"/>
      <c r="R14" s="247" t="s">
        <v>175</v>
      </c>
      <c r="S14" s="247"/>
      <c r="T14" s="242"/>
      <c r="U14" s="246">
        <v>50</v>
      </c>
      <c r="V14" s="240">
        <f t="shared" si="1"/>
        <v>200</v>
      </c>
      <c r="W14" s="241">
        <f t="shared" si="2" ca="1"/>
        <v>0.0024597407064334315</v>
      </c>
      <c r="X14" s="216"/>
      <c r="Y14" s="216" t="s">
        <v>159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" s="187" customFormat="1">
      <c r="A15" s="386" t="s">
        <v>92</v>
      </c>
      <c r="B15" s="386"/>
      <c r="C15" s="386"/>
      <c r="D15" s="386"/>
      <c r="E15" s="386">
        <f>Table8[[#Totals],[اجمالي التكلفة]]/B1</f>
        <v>2547.04</v>
      </c>
      <c r="F15" s="387">
        <f>SUBTOTAL(109,Table8[اجمالي التكلفة])</f>
        <v>31838</v>
      </c>
      <c r="G15" s="386"/>
      <c r="H15" s="386"/>
      <c r="I15" s="386"/>
      <c r="J15" s="386"/>
      <c r="L15" s="211">
        <v>5</v>
      </c>
      <c r="M15" s="212"/>
      <c r="N15" s="213" t="s">
        <v>278</v>
      </c>
      <c r="O15" s="214"/>
      <c r="P15" s="214"/>
      <c r="Q15" s="214"/>
      <c r="R15" s="393" t="s">
        <v>279</v>
      </c>
      <c r="S15" s="250"/>
      <c r="T15" s="393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161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280</v>
      </c>
      <c r="O16" s="214"/>
      <c r="P16" s="214"/>
      <c r="Q16" s="214"/>
      <c r="R16" s="211" t="s">
        <v>281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163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" s="187" customFormat="1">
      <c r="B17" s="195"/>
      <c r="C17" s="195"/>
      <c r="D17" s="195"/>
      <c r="E17" s="195"/>
      <c r="F17" s="385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181</v>
      </c>
      <c r="O17" s="214"/>
      <c r="P17" s="214"/>
      <c r="Q17" s="214"/>
      <c r="R17" s="211" t="s">
        <v>175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0.029516888477201176</v>
      </c>
      <c r="X17" s="216"/>
      <c r="Y17" s="216" t="s">
        <v>166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" s="187" customFormat="1">
      <c r="F18" s="384"/>
      <c r="G18" s="195"/>
      <c r="H18" s="195"/>
      <c r="I18" s="195"/>
      <c r="J18" s="195"/>
      <c r="L18" s="211" t="s">
        <v>92</v>
      </c>
      <c r="M18" s="212"/>
      <c r="N18" s="213" t="s">
        <v>92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3350</v>
      </c>
      <c r="W18" s="244">
        <f>Table1561[[#Totals],[اجمالي]]/$R$71</f>
        <v>0.041200656832759974</v>
      </c>
      <c r="X18" s="216"/>
      <c r="Y18" s="216" t="s">
        <v>169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">
      <c r="A19" s="388" t="s">
        <v>282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681" t="s">
        <v>183</v>
      </c>
      <c r="P19" s="681"/>
      <c r="Q19" s="681"/>
      <c r="R19" s="681"/>
      <c r="S19" s="681"/>
      <c r="T19" s="681"/>
      <c r="U19" s="216"/>
      <c r="V19" s="216"/>
      <c r="W19" s="216"/>
      <c r="X19" s="216"/>
      <c r="Y19" s="216" t="s">
        <v>171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">
      <c r="A20" s="384" t="s">
        <v>277</v>
      </c>
      <c r="B20" s="389"/>
      <c r="C20" s="389"/>
      <c r="D20" s="389"/>
      <c r="E20" s="389"/>
      <c r="F20" s="389"/>
      <c r="L20" s="211" t="s">
        <v>19</v>
      </c>
      <c r="M20" s="211" t="s">
        <v>32</v>
      </c>
      <c r="N20" s="218" t="s">
        <v>120</v>
      </c>
      <c r="O20" s="211" t="s">
        <v>121</v>
      </c>
      <c r="P20" s="211" t="s">
        <v>102</v>
      </c>
      <c r="Q20" s="211" t="s">
        <v>149</v>
      </c>
      <c r="R20" s="211" t="s">
        <v>21</v>
      </c>
      <c r="S20" s="211" t="s">
        <v>12</v>
      </c>
      <c r="T20" s="211" t="s">
        <v>162</v>
      </c>
      <c r="U20" s="211" t="s">
        <v>124</v>
      </c>
      <c r="V20" s="245" t="s">
        <v>125</v>
      </c>
      <c r="W20" s="211" t="s">
        <v>126</v>
      </c>
      <c r="X20" s="216"/>
      <c r="Y20" s="216" t="s">
        <v>173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">
      <c r="A21" s="390"/>
      <c r="L21" s="211">
        <v>3</v>
      </c>
      <c r="M21" s="219">
        <f>IF((N3="A1"),2,IF((N3="A2"),2,0))</f>
        <v>0</v>
      </c>
      <c r="N21" s="220" t="s">
        <v>283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168</v>
      </c>
      <c r="S21" s="250">
        <v>7</v>
      </c>
      <c r="T21" s="211"/>
      <c r="U21" s="243">
        <f>S21*$S$2/1000</f>
        <v>315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">
      <c r="L22" s="211">
        <v>8</v>
      </c>
      <c r="M22" s="212">
        <f>M21*4</f>
        <v>0</v>
      </c>
      <c r="N22" s="213" t="s">
        <v>186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168</v>
      </c>
      <c r="S22" s="211">
        <v>0.75</v>
      </c>
      <c r="T22" s="211"/>
      <c r="U22" s="243">
        <f>S22*$S$2/1000</f>
        <v>33.75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">
      <c r="L23" s="211" t="s">
        <v>92</v>
      </c>
      <c r="M23" s="212">
        <f>SUBTOTAL(103,Table1662[عدد])</f>
        <v>2</v>
      </c>
      <c r="N23" s="213" t="s">
        <v>92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">
      <c r="L24" s="216"/>
      <c r="M24" s="216"/>
      <c r="N24" s="217"/>
      <c r="O24" s="681" t="s">
        <v>187</v>
      </c>
      <c r="P24" s="681"/>
      <c r="Q24" s="681"/>
      <c r="R24" s="681"/>
      <c r="S24" s="681"/>
      <c r="T24" s="681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">
      <c r="L25" s="211" t="s">
        <v>19</v>
      </c>
      <c r="M25" s="211" t="s">
        <v>32</v>
      </c>
      <c r="N25" s="218" t="s">
        <v>120</v>
      </c>
      <c r="O25" s="211" t="s">
        <v>121</v>
      </c>
      <c r="P25" s="211" t="s">
        <v>102</v>
      </c>
      <c r="Q25" s="211" t="s">
        <v>149</v>
      </c>
      <c r="R25" s="211" t="s">
        <v>21</v>
      </c>
      <c r="S25" s="211" t="s">
        <v>12</v>
      </c>
      <c r="T25" s="211" t="s">
        <v>162</v>
      </c>
      <c r="U25" s="211" t="s">
        <v>124</v>
      </c>
      <c r="V25" s="245" t="s">
        <v>125</v>
      </c>
      <c r="W25" s="211" t="s">
        <v>126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">
      <c r="L26" s="211">
        <v>3</v>
      </c>
      <c r="M26" s="222">
        <f>AM7/3</f>
        <v>0.63833333333333342</v>
      </c>
      <c r="N26" s="213" t="s">
        <v>195</v>
      </c>
      <c r="O26" s="214"/>
      <c r="P26" s="214"/>
      <c r="Q26" s="214"/>
      <c r="R26" s="211" t="s">
        <v>196</v>
      </c>
      <c r="S26" s="211"/>
      <c r="T26" s="211"/>
      <c r="U26" s="248">
        <f>Sheet2!B24</f>
        <v>400</v>
      </c>
      <c r="V26" s="240">
        <f ref="V26:V34" t="shared" si="3">M26*U26</f>
        <v>255.33333333333337</v>
      </c>
      <c r="W26" s="241">
        <f ref="W26:W44" t="shared" si="4" ca="1">(V26)/$R$71</f>
        <v>0.0031402689685466811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">
      <c r="L27" s="211">
        <v>4</v>
      </c>
      <c r="M27" s="219">
        <v>3</v>
      </c>
      <c r="N27" s="218" t="s">
        <v>188</v>
      </c>
      <c r="O27" s="211"/>
      <c r="P27" s="211"/>
      <c r="Q27" s="211"/>
      <c r="R27" s="211" t="s">
        <v>189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0.00055344165894752209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">
      <c r="L28" s="211">
        <v>5</v>
      </c>
      <c r="M28" s="212">
        <v>3</v>
      </c>
      <c r="N28" s="218" t="s">
        <v>190</v>
      </c>
      <c r="O28" s="211"/>
      <c r="P28" s="211"/>
      <c r="Q28" s="211"/>
      <c r="R28" s="211" t="s">
        <v>189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0.00055344165894752209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">
      <c r="L29" s="211">
        <v>6</v>
      </c>
      <c r="M29" s="219">
        <v>1</v>
      </c>
      <c r="N29" s="213" t="s">
        <v>191</v>
      </c>
      <c r="O29" s="214"/>
      <c r="P29" s="214"/>
      <c r="Q29" s="214"/>
      <c r="R29" s="211" t="s">
        <v>192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0.00030746758830417893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">
      <c r="L30" s="211">
        <v>7</v>
      </c>
      <c r="M30" s="212">
        <v>1</v>
      </c>
      <c r="N30" s="213" t="s">
        <v>193</v>
      </c>
      <c r="O30" s="214"/>
      <c r="P30" s="214"/>
      <c r="Q30" s="214"/>
      <c r="R30" s="211" t="s">
        <v>192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0.0018448055298250735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">
      <c r="L31" s="211">
        <v>8</v>
      </c>
      <c r="M31" s="219">
        <v>2</v>
      </c>
      <c r="N31" s="213" t="s">
        <v>194</v>
      </c>
      <c r="O31" s="214"/>
      <c r="P31" s="214"/>
      <c r="Q31" s="214"/>
      <c r="R31" s="211" t="s">
        <v>168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0.00098389628257337263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">
      <c r="L32" s="211">
        <v>2</v>
      </c>
      <c r="M32" s="222">
        <f>AM6/1.9</f>
        <v>2.3947368421052633</v>
      </c>
      <c r="N32" s="213" t="s">
        <v>134</v>
      </c>
      <c r="O32" s="214"/>
      <c r="P32" s="214"/>
      <c r="Q32" s="214"/>
      <c r="R32" s="211" t="s">
        <v>197</v>
      </c>
      <c r="S32" s="211"/>
      <c r="T32" s="211"/>
      <c r="U32" s="248">
        <f>Sheet2!B25</f>
        <v>95</v>
      </c>
      <c r="V32" s="240">
        <f t="shared" si="3"/>
        <v>227.5</v>
      </c>
      <c r="W32" s="241">
        <f t="shared" si="4" ca="1"/>
        <v>0.002797955053568028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">
      <c r="L33" s="211">
        <v>1</v>
      </c>
      <c r="M33" s="222">
        <f>AM5</f>
        <v>2.2000000000000006</v>
      </c>
      <c r="N33" s="213" t="s">
        <v>198</v>
      </c>
      <c r="O33" s="214"/>
      <c r="P33" s="214"/>
      <c r="Q33" s="214"/>
      <c r="R33" s="211" t="s">
        <v>168</v>
      </c>
      <c r="S33" s="211"/>
      <c r="T33" s="211"/>
      <c r="U33" s="248">
        <f>Sheet2!B26</f>
        <v>220</v>
      </c>
      <c r="V33" s="240">
        <f t="shared" si="3"/>
        <v>484.00000000000011</v>
      </c>
      <c r="W33" s="241">
        <f t="shared" si="4" ca="1"/>
        <v>0.005952572509568905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">
      <c r="L34" s="211">
        <v>9</v>
      </c>
      <c r="M34" s="222">
        <f>AM8</f>
        <v>2.2000000000000006</v>
      </c>
      <c r="N34" s="213" t="s">
        <v>199</v>
      </c>
      <c r="O34" s="214"/>
      <c r="P34" s="214"/>
      <c r="Q34" s="214"/>
      <c r="R34" s="211" t="s">
        <v>168</v>
      </c>
      <c r="S34" s="211"/>
      <c r="T34" s="211"/>
      <c r="U34" s="248">
        <f>Sheet2!B27</f>
        <v>510</v>
      </c>
      <c r="V34" s="240">
        <f t="shared" si="3"/>
        <v>1122.0000000000002</v>
      </c>
      <c r="W34" s="241">
        <f t="shared" si="4" ca="1"/>
        <v>0.013799145363091552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">
      <c r="L40" s="211"/>
      <c r="M40" s="212">
        <f>IF((تسعير!AT5="جلفنة و جوتن"),(Table158[[#Totals],[الوزن]]+Table1662[[#Totals],[الوزن]]),0)</f>
        <v>0</v>
      </c>
      <c r="N40" s="213" t="s">
        <v>200</v>
      </c>
      <c r="O40" s="214"/>
      <c r="P40" s="214"/>
      <c r="Q40" s="214"/>
      <c r="R40" s="211"/>
      <c r="S40" s="211"/>
      <c r="T40" s="211"/>
      <c r="U40" s="248">
        <v>30</v>
      </c>
      <c r="V40" s="240">
        <f t="shared" si="5"/>
        <v>0</v>
      </c>
      <c r="W40" s="251">
        <f t="shared" si="4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41" s="213" t="s">
        <v>201</v>
      </c>
      <c r="O41" s="214"/>
      <c r="P41" s="214"/>
      <c r="Q41" s="214"/>
      <c r="R41" s="211" t="s">
        <v>202</v>
      </c>
      <c r="S41" s="211"/>
      <c r="T41" s="211"/>
      <c r="U41" s="248">
        <f>Sheet2!B18</f>
        <v>360</v>
      </c>
      <c r="V41" s="240">
        <f t="shared" si="5"/>
        <v>0</v>
      </c>
      <c r="W41" s="251">
        <f t="shared" si="4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2" s="218" t="s">
        <v>203</v>
      </c>
      <c r="O42" s="214"/>
      <c r="P42" s="214"/>
      <c r="Q42" s="214"/>
      <c r="R42" s="218" t="s">
        <v>204</v>
      </c>
      <c r="S42" s="211"/>
      <c r="T42" s="211"/>
      <c r="U42" s="248">
        <f>Sheet2!B20</f>
        <v>435</v>
      </c>
      <c r="V42" s="240">
        <f t="shared" si="5"/>
        <v>0</v>
      </c>
      <c r="W42" s="251">
        <f t="shared" si="4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3" s="218" t="s">
        <v>155</v>
      </c>
      <c r="O43" s="214"/>
      <c r="P43" s="214"/>
      <c r="Q43" s="214"/>
      <c r="R43" s="218" t="s">
        <v>205</v>
      </c>
      <c r="S43" s="211"/>
      <c r="T43" s="211"/>
      <c r="U43" s="248">
        <f>Sheet2!B22</f>
        <v>190</v>
      </c>
      <c r="V43" s="240">
        <f t="shared" si="5"/>
        <v>0</v>
      </c>
      <c r="W43" s="251">
        <f t="shared" si="4" ca="1"/>
        <v>0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4" s="218" t="s">
        <v>158</v>
      </c>
      <c r="O44" s="214"/>
      <c r="P44" s="214"/>
      <c r="Q44" s="214"/>
      <c r="R44" s="218" t="s">
        <v>205</v>
      </c>
      <c r="S44" s="211"/>
      <c r="T44" s="211"/>
      <c r="U44" s="248">
        <f>Sheet2!B23</f>
        <v>190</v>
      </c>
      <c r="V44" s="240">
        <f t="shared" si="5"/>
        <v>0</v>
      </c>
      <c r="W44" s="251">
        <f t="shared" si="4" ca="1"/>
        <v>0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">
      <c r="L45" s="211" t="s">
        <v>92</v>
      </c>
      <c r="M45" s="212"/>
      <c r="N45" s="213" t="s">
        <v>92</v>
      </c>
      <c r="O45" s="214"/>
      <c r="P45" s="214"/>
      <c r="Q45" s="214"/>
      <c r="R45" s="211" t="s">
        <v>206</v>
      </c>
      <c r="S45" s="211"/>
      <c r="T45" s="211"/>
      <c r="U45" s="242"/>
      <c r="V45" s="240">
        <f>SUBTOTAL(109,Table1359[اجمالي])</f>
        <v>2433.8333333333339</v>
      </c>
      <c r="W45" s="244">
        <f>Table1359[[#Totals],[اجمالي]]/$R$71</f>
        <v>0.02993299461337284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">
      <c r="L47" s="216"/>
      <c r="M47" s="216"/>
      <c r="N47" s="217"/>
      <c r="O47" s="681" t="s">
        <v>250</v>
      </c>
      <c r="P47" s="681"/>
      <c r="Q47" s="681"/>
      <c r="R47" s="681"/>
      <c r="S47" s="681"/>
      <c r="T47" s="681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">
      <c r="L48" s="211" t="s">
        <v>19</v>
      </c>
      <c r="M48" s="211" t="s">
        <v>32</v>
      </c>
      <c r="N48" s="218" t="s">
        <v>120</v>
      </c>
      <c r="O48" s="211" t="s">
        <v>121</v>
      </c>
      <c r="P48" s="211" t="s">
        <v>102</v>
      </c>
      <c r="Q48" s="211" t="s">
        <v>149</v>
      </c>
      <c r="R48" s="211" t="s">
        <v>21</v>
      </c>
      <c r="S48" s="211" t="s">
        <v>12</v>
      </c>
      <c r="T48" s="211" t="s">
        <v>162</v>
      </c>
      <c r="U48" s="211" t="s">
        <v>124</v>
      </c>
      <c r="V48" s="245" t="s">
        <v>125</v>
      </c>
      <c r="W48" s="211" t="s">
        <v>126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">
      <c r="L49" s="211">
        <v>1</v>
      </c>
      <c r="M49" s="219">
        <v>0</v>
      </c>
      <c r="N49" s="214" t="s">
        <v>284</v>
      </c>
      <c r="O49" s="214"/>
      <c r="P49" s="211"/>
      <c r="Q49" s="216"/>
      <c r="R49" s="247" t="s">
        <v>285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">
      <c r="L50" s="211">
        <v>5</v>
      </c>
      <c r="M50" s="219">
        <v>1</v>
      </c>
      <c r="N50" s="213" t="s">
        <v>286</v>
      </c>
      <c r="O50" s="214"/>
      <c r="P50" s="211"/>
      <c r="Q50" s="216"/>
      <c r="R50" s="214"/>
      <c r="S50" s="211"/>
      <c r="T50" s="247"/>
      <c r="U50" s="248">
        <f>Table8[[#Totals],[اجمالي التكلفة]]</f>
        <v>31838</v>
      </c>
      <c r="V50" s="240">
        <f>M50*Table161368[[#This Row],[سعر الشبك ]]</f>
        <v>31838</v>
      </c>
      <c r="W50" s="241">
        <f t="shared" si="6" ca="1"/>
        <v>0.39156612305713795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">
      <c r="L51" s="211">
        <v>4</v>
      </c>
      <c r="M51" s="212">
        <f>IF((Q67="الاسكندرية"),0.25,0.1)</f>
        <v>0.1</v>
      </c>
      <c r="N51" s="213" t="s">
        <v>219</v>
      </c>
      <c r="O51" s="214"/>
      <c r="P51" s="211"/>
      <c r="Q51" s="216"/>
      <c r="R51" s="214"/>
      <c r="S51" s="211"/>
      <c r="T51" s="247"/>
      <c r="U51" s="248">
        <f>V50</f>
        <v>31838</v>
      </c>
      <c r="V51" s="240">
        <f>M51*Table161368[[#This Row],[سعر الشبك ]]</f>
        <v>3183.8</v>
      </c>
      <c r="W51" s="241">
        <f t="shared" si="6" ca="1"/>
        <v>0.039156612305713795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">
      <c r="L52" s="211" t="s">
        <v>92</v>
      </c>
      <c r="M52" s="212"/>
      <c r="N52" s="213" t="s">
        <v>92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35021.8</v>
      </c>
      <c r="W52" s="244">
        <f>Table161368[[#Totals],[اجمالي]]/$R$71</f>
        <v>0.43072273536285177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">
      <c r="L53" s="216"/>
      <c r="M53" s="216"/>
      <c r="N53" s="217"/>
      <c r="O53" s="681" t="s">
        <v>220</v>
      </c>
      <c r="P53" s="681"/>
      <c r="Q53" s="681"/>
      <c r="R53" s="681"/>
      <c r="S53" s="681"/>
      <c r="T53" s="681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">
      <c r="L54" s="211" t="s">
        <v>19</v>
      </c>
      <c r="M54" s="211" t="s">
        <v>32</v>
      </c>
      <c r="N54" s="218" t="s">
        <v>120</v>
      </c>
      <c r="O54" s="211" t="s">
        <v>221</v>
      </c>
      <c r="P54" s="211" t="s">
        <v>105</v>
      </c>
      <c r="Q54" s="211" t="s">
        <v>222</v>
      </c>
      <c r="R54" s="211" t="s">
        <v>223</v>
      </c>
      <c r="S54" s="211" t="s">
        <v>149</v>
      </c>
      <c r="T54" s="211" t="s">
        <v>224</v>
      </c>
      <c r="U54" s="211" t="s">
        <v>225</v>
      </c>
      <c r="V54" s="245" t="s">
        <v>125</v>
      </c>
      <c r="W54" s="211" t="s">
        <v>126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">
      <c r="L55" s="211">
        <v>1</v>
      </c>
      <c r="M55" s="219">
        <v>2</v>
      </c>
      <c r="N55" s="220" t="s">
        <v>226</v>
      </c>
      <c r="O55" s="211">
        <f>IF((Table161267[[#This Row],[موقع العمل]]="المصنع"),280,IF((Table161267[[#This Row],[موقع العمل]]="الاسكندرية"),320,400))</f>
        <v>280</v>
      </c>
      <c r="P55" s="211">
        <f>SUMIF(Table1769[Column1],Table161267[[#This Row],[موقع العمل]],$AB$2:$AB$20)</f>
        <v>0</v>
      </c>
      <c r="Q55" s="211" t="s">
        <v>227</v>
      </c>
      <c r="R55" s="214" t="s">
        <v>128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5" s="240">
        <f ref="V55:V67" t="shared" si="7" ca="1">M55*U55</f>
        <v>560</v>
      </c>
      <c r="W55" s="241">
        <f ref="W55:W67" t="shared" si="8" ca="1">(V55)/$R$71</f>
        <v>0.0068872739780136078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">
      <c r="L56" s="211">
        <v>2</v>
      </c>
      <c r="M56" s="219">
        <v>2</v>
      </c>
      <c r="N56" s="220" t="s">
        <v>228</v>
      </c>
      <c r="O56" s="211">
        <f>IF((Table161267[[#This Row],[موقع العمل]]="المصنع"),280,IF((Table161267[[#This Row],[موقع العمل]]="الاسكندرية"),320,400))</f>
        <v>280</v>
      </c>
      <c r="P56" s="211">
        <f>SUMIF(Table1769[Column1],Table161267[[#This Row],[موقع العمل]],$AB$2:$AB$20)</f>
        <v>0</v>
      </c>
      <c r="Q56" s="211" t="s">
        <v>227</v>
      </c>
      <c r="R56" s="214" t="s">
        <v>128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6" s="240">
        <f t="shared" si="7" ca="1"/>
        <v>560</v>
      </c>
      <c r="W56" s="241">
        <f t="shared" si="8" ca="1"/>
        <v>0.0068872739780136078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">
      <c r="L57" s="211">
        <v>3</v>
      </c>
      <c r="M57" s="219">
        <v>3</v>
      </c>
      <c r="N57" s="220" t="s">
        <v>229</v>
      </c>
      <c r="O57" s="211">
        <f>IF((Table161267[[#This Row],[موقع العمل]]="المصنع"),280,IF((Table161267[[#This Row],[موقع العمل]]="الاسكندرية"),320,400))</f>
        <v>280</v>
      </c>
      <c r="P57" s="211">
        <f>SUMIF(Table1769[Column1],Table161267[[#This Row],[موقع العمل]],$AB$2:$AB$20)</f>
        <v>0</v>
      </c>
      <c r="Q57" s="211" t="s">
        <v>227</v>
      </c>
      <c r="R57" s="214" t="s">
        <v>128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7" s="240">
        <f t="shared" si="7" ca="1"/>
        <v>840</v>
      </c>
      <c r="W57" s="241">
        <f t="shared" si="8" ca="1"/>
        <v>0.010330910967020412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">
      <c r="L58" s="211">
        <v>4</v>
      </c>
      <c r="M58" s="212">
        <v>3</v>
      </c>
      <c r="N58" s="220" t="s">
        <v>230</v>
      </c>
      <c r="O58" s="211">
        <f>IF((Table161267[[#This Row],[موقع العمل]]="المصنع"),280,IF((Table161267[[#This Row],[موقع العمل]]="الاسكندرية"),320,400))</f>
        <v>280</v>
      </c>
      <c r="P58" s="211">
        <f>SUMIF(Table1769[Column1],Table161267[[#This Row],[موقع العمل]],$AB$2:$AB$20)</f>
        <v>0</v>
      </c>
      <c r="Q58" s="211" t="s">
        <v>227</v>
      </c>
      <c r="R58" s="214" t="s">
        <v>128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8" s="240">
        <f t="shared" si="7" ca="1"/>
        <v>840</v>
      </c>
      <c r="W58" s="241">
        <f t="shared" si="8" ca="1"/>
        <v>0.010330910967020412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">
      <c r="L59" s="211">
        <v>5</v>
      </c>
      <c r="M59" s="212">
        <v>4</v>
      </c>
      <c r="N59" s="220" t="s">
        <v>231</v>
      </c>
      <c r="O59" s="211">
        <f>IF((Table161267[[#This Row],[موقع العمل]]="المصنع"),280,IF((Table161267[[#This Row],[موقع العمل]]="الاسكندرية"),320,400))</f>
        <v>400</v>
      </c>
      <c r="P59" s="211">
        <f>SUMIF(Table1769[Column1],Table161267[[#This Row],[موقع العمل]],$AB$2:$AB$20)</f>
        <v>100</v>
      </c>
      <c r="Q59" s="211" t="str">
        <f>تسعير!$AT$4</f>
        <v>الشيخ زايد</v>
      </c>
      <c r="R59" s="214" t="s">
        <v>128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1000</v>
      </c>
      <c r="V59" s="240">
        <f t="shared" si="7" ca="1"/>
        <v>4000</v>
      </c>
      <c r="W59" s="241">
        <f t="shared" si="8" ca="1"/>
        <v>0.049194814128668628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">
      <c r="L60" s="211">
        <v>6</v>
      </c>
      <c r="M60" s="212">
        <v>3</v>
      </c>
      <c r="N60" s="220" t="s">
        <v>232</v>
      </c>
      <c r="O60" s="211">
        <f>IF((Table161267[[#This Row],[موقع العمل]]="المصنع"),280,IF((Table161267[[#This Row],[موقع العمل]]="الاسكندرية"),320,400))</f>
        <v>400</v>
      </c>
      <c r="P60" s="211">
        <f>SUMIF(Table1769[Column1],Table161267[[#This Row],[موقع العمل]],$AB$2:$AB$20)</f>
        <v>100</v>
      </c>
      <c r="Q60" s="211" t="str">
        <f>تسعير!$AT$4</f>
        <v>الشيخ زايد</v>
      </c>
      <c r="R60" s="214" t="s">
        <v>128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1000</v>
      </c>
      <c r="V60" s="240">
        <f t="shared" si="7" ca="1"/>
        <v>3000</v>
      </c>
      <c r="W60" s="241">
        <f t="shared" si="8" ca="1"/>
        <v>0.036896110596501469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">
      <c r="L61" s="211">
        <v>7</v>
      </c>
      <c r="M61" s="212">
        <v>0</v>
      </c>
      <c r="N61" s="220" t="s">
        <v>233</v>
      </c>
      <c r="O61" s="211">
        <f>IF((Table161267[[#This Row],[موقع العمل]]="المصنع"),280,IF((Table161267[[#This Row],[موقع العمل]]="الاسكندرية"),320,400))</f>
        <v>400</v>
      </c>
      <c r="P61" s="211">
        <f>SUMIF(Table1769[Column1],Table161267[[#This Row],[موقع العمل]],$AB$2:$AB$20)</f>
        <v>100</v>
      </c>
      <c r="Q61" s="211" t="str">
        <f>تسعير!$AT$4</f>
        <v>الشيخ زايد</v>
      </c>
      <c r="R61" s="214" t="s">
        <v>128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">
      <c r="L62" s="211">
        <v>8</v>
      </c>
      <c r="M62" s="212">
        <v>4</v>
      </c>
      <c r="N62" s="220" t="s">
        <v>234</v>
      </c>
      <c r="O62" s="211">
        <f>IF((Table161267[[#This Row],[موقع العمل]]="المصنع"),280,IF((Table161267[[#This Row],[موقع العمل]]="الاسكندرية"),320,400))</f>
        <v>400</v>
      </c>
      <c r="P62" s="211">
        <f>SUMIF(Table1769[Column1],Table161267[[#This Row],[موقع العمل]],$AB$2:$AB$20)</f>
        <v>100</v>
      </c>
      <c r="Q62" s="211" t="str">
        <f>تسعير!$AT$4</f>
        <v>الشيخ زايد</v>
      </c>
      <c r="R62" s="214" t="s">
        <v>128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500</v>
      </c>
      <c r="V62" s="240">
        <f t="shared" si="7" ca="1"/>
        <v>2000</v>
      </c>
      <c r="W62" s="241">
        <f t="shared" si="8" ca="1"/>
        <v>0.024597407064334314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">
      <c r="L63" s="211">
        <v>9</v>
      </c>
      <c r="M63" s="212">
        <f>(M59+M60+M61+M62)*2</f>
        <v>22</v>
      </c>
      <c r="N63" s="220" t="s">
        <v>235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400</v>
      </c>
      <c r="T63" s="247"/>
      <c r="U63" s="243">
        <f>Table161267[[#This Row],[Column12]]</f>
        <v>400</v>
      </c>
      <c r="V63" s="240">
        <f t="shared" si="7" ca="1"/>
        <v>8800</v>
      </c>
      <c r="W63" s="241">
        <f t="shared" si="8" ca="1"/>
        <v>0.10822859108307098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">
      <c r="L64" s="211">
        <v>10</v>
      </c>
      <c r="M64" s="212">
        <f>IF((تسعير!$AU$14="بالتات"),0,((T59+T60+T61+T62)*2)-3)</f>
        <v>7</v>
      </c>
      <c r="N64" s="220" t="s">
        <v>236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400</v>
      </c>
      <c r="T64" s="247"/>
      <c r="U64" s="243">
        <f>Table161267[[#This Row],[Column12]]</f>
        <v>400</v>
      </c>
      <c r="V64" s="240">
        <f t="shared" si="7" ca="1"/>
        <v>2800</v>
      </c>
      <c r="W64" s="241">
        <f t="shared" si="8" ca="1"/>
        <v>0.034436369890068042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">
      <c r="L65" s="211">
        <v>11</v>
      </c>
      <c r="M65" s="212">
        <v>0</v>
      </c>
      <c r="N65" s="220" t="s">
        <v>237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3500</v>
      </c>
      <c r="T65" s="247"/>
      <c r="U65" s="243">
        <f>Table161267[[#This Row],[Column12]]</f>
        <v>3500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">
      <c r="L66" s="211">
        <v>12</v>
      </c>
      <c r="M66" s="212">
        <f>IF((تسعير!$AU$14="بالتات"),1,2)</f>
        <v>2</v>
      </c>
      <c r="N66" s="220" t="s">
        <v>238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6000</v>
      </c>
      <c r="T66" s="247"/>
      <c r="U66" s="243">
        <f>Table161267[[#This Row],[Column12]]</f>
        <v>6000</v>
      </c>
      <c r="V66" s="240">
        <f t="shared" si="7" ca="1"/>
        <v>12000</v>
      </c>
      <c r="W66" s="241">
        <f t="shared" si="8" ca="1"/>
        <v>0.14758444238600588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">
      <c r="L67" s="211">
        <v>13</v>
      </c>
      <c r="M67" s="212">
        <f>IF((تسعير!$AU$14="بالتات"),0,M64-2)</f>
        <v>5</v>
      </c>
      <c r="N67" s="220" t="s">
        <v>108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150</v>
      </c>
      <c r="T67" s="247"/>
      <c r="U67" s="243">
        <f>Table161267[[#This Row],[Column12]]</f>
        <v>150</v>
      </c>
      <c r="V67" s="240">
        <f t="shared" si="7" ca="1"/>
        <v>750</v>
      </c>
      <c r="W67" s="241">
        <f t="shared" si="8" ca="1"/>
        <v>0.0092240276491253673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">
      <c r="L68" s="572" t="s">
        <v>92</v>
      </c>
      <c r="M68" s="571"/>
      <c r="N68" s="550" t="s">
        <v>92</v>
      </c>
      <c r="O68" s="572"/>
      <c r="P68" s="572"/>
      <c r="Q68" s="573"/>
      <c r="R68" s="573"/>
      <c r="S68" s="574">
        <f>SUBTOTAL(109,Table161267[Column12])</f>
        <v>10450</v>
      </c>
      <c r="T68" s="572"/>
      <c r="U68" s="242"/>
      <c r="V68" s="575">
        <f>SUBTOTAL(109,Table161267[اجمالي])</f>
        <v>36150</v>
      </c>
      <c r="W68" s="576">
        <f>Table161267[[#Totals],[اجمالي]]/$R$71</f>
        <v>0.44459813268784271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">
      <c r="L69" s="216"/>
      <c r="M69" s="216"/>
      <c r="N69" s="217"/>
      <c r="O69" s="692"/>
      <c r="P69" s="692"/>
      <c r="Q69" s="692"/>
      <c r="R69" s="692"/>
      <c r="S69" s="692"/>
      <c r="T69" s="692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">
      <c r="L70" s="211"/>
      <c r="M70" s="211"/>
      <c r="N70" s="218" t="s">
        <v>102</v>
      </c>
      <c r="O70" s="211" t="s">
        <v>239</v>
      </c>
      <c r="P70" s="211" t="s">
        <v>240</v>
      </c>
      <c r="Q70" s="211" t="s">
        <v>184</v>
      </c>
      <c r="R70" s="211" t="s">
        <v>121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">
      <c r="L71" s="211"/>
      <c r="M71" s="219"/>
      <c r="N71" s="213" t="s">
        <v>241</v>
      </c>
      <c r="O71" s="214"/>
      <c r="P71" s="211"/>
      <c r="Q71" s="280"/>
      <c r="R71" s="281">
        <f>Table161267[[#Totals],[اجمالي]]+Table161368[[#Totals],[اجمالي]]+Table1359[[#Totals],[اجمالي]]+Table1662[[#Totals],[اجمالي]]+Table1561[[#Totals],[اجمالي]]+Table158[[#Totals],[اجمالي]]</f>
        <v>81309.383333333331</v>
      </c>
      <c r="S71" s="211"/>
      <c r="T71" s="211"/>
      <c r="U71" s="243"/>
      <c r="V71" s="282"/>
      <c r="W71" s="283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">
      <c r="L72" s="211"/>
      <c r="M72" s="212"/>
      <c r="N72" s="213" t="s">
        <v>242</v>
      </c>
      <c r="O72" s="214"/>
      <c r="P72" s="211"/>
      <c r="Q72" s="310">
        <f>IF((Q67="المقطم"),0.3,IF((Q67="التجمع"),0.3,IF((Q67="الشيخ زايد"),0.3,IF((Q67="الاسكندرية"),0.5,0.35))))</f>
        <v>0.3</v>
      </c>
      <c r="R72" s="281">
        <f>R71*(1+Table1870[[#This Row],[Column3]])</f>
        <v>105702.19833333333</v>
      </c>
      <c r="S72" s="211"/>
      <c r="T72" s="211"/>
      <c r="U72" s="243"/>
      <c r="V72" s="282"/>
      <c r="W72" s="28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4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S179"/>
  <sheetViews>
    <sheetView rightToLeft="1" zoomScale="25" zoomScaleNormal="25" workbookViewId="0">
      <selection activeCell="N32" sqref="N32:T70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" customWidth="1" style="1"/>
    <col min="5" max="5" width="14.109375" customWidth="1" style="1"/>
    <col min="6" max="6" width="19.88671875" customWidth="1" style="1"/>
    <col min="7" max="7" width="5.5546875" customWidth="1" style="1"/>
    <col min="8" max="8" width="4.33203125" customWidth="1" style="1"/>
    <col min="9" max="9" width="4" customWidth="1" style="1"/>
    <col min="10" max="10" width="9.10937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55.109375" customWidth="1" style="1"/>
    <col min="37" max="37" width="9.109375" customWidth="1" style="1"/>
    <col min="38" max="38" width="19.5546875" customWidth="1" style="1"/>
    <col min="39" max="39" width="18.44140625" customWidth="1" style="1"/>
    <col min="40" max="16384" width="9.109375" customWidth="1" style="1"/>
  </cols>
  <sheetData>
    <row r="1" ht="21">
      <c r="A1" s="382" t="s">
        <v>251</v>
      </c>
      <c r="B1" s="269">
        <f>(F1*D1)/10000</f>
        <v>35</v>
      </c>
      <c r="C1" s="270" t="s">
        <v>252</v>
      </c>
      <c r="D1" s="271">
        <f>تسعير!BL12</f>
        <v>700</v>
      </c>
      <c r="E1" s="270" t="s">
        <v>213</v>
      </c>
      <c r="F1" s="271">
        <f>تسعير!BG10</f>
        <v>500</v>
      </c>
      <c r="G1" s="167"/>
      <c r="H1" s="167"/>
      <c r="I1" s="167"/>
      <c r="J1" s="167"/>
      <c r="K1" s="167"/>
      <c r="L1" s="686" t="s">
        <v>93</v>
      </c>
      <c r="M1" s="687"/>
      <c r="N1" s="688"/>
      <c r="O1" s="201" t="s">
        <v>94</v>
      </c>
      <c r="P1" s="202" t="s">
        <v>95</v>
      </c>
      <c r="Q1" s="223" t="s">
        <v>96</v>
      </c>
      <c r="R1" s="224" t="s">
        <v>97</v>
      </c>
      <c r="S1" s="224" t="s">
        <v>98</v>
      </c>
      <c r="T1" s="224" t="s">
        <v>99</v>
      </c>
      <c r="U1" s="224" t="s">
        <v>100</v>
      </c>
      <c r="V1" s="392" t="s">
        <v>101</v>
      </c>
      <c r="W1" s="233"/>
      <c r="X1" s="207"/>
      <c r="Y1" s="207" t="s">
        <v>102</v>
      </c>
      <c r="Z1" s="207" t="s">
        <v>103</v>
      </c>
      <c r="AA1" s="207" t="s">
        <v>104</v>
      </c>
      <c r="AB1" s="207" t="s">
        <v>105</v>
      </c>
      <c r="AC1" s="207" t="s">
        <v>106</v>
      </c>
      <c r="AD1" s="207" t="s">
        <v>107</v>
      </c>
      <c r="AE1" s="207" t="s">
        <v>108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83" t="s">
        <v>253</v>
      </c>
      <c r="B2" s="187" t="s">
        <v>254</v>
      </c>
      <c r="C2" s="187" t="s">
        <v>255</v>
      </c>
      <c r="D2" s="187" t="s">
        <v>162</v>
      </c>
      <c r="E2" s="187" t="s">
        <v>256</v>
      </c>
      <c r="F2" s="187" t="s">
        <v>241</v>
      </c>
      <c r="G2" s="1" t="s">
        <v>102</v>
      </c>
      <c r="H2" s="1" t="s">
        <v>121</v>
      </c>
      <c r="I2" s="1" t="s">
        <v>184</v>
      </c>
      <c r="J2" s="1" t="s">
        <v>119</v>
      </c>
      <c r="L2" s="689"/>
      <c r="M2" s="690"/>
      <c r="N2" s="691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50000</v>
      </c>
      <c r="U2" s="232">
        <f>Sheet2!B14</f>
        <v>202000</v>
      </c>
      <c r="V2" s="232">
        <f>Sheet2!B15</f>
        <v>70000</v>
      </c>
      <c r="W2" s="233"/>
      <c r="X2" s="207"/>
      <c r="Y2" s="216" t="s">
        <v>109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257</v>
      </c>
      <c r="B3" s="187">
        <f>MAX(G3:I3)</f>
        <v>7</v>
      </c>
      <c r="C3" s="187">
        <v>2.25</v>
      </c>
      <c r="D3" s="187">
        <f>IF((تسعير!$AT$6="سادة"),((wavy1!$U$2+(Sheet2!B41*1000))/1000),IF((تسعير!$AT$6="خشبي"),((wavy1!$U$2+wavy1!$V$2)/1000),0))</f>
        <v>227</v>
      </c>
      <c r="E3" s="187">
        <v>2</v>
      </c>
      <c r="F3" s="384">
        <f>B3*C3*D3*E3</f>
        <v>7150.5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682" t="s">
        <v>110</v>
      </c>
      <c r="M3" s="683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111</v>
      </c>
      <c r="R3" s="684">
        <f>NOW()</f>
        <v>46060.582549444443</v>
      </c>
      <c r="S3" s="685"/>
      <c r="T3" s="685"/>
      <c r="U3" s="235"/>
      <c r="V3" s="235"/>
      <c r="W3" s="235"/>
      <c r="X3" s="207"/>
      <c r="Y3" s="216" t="s">
        <v>112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" s="187" customFormat="1">
      <c r="A4" s="187" t="s">
        <v>258</v>
      </c>
      <c r="B4" s="187">
        <f>MAX(G4:J4)</f>
        <v>5</v>
      </c>
      <c r="C4" s="187">
        <v>0.56</v>
      </c>
      <c r="D4" s="187">
        <f>IF((تسعير!$AT$6="سادة"),((wavy1!$U$2+(Sheet2!B41*1000))/1000),IF((تسعير!$AT$6="خشبي"),((wavy1!$U$2+wavy1!$V$2)/1000),0))</f>
        <v>227</v>
      </c>
      <c r="E4" s="187">
        <f>CEILING(D1/60,1)+1</f>
        <v>13</v>
      </c>
      <c r="F4" s="384">
        <f>B4*C4*D4*E4</f>
        <v>8262.8000000000011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681" t="s">
        <v>113</v>
      </c>
      <c r="P4" s="681"/>
      <c r="Q4" s="681"/>
      <c r="R4" s="681"/>
      <c r="S4" s="681"/>
      <c r="T4" s="681"/>
      <c r="U4" s="236"/>
      <c r="V4" s="236"/>
      <c r="W4" s="236"/>
      <c r="X4" s="207"/>
      <c r="Y4" s="216" t="s">
        <v>114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115</v>
      </c>
      <c r="AG4" s="207"/>
      <c r="AH4" s="207"/>
      <c r="AI4" s="207"/>
      <c r="AJ4" s="207" t="s">
        <v>116</v>
      </c>
      <c r="AK4" s="207" t="s">
        <v>117</v>
      </c>
      <c r="AL4" s="207" t="s">
        <v>118</v>
      </c>
      <c r="AM4" s="207" t="s">
        <v>119</v>
      </c>
      <c r="AN4" s="207"/>
      <c r="AO4" s="207"/>
      <c r="AP4" s="207"/>
      <c r="AQ4" s="207"/>
      <c r="AR4" s="207"/>
      <c r="AS4" s="207"/>
    </row>
    <row r="5" ht="18" s="187" customFormat="1">
      <c r="A5" s="187" t="s">
        <v>260</v>
      </c>
      <c r="B5" s="187">
        <f>B3*3</f>
        <v>21</v>
      </c>
      <c r="D5" s="187">
        <v>50</v>
      </c>
      <c r="E5" s="187">
        <v>2</v>
      </c>
      <c r="F5" s="384">
        <f>B5*D5*E5</f>
        <v>2100</v>
      </c>
      <c r="G5" s="195"/>
      <c r="H5" s="195"/>
      <c r="I5" s="195"/>
      <c r="J5" s="195"/>
      <c r="L5" s="208" t="s">
        <v>19</v>
      </c>
      <c r="M5" s="208" t="s">
        <v>32</v>
      </c>
      <c r="N5" s="210" t="s">
        <v>120</v>
      </c>
      <c r="O5" s="208" t="s">
        <v>121</v>
      </c>
      <c r="P5" s="208" t="s">
        <v>102</v>
      </c>
      <c r="Q5" s="208" t="s">
        <v>122</v>
      </c>
      <c r="R5" s="237" t="s">
        <v>21</v>
      </c>
      <c r="S5" s="237" t="s">
        <v>12</v>
      </c>
      <c r="T5" s="237" t="s">
        <v>162</v>
      </c>
      <c r="U5" s="237" t="s">
        <v>124</v>
      </c>
      <c r="V5" s="238" t="s">
        <v>125</v>
      </c>
      <c r="W5" s="237" t="s">
        <v>126</v>
      </c>
      <c r="X5" s="207"/>
      <c r="Y5" s="216" t="s">
        <v>127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128</v>
      </c>
      <c r="AG5" s="207"/>
      <c r="AH5" s="207"/>
      <c r="AI5" s="207"/>
      <c r="AJ5" s="233" t="s">
        <v>129</v>
      </c>
      <c r="AK5" s="233">
        <v>0.4</v>
      </c>
      <c r="AL5" s="237" t="s">
        <v>130</v>
      </c>
      <c r="AM5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" s="187" customFormat="1">
      <c r="A6" s="187" t="s">
        <v>262</v>
      </c>
      <c r="B6" s="187">
        <f>E4*2</f>
        <v>26</v>
      </c>
      <c r="D6" s="187">
        <v>15</v>
      </c>
      <c r="F6" s="384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131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132</v>
      </c>
      <c r="S6" s="211">
        <v>8.5</v>
      </c>
      <c r="T6" s="211"/>
      <c r="U6" s="243">
        <f>S6*$S$2/1000</f>
        <v>382.5</v>
      </c>
      <c r="V6" s="240">
        <f>M6*U6</f>
        <v>0</v>
      </c>
      <c r="W6" s="241">
        <f>(V6)/$R$71</f>
        <v>0</v>
      </c>
      <c r="X6" s="216"/>
      <c r="Y6" s="216" t="s">
        <v>133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134</v>
      </c>
      <c r="AK6" s="216">
        <v>0.25</v>
      </c>
      <c r="AL6" s="216" t="s">
        <v>135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" s="187" customFormat="1">
      <c r="A7" s="187" t="s">
        <v>264</v>
      </c>
      <c r="B7" s="187">
        <f>(((D1/(E4-1)+10)*(E4-1))*F1)/10000</f>
        <v>41.000000000000007</v>
      </c>
      <c r="D7" s="187">
        <f>Sheet2!B16</f>
        <v>950</v>
      </c>
      <c r="F7" s="384">
        <f t="shared" si="0"/>
        <v>38950.000000000007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244</v>
      </c>
      <c r="O7" s="391">
        <v>0.1</v>
      </c>
      <c r="P7" s="391">
        <v>0.05</v>
      </c>
      <c r="Q7" s="216">
        <f>(Table15855[[#This Row],[Column1]]+Table15855[[#This Row],[Column2]])*12*Table15855[[#This Row],[عدد]]</f>
        <v>7.2000000000000011</v>
      </c>
      <c r="R7" s="211" t="s">
        <v>132</v>
      </c>
      <c r="S7" s="211">
        <v>28.5</v>
      </c>
      <c r="T7" s="211"/>
      <c r="U7" s="243">
        <f>S7*$S$2/1000</f>
        <v>1282.5</v>
      </c>
      <c r="V7" s="240">
        <f>M7*U7</f>
        <v>5130</v>
      </c>
      <c r="W7" s="241">
        <f>(V7)/$R$71</f>
        <v>0.04483978169115669</v>
      </c>
      <c r="X7" s="216"/>
      <c r="Y7" s="216" t="s">
        <v>137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138</v>
      </c>
      <c r="AK7" s="216">
        <v>0.25</v>
      </c>
      <c r="AL7" s="211" t="s">
        <v>139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" s="187" customFormat="1">
      <c r="A8" s="187" t="s">
        <v>266</v>
      </c>
      <c r="B8" s="187">
        <f>MAX(G8:H8)</f>
        <v>6</v>
      </c>
      <c r="D8" s="187">
        <v>320</v>
      </c>
      <c r="F8" s="384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92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5130</v>
      </c>
      <c r="W8" s="244">
        <f>Table15855[[#Totals],[اجمالي]]/$R$71</f>
        <v>0.04483978169115669</v>
      </c>
      <c r="X8" s="216"/>
      <c r="Y8" s="216" t="s">
        <v>141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142</v>
      </c>
      <c r="AK8" s="216">
        <v>0.4</v>
      </c>
      <c r="AL8" s="211" t="s">
        <v>139</v>
      </c>
      <c r="AM8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" s="187" customFormat="1">
      <c r="A9" s="187" t="s">
        <v>268</v>
      </c>
      <c r="B9" s="187">
        <v>2</v>
      </c>
      <c r="D9" s="187">
        <v>50</v>
      </c>
      <c r="F9" s="384">
        <f t="shared" si="0"/>
        <v>100</v>
      </c>
      <c r="G9" s="195"/>
      <c r="H9" s="195"/>
      <c r="I9" s="195"/>
      <c r="J9" s="195"/>
      <c r="L9" s="216"/>
      <c r="M9" s="216"/>
      <c r="N9" s="217"/>
      <c r="O9" s="681" t="s">
        <v>160</v>
      </c>
      <c r="P9" s="681"/>
      <c r="Q9" s="681"/>
      <c r="R9" s="681"/>
      <c r="S9" s="681"/>
      <c r="T9" s="681"/>
      <c r="U9" s="216"/>
      <c r="V9" s="216"/>
      <c r="W9" s="216"/>
      <c r="X9" s="216"/>
      <c r="Y9" s="216" t="s">
        <v>143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144</v>
      </c>
      <c r="AK9" s="216"/>
      <c r="AL9" s="216" t="s">
        <v>145</v>
      </c>
      <c r="AM9" s="216"/>
      <c r="AN9" s="216"/>
      <c r="AO9" s="216"/>
      <c r="AP9" s="216"/>
      <c r="AQ9" s="216"/>
      <c r="AR9" s="216"/>
      <c r="AS9" s="216"/>
    </row>
    <row r="10" ht="18" s="187" customFormat="1">
      <c r="A10" s="187" t="s">
        <v>270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19</v>
      </c>
      <c r="M10" s="211" t="s">
        <v>32</v>
      </c>
      <c r="N10" s="218" t="s">
        <v>120</v>
      </c>
      <c r="O10" s="211" t="s">
        <v>121</v>
      </c>
      <c r="P10" s="211" t="s">
        <v>102</v>
      </c>
      <c r="Q10" s="211" t="s">
        <v>149</v>
      </c>
      <c r="R10" s="211" t="s">
        <v>21</v>
      </c>
      <c r="S10" s="211" t="s">
        <v>12</v>
      </c>
      <c r="T10" s="211" t="s">
        <v>162</v>
      </c>
      <c r="U10" s="211" t="s">
        <v>124</v>
      </c>
      <c r="V10" s="245" t="s">
        <v>125</v>
      </c>
      <c r="W10" s="211" t="s">
        <v>126</v>
      </c>
      <c r="X10" s="216"/>
      <c r="Y10" s="216" t="s">
        <v>147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201</v>
      </c>
      <c r="AK10" s="216">
        <v>0.6</v>
      </c>
      <c r="AL10" s="216"/>
      <c r="AM10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" s="187" customFormat="1">
      <c r="A11" s="187" t="s">
        <v>272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164</v>
      </c>
      <c r="O11" s="214"/>
      <c r="P11" s="214"/>
      <c r="Q11" s="214"/>
      <c r="R11" s="211" t="s">
        <v>165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0.0034962792741642643</v>
      </c>
      <c r="X11" s="216"/>
      <c r="Y11" s="216" t="s">
        <v>150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245</v>
      </c>
      <c r="AK11" s="216"/>
      <c r="AL11" s="216"/>
      <c r="AM11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1" s="216"/>
      <c r="AO11" s="216"/>
      <c r="AP11" s="216"/>
      <c r="AQ11" s="216"/>
      <c r="AR11" s="216"/>
      <c r="AS11" s="216"/>
    </row>
    <row r="12" ht="18" s="187" customFormat="1">
      <c r="A12" s="187" t="s">
        <v>274</v>
      </c>
      <c r="B12" s="187">
        <f>IF((تسعير!BE9=A20),0,1)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170</v>
      </c>
      <c r="O12" s="214"/>
      <c r="P12" s="214"/>
      <c r="Q12" s="214"/>
      <c r="R12" s="211" t="s">
        <v>32</v>
      </c>
      <c r="S12" s="211"/>
      <c r="T12" s="242"/>
      <c r="U12" s="246">
        <v>110</v>
      </c>
      <c r="V12" s="240">
        <f t="shared" si="1"/>
        <v>220</v>
      </c>
      <c r="W12" s="241">
        <f t="shared" si="2"/>
        <v>0.0019229536007903452</v>
      </c>
      <c r="X12" s="216"/>
      <c r="Y12" s="216" t="s">
        <v>154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203</v>
      </c>
      <c r="AK12" s="216">
        <v>0.6</v>
      </c>
      <c r="AL12" s="216"/>
      <c r="AM12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" s="187" customFormat="1">
      <c r="A13" s="187" t="s">
        <v>276</v>
      </c>
      <c r="B13" s="187">
        <f>E4*2</f>
        <v>26</v>
      </c>
      <c r="D13" s="187">
        <v>10</v>
      </c>
      <c r="F13" s="384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172</v>
      </c>
      <c r="O13" s="214"/>
      <c r="P13" s="214"/>
      <c r="Q13" s="214"/>
      <c r="R13" s="211" t="s">
        <v>32</v>
      </c>
      <c r="S13" s="211"/>
      <c r="T13" s="242"/>
      <c r="U13" s="246">
        <v>130</v>
      </c>
      <c r="V13" s="240">
        <f t="shared" si="1"/>
        <v>130</v>
      </c>
      <c r="W13" s="241">
        <f t="shared" si="2"/>
        <v>0.0011362907641033859</v>
      </c>
      <c r="X13" s="216"/>
      <c r="Y13" s="216" t="s">
        <v>157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246</v>
      </c>
      <c r="AK13" s="216"/>
      <c r="AL13" s="216"/>
      <c r="AM13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" s="187" customFormat="1">
      <c r="A14" s="195" t="s">
        <v>277</v>
      </c>
      <c r="B14" s="195">
        <f>IF((تسعير!BE9=A20),1,0)</f>
        <v>1</v>
      </c>
      <c r="C14" s="195"/>
      <c r="D14" s="195">
        <f>Sheet2!B56</f>
        <v>6000</v>
      </c>
      <c r="E14" s="195"/>
      <c r="F14" s="384">
        <f t="shared" si="0"/>
        <v>6000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174</v>
      </c>
      <c r="O14" s="214"/>
      <c r="P14" s="214"/>
      <c r="Q14" s="214"/>
      <c r="R14" s="247" t="s">
        <v>175</v>
      </c>
      <c r="S14" s="247"/>
      <c r="T14" s="242"/>
      <c r="U14" s="246">
        <v>50</v>
      </c>
      <c r="V14" s="240">
        <f t="shared" si="1"/>
        <v>800</v>
      </c>
      <c r="W14" s="241">
        <f t="shared" si="2"/>
        <v>0.0069925585483285287</v>
      </c>
      <c r="X14" s="216"/>
      <c r="Y14" s="216" t="s">
        <v>159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8" t="s">
        <v>247</v>
      </c>
      <c r="AK14" s="216"/>
      <c r="AL14" s="216"/>
      <c r="AM14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4" s="216"/>
      <c r="AO14" s="216"/>
      <c r="AP14" s="216"/>
      <c r="AQ14" s="216"/>
      <c r="AR14" s="216"/>
      <c r="AS14" s="216"/>
    </row>
    <row r="15" ht="18" s="187" customFormat="1">
      <c r="A15" s="195"/>
      <c r="B15" s="195"/>
      <c r="C15" s="195"/>
      <c r="D15" s="195"/>
      <c r="E15" s="195"/>
      <c r="F15" s="385"/>
      <c r="G15" s="195"/>
      <c r="H15" s="195"/>
      <c r="I15" s="195"/>
      <c r="J15" s="195"/>
      <c r="L15" s="211">
        <v>5</v>
      </c>
      <c r="M15" s="212"/>
      <c r="N15" s="213" t="s">
        <v>278</v>
      </c>
      <c r="O15" s="214"/>
      <c r="P15" s="214"/>
      <c r="Q15" s="214"/>
      <c r="R15" s="393" t="s">
        <v>279</v>
      </c>
      <c r="S15" s="250"/>
      <c r="T15" s="393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161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8" t="s">
        <v>155</v>
      </c>
      <c r="AK15" s="216">
        <v>0.1</v>
      </c>
      <c r="AL15" s="216"/>
      <c r="AM15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280</v>
      </c>
      <c r="O16" s="214"/>
      <c r="P16" s="214"/>
      <c r="Q16" s="214"/>
      <c r="R16" s="211" t="s">
        <v>281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163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8" t="s">
        <v>158</v>
      </c>
      <c r="AK16" s="216">
        <v>0.1</v>
      </c>
      <c r="AL16" s="216"/>
      <c r="AM16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" s="187" customFormat="1">
      <c r="A17" s="386" t="s">
        <v>92</v>
      </c>
      <c r="B17" s="386"/>
      <c r="C17" s="386"/>
      <c r="D17" s="386"/>
      <c r="E17" s="386">
        <f>Table823[[#Totals],[اجمالي التكلفة]]/B1</f>
        <v>1874.6657142857148</v>
      </c>
      <c r="F17" s="387">
        <f>SUBTOTAL(109,Table823[اجمالي التكلفة])</f>
        <v>65613.300000000017</v>
      </c>
      <c r="G17" s="386"/>
      <c r="H17" s="386"/>
      <c r="I17" s="386"/>
      <c r="J17" s="386"/>
      <c r="L17" s="211">
        <v>7</v>
      </c>
      <c r="M17" s="212">
        <f>IF((N3="d1"),4,IF((N3="d2"),4,0))</f>
        <v>0</v>
      </c>
      <c r="N17" s="213" t="s">
        <v>181</v>
      </c>
      <c r="O17" s="214"/>
      <c r="P17" s="214"/>
      <c r="Q17" s="214"/>
      <c r="R17" s="211" t="s">
        <v>175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166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" s="187" customFormat="1">
      <c r="F18" s="384"/>
      <c r="G18" s="195"/>
      <c r="H18" s="195"/>
      <c r="I18" s="195"/>
      <c r="J18" s="195"/>
      <c r="L18" s="211" t="s">
        <v>92</v>
      </c>
      <c r="M18" s="212"/>
      <c r="N18" s="213" t="s">
        <v>92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1550</v>
      </c>
      <c r="W18" s="244">
        <f>Table156140[[#Totals],[اجمالي]]/$R$71</f>
        <v>0.013548082187386524</v>
      </c>
      <c r="X18" s="216"/>
      <c r="Y18" s="216" t="s">
        <v>169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">
      <c r="A19" s="388" t="s">
        <v>282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681" t="s">
        <v>183</v>
      </c>
      <c r="P19" s="681"/>
      <c r="Q19" s="681"/>
      <c r="R19" s="681"/>
      <c r="S19" s="681"/>
      <c r="T19" s="681"/>
      <c r="U19" s="216"/>
      <c r="V19" s="216"/>
      <c r="W19" s="216"/>
      <c r="X19" s="216"/>
      <c r="Y19" s="216" t="s">
        <v>171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">
      <c r="A20" s="384" t="s">
        <v>277</v>
      </c>
      <c r="B20" s="389"/>
      <c r="C20" s="389"/>
      <c r="D20" s="389"/>
      <c r="E20" s="389"/>
      <c r="F20" s="389"/>
      <c r="L20" s="211" t="s">
        <v>19</v>
      </c>
      <c r="M20" s="211" t="s">
        <v>32</v>
      </c>
      <c r="N20" s="218" t="s">
        <v>120</v>
      </c>
      <c r="O20" s="211" t="s">
        <v>121</v>
      </c>
      <c r="P20" s="211" t="s">
        <v>102</v>
      </c>
      <c r="Q20" s="211" t="s">
        <v>149</v>
      </c>
      <c r="R20" s="211" t="s">
        <v>21</v>
      </c>
      <c r="S20" s="211" t="s">
        <v>12</v>
      </c>
      <c r="T20" s="211" t="s">
        <v>162</v>
      </c>
      <c r="U20" s="211" t="s">
        <v>124</v>
      </c>
      <c r="V20" s="245" t="s">
        <v>125</v>
      </c>
      <c r="W20" s="211" t="s">
        <v>126</v>
      </c>
      <c r="X20" s="216"/>
      <c r="Y20" s="216" t="s">
        <v>173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">
      <c r="A21" s="390"/>
      <c r="L21" s="211">
        <v>3</v>
      </c>
      <c r="M21" s="219">
        <f>IF((N3="c1"),4,IF((N3="c2"),4,0))</f>
        <v>4</v>
      </c>
      <c r="N21" s="220" t="s">
        <v>283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168</v>
      </c>
      <c r="S21" s="250">
        <v>7</v>
      </c>
      <c r="T21" s="211"/>
      <c r="U21" s="243">
        <f>S21*$S$2/1000</f>
        <v>315</v>
      </c>
      <c r="V21" s="240">
        <f>M21*U21</f>
        <v>1260</v>
      </c>
      <c r="W21" s="241">
        <f>(V21)/$R$71</f>
        <v>0.011013279713617432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">
      <c r="L22" s="211">
        <v>8</v>
      </c>
      <c r="M22" s="212">
        <f>M21*4</f>
        <v>16</v>
      </c>
      <c r="N22" s="213" t="s">
        <v>186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168</v>
      </c>
      <c r="S22" s="211">
        <v>0.75</v>
      </c>
      <c r="T22" s="211"/>
      <c r="U22" s="243">
        <f>S22*$S$2/1000</f>
        <v>33.75</v>
      </c>
      <c r="V22" s="240">
        <f>M22*U22</f>
        <v>540</v>
      </c>
      <c r="W22" s="251">
        <f>(V22)/$R$71</f>
        <v>0.0047199770201217569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">
      <c r="L23" s="211" t="s">
        <v>92</v>
      </c>
      <c r="M23" s="212">
        <f>SUBTOTAL(103,Table166241[عدد])</f>
        <v>2</v>
      </c>
      <c r="N23" s="213" t="s">
        <v>92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1800</v>
      </c>
      <c r="W23" s="244">
        <f>Table166241[[#Totals],[اجمالي]]/$R$71</f>
        <v>0.015733256733739188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">
      <c r="L24" s="216"/>
      <c r="M24" s="216"/>
      <c r="N24" s="217"/>
      <c r="O24" s="681" t="s">
        <v>187</v>
      </c>
      <c r="P24" s="681"/>
      <c r="Q24" s="681"/>
      <c r="R24" s="681"/>
      <c r="S24" s="681"/>
      <c r="T24" s="681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">
      <c r="L25" s="211" t="s">
        <v>19</v>
      </c>
      <c r="M25" s="211" t="s">
        <v>32</v>
      </c>
      <c r="N25" s="218" t="s">
        <v>120</v>
      </c>
      <c r="O25" s="211" t="s">
        <v>121</v>
      </c>
      <c r="P25" s="211" t="s">
        <v>102</v>
      </c>
      <c r="Q25" s="211" t="s">
        <v>149</v>
      </c>
      <c r="R25" s="211" t="s">
        <v>21</v>
      </c>
      <c r="S25" s="211" t="s">
        <v>12</v>
      </c>
      <c r="T25" s="211" t="s">
        <v>162</v>
      </c>
      <c r="U25" s="211" t="s">
        <v>124</v>
      </c>
      <c r="V25" s="245" t="s">
        <v>125</v>
      </c>
      <c r="W25" s="211" t="s">
        <v>126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">
      <c r="L26" s="211">
        <v>1</v>
      </c>
      <c r="M26" s="222">
        <f>AM7/3</f>
        <v>0.75666666666666682</v>
      </c>
      <c r="N26" s="213" t="s">
        <v>195</v>
      </c>
      <c r="O26" s="214"/>
      <c r="P26" s="214"/>
      <c r="Q26" s="214"/>
      <c r="R26" s="211" t="s">
        <v>196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0.0026455179841176272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">
      <c r="L27" s="211">
        <v>2</v>
      </c>
      <c r="M27" s="219">
        <v>3</v>
      </c>
      <c r="N27" s="218" t="s">
        <v>188</v>
      </c>
      <c r="O27" s="211"/>
      <c r="P27" s="211"/>
      <c r="Q27" s="211"/>
      <c r="R27" s="211" t="s">
        <v>189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0.00039333141834347972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">
      <c r="L28" s="211">
        <v>3</v>
      </c>
      <c r="M28" s="212">
        <v>3</v>
      </c>
      <c r="N28" s="218" t="s">
        <v>190</v>
      </c>
      <c r="O28" s="211"/>
      <c r="P28" s="211"/>
      <c r="Q28" s="211"/>
      <c r="R28" s="211" t="s">
        <v>189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0.00039333141834347972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">
      <c r="L29" s="211">
        <v>4</v>
      </c>
      <c r="M29" s="219">
        <v>3</v>
      </c>
      <c r="N29" s="213" t="s">
        <v>191</v>
      </c>
      <c r="O29" s="214"/>
      <c r="P29" s="214"/>
      <c r="Q29" s="214"/>
      <c r="R29" s="211" t="s">
        <v>192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0.00065555236390579948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">
      <c r="L30" s="211">
        <v>5</v>
      </c>
      <c r="M30" s="212">
        <v>3</v>
      </c>
      <c r="N30" s="213" t="s">
        <v>193</v>
      </c>
      <c r="O30" s="214"/>
      <c r="P30" s="214"/>
      <c r="Q30" s="214"/>
      <c r="R30" s="211" t="s">
        <v>192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0.0039333141834347971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">
      <c r="L31" s="211">
        <v>6</v>
      </c>
      <c r="M31" s="219">
        <v>3</v>
      </c>
      <c r="N31" s="213" t="s">
        <v>194</v>
      </c>
      <c r="O31" s="214"/>
      <c r="P31" s="214"/>
      <c r="Q31" s="214"/>
      <c r="R31" s="211" t="s">
        <v>168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0.0010488837822492793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">
      <c r="L32" s="211">
        <v>7</v>
      </c>
      <c r="M32" s="222">
        <f>AM6/1.9</f>
        <v>2.1052631578947367</v>
      </c>
      <c r="N32" s="213" t="s">
        <v>134</v>
      </c>
      <c r="O32" s="214"/>
      <c r="P32" s="214"/>
      <c r="Q32" s="214"/>
      <c r="R32" s="211" t="s">
        <v>197</v>
      </c>
      <c r="S32" s="211"/>
      <c r="T32" s="211"/>
      <c r="U32" s="248">
        <f>Sheet2!B25</f>
        <v>95</v>
      </c>
      <c r="V32" s="240">
        <f t="shared" si="3"/>
        <v>200</v>
      </c>
      <c r="W32" s="241">
        <f t="shared" si="4"/>
        <v>0.0017481396370821322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">
      <c r="L33" s="211">
        <v>8</v>
      </c>
      <c r="M33" s="222">
        <f>AM5</f>
        <v>0</v>
      </c>
      <c r="N33" s="213" t="s">
        <v>198</v>
      </c>
      <c r="O33" s="214"/>
      <c r="P33" s="214"/>
      <c r="Q33" s="214"/>
      <c r="R33" s="211" t="s">
        <v>168</v>
      </c>
      <c r="S33" s="211"/>
      <c r="T33" s="211"/>
      <c r="U33" s="248">
        <f>Sheet2!B26</f>
        <v>220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">
      <c r="L34" s="211">
        <v>9</v>
      </c>
      <c r="M34" s="222">
        <f>AM8</f>
        <v>0</v>
      </c>
      <c r="N34" s="213" t="s">
        <v>199</v>
      </c>
      <c r="O34" s="214"/>
      <c r="P34" s="214"/>
      <c r="Q34" s="214"/>
      <c r="R34" s="211" t="s">
        <v>168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">
      <c r="L40" s="211">
        <v>15</v>
      </c>
      <c r="M40" s="212">
        <f>IF((تسعير!BE5="B"),(Table15855[[#Totals],[الوزن]]+Table166241[[#Totals],[الوزن]]),0)</f>
        <v>154</v>
      </c>
      <c r="N40" s="213" t="s">
        <v>200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0.026921350411064835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201</v>
      </c>
      <c r="O41" s="214"/>
      <c r="P41" s="214"/>
      <c r="Q41" s="214"/>
      <c r="R41" s="211" t="s">
        <v>202</v>
      </c>
      <c r="S41" s="211"/>
      <c r="T41" s="211"/>
      <c r="U41" s="248">
        <f>Sheet2!B18</f>
        <v>360</v>
      </c>
      <c r="V41" s="240">
        <f t="shared" si="5"/>
        <v>3600</v>
      </c>
      <c r="W41" s="251">
        <f t="shared" si="4"/>
        <v>0.031466513467478377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203</v>
      </c>
      <c r="O42" s="214"/>
      <c r="P42" s="214"/>
      <c r="Q42" s="214"/>
      <c r="R42" s="218" t="s">
        <v>204</v>
      </c>
      <c r="S42" s="211"/>
      <c r="T42" s="211"/>
      <c r="U42" s="248">
        <f>Sheet2!B20</f>
        <v>435</v>
      </c>
      <c r="V42" s="240">
        <f t="shared" si="5"/>
        <v>4350</v>
      </c>
      <c r="W42" s="251">
        <f t="shared" si="4"/>
        <v>0.038022037106536372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">
      <c r="L43" s="211">
        <v>18</v>
      </c>
      <c r="M43" s="212">
        <f>AM15</f>
        <v>0.90800000000000025</v>
      </c>
      <c r="N43" s="218" t="s">
        <v>155</v>
      </c>
      <c r="O43" s="214"/>
      <c r="P43" s="214"/>
      <c r="Q43" s="214"/>
      <c r="R43" s="218" t="s">
        <v>205</v>
      </c>
      <c r="S43" s="211"/>
      <c r="T43" s="211"/>
      <c r="U43" s="248">
        <f>Sheet2!B22</f>
        <v>190</v>
      </c>
      <c r="V43" s="240">
        <f t="shared" si="5"/>
        <v>172.52000000000004</v>
      </c>
      <c r="W43" s="251">
        <f t="shared" si="4"/>
        <v>0.0015079452509470476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">
      <c r="L44" s="211">
        <v>19</v>
      </c>
      <c r="M44" s="212">
        <f>AM16</f>
        <v>0.90800000000000025</v>
      </c>
      <c r="N44" s="218" t="s">
        <v>158</v>
      </c>
      <c r="O44" s="214"/>
      <c r="P44" s="214"/>
      <c r="Q44" s="214"/>
      <c r="R44" s="218" t="s">
        <v>205</v>
      </c>
      <c r="S44" s="211"/>
      <c r="T44" s="211"/>
      <c r="U44" s="248">
        <f>Sheet2!B23</f>
        <v>190</v>
      </c>
      <c r="V44" s="240">
        <f t="shared" si="5"/>
        <v>172.52000000000004</v>
      </c>
      <c r="W44" s="251">
        <f t="shared" si="4"/>
        <v>0.0015079452509470476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">
      <c r="L45" s="508" t="s">
        <v>92</v>
      </c>
      <c r="M45" s="509"/>
      <c r="N45" s="510" t="s">
        <v>92</v>
      </c>
      <c r="O45" s="511"/>
      <c r="P45" s="511"/>
      <c r="Q45" s="511"/>
      <c r="R45" s="508" t="s">
        <v>206</v>
      </c>
      <c r="S45" s="508"/>
      <c r="T45" s="508"/>
      <c r="U45" s="512"/>
      <c r="V45" s="513">
        <f>SUBTOTAL(109,Table135926[اجمالي])</f>
        <v>12612.706666666669</v>
      </c>
      <c r="W45" s="514">
        <f>Table135926[[#Totals],[اجمالي]]/$R$71</f>
        <v>0.11024386227445029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">
      <c r="L47" s="216"/>
      <c r="M47" s="216"/>
      <c r="N47" s="217"/>
      <c r="O47" s="681" t="s">
        <v>250</v>
      </c>
      <c r="P47" s="681"/>
      <c r="Q47" s="681"/>
      <c r="R47" s="681"/>
      <c r="S47" s="681"/>
      <c r="T47" s="681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">
      <c r="L48" s="211" t="s">
        <v>19</v>
      </c>
      <c r="M48" s="211" t="s">
        <v>32</v>
      </c>
      <c r="N48" s="218" t="s">
        <v>120</v>
      </c>
      <c r="O48" s="211" t="s">
        <v>121</v>
      </c>
      <c r="P48" s="211" t="s">
        <v>102</v>
      </c>
      <c r="Q48" s="211" t="s">
        <v>149</v>
      </c>
      <c r="R48" s="211" t="s">
        <v>21</v>
      </c>
      <c r="S48" s="211" t="s">
        <v>12</v>
      </c>
      <c r="T48" s="211" t="s">
        <v>162</v>
      </c>
      <c r="U48" s="211" t="s">
        <v>124</v>
      </c>
      <c r="V48" s="245" t="s">
        <v>125</v>
      </c>
      <c r="W48" s="211" t="s">
        <v>126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">
      <c r="L49" s="211">
        <v>1</v>
      </c>
      <c r="M49" s="219">
        <v>0</v>
      </c>
      <c r="N49" s="214" t="s">
        <v>284</v>
      </c>
      <c r="O49" s="214"/>
      <c r="P49" s="211"/>
      <c r="Q49" s="216"/>
      <c r="R49" s="247" t="s">
        <v>285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">
      <c r="L50" s="211">
        <v>5</v>
      </c>
      <c r="M50" s="219">
        <v>1</v>
      </c>
      <c r="N50" s="213" t="s">
        <v>286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65613.300000000017</v>
      </c>
      <c r="V50" s="240">
        <f>M50*Table16136845[[#This Row],[سعر الشبك ]]</f>
        <v>65613.300000000017</v>
      </c>
      <c r="W50" s="241">
        <f t="shared" si="6"/>
        <v>0.57350605224880546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">
      <c r="L51" s="211">
        <v>4</v>
      </c>
      <c r="M51" s="212">
        <f>IF((Q67="الاسكندرية"),0.25,0.1)</f>
        <v>0.1</v>
      </c>
      <c r="N51" s="213" t="s">
        <v>219</v>
      </c>
      <c r="O51" s="214"/>
      <c r="P51" s="211"/>
      <c r="Q51" s="216"/>
      <c r="R51" s="214"/>
      <c r="S51" s="211"/>
      <c r="T51" s="247"/>
      <c r="U51" s="248">
        <f>V50</f>
        <v>65613.300000000017</v>
      </c>
      <c r="V51" s="240">
        <f>M51*Table16136845[[#This Row],[سعر الشبك ]]</f>
        <v>6561.3300000000017</v>
      </c>
      <c r="W51" s="241">
        <f t="shared" si="6"/>
        <v>0.057350605224880544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">
      <c r="L52" s="211" t="s">
        <v>92</v>
      </c>
      <c r="M52" s="212"/>
      <c r="N52" s="213" t="s">
        <v>92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72174.630000000019</v>
      </c>
      <c r="W52" s="244">
        <f>Table16136845[[#Totals],[اجمالي]]/$R$71</f>
        <v>0.630856657473686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">
      <c r="L53" s="216"/>
      <c r="M53" s="216"/>
      <c r="N53" s="217"/>
      <c r="O53" s="681" t="s">
        <v>220</v>
      </c>
      <c r="P53" s="681"/>
      <c r="Q53" s="681"/>
      <c r="R53" s="681"/>
      <c r="S53" s="681"/>
      <c r="T53" s="681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">
      <c r="L54" s="211" t="s">
        <v>19</v>
      </c>
      <c r="M54" s="211" t="s">
        <v>32</v>
      </c>
      <c r="N54" s="218" t="s">
        <v>120</v>
      </c>
      <c r="O54" s="211" t="s">
        <v>221</v>
      </c>
      <c r="P54" s="211" t="s">
        <v>105</v>
      </c>
      <c r="Q54" s="211" t="s">
        <v>222</v>
      </c>
      <c r="R54" s="211" t="s">
        <v>223</v>
      </c>
      <c r="S54" s="211" t="s">
        <v>149</v>
      </c>
      <c r="T54" s="211" t="s">
        <v>224</v>
      </c>
      <c r="U54" s="211" t="s">
        <v>225</v>
      </c>
      <c r="V54" s="245" t="s">
        <v>125</v>
      </c>
      <c r="W54" s="211" t="s">
        <v>126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">
      <c r="L55" s="211">
        <v>1</v>
      </c>
      <c r="M55" s="219">
        <v>2</v>
      </c>
      <c r="N55" s="220" t="s">
        <v>226</v>
      </c>
      <c r="O55" s="211">
        <f>IF((Table16126744[[#This Row],[موقع العمل]]="المصنع"),280,IF((Table16126744[[#This Row],[موقع العمل]]="الاسكندرية"),320,400))</f>
        <v>280</v>
      </c>
      <c r="P55" s="211">
        <f>SUMIF(Table176946[Column1],Table16126744[[#This Row],[موقع العمل]],$AB$2:$AB$20)</f>
        <v>0</v>
      </c>
      <c r="Q55" s="211" t="s">
        <v>227</v>
      </c>
      <c r="R55" s="214" t="s">
        <v>128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560</v>
      </c>
      <c r="V55" s="240">
        <f ref="V55:V67" t="shared" si="7">M55*U55</f>
        <v>1120</v>
      </c>
      <c r="W55" s="241">
        <f ref="W55:W67" t="shared" si="8">(V55)/$R$71</f>
        <v>0.00978958196765994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">
      <c r="L56" s="211">
        <v>2</v>
      </c>
      <c r="M56" s="219">
        <v>2</v>
      </c>
      <c r="N56" s="220" t="s">
        <v>228</v>
      </c>
      <c r="O56" s="211">
        <f>IF((Table16126744[[#This Row],[موقع العمل]]="المصنع"),280,IF((Table16126744[[#This Row],[موقع العمل]]="الاسكندرية"),320,400))</f>
        <v>280</v>
      </c>
      <c r="P56" s="211">
        <f>SUMIF(Table176946[Column1],Table16126744[[#This Row],[موقع العمل]],$AB$2:$AB$20)</f>
        <v>0</v>
      </c>
      <c r="Q56" s="211" t="s">
        <v>227</v>
      </c>
      <c r="R56" s="214" t="s">
        <v>128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560</v>
      </c>
      <c r="V56" s="240">
        <f t="shared" si="7"/>
        <v>1120</v>
      </c>
      <c r="W56" s="241">
        <f t="shared" si="8"/>
        <v>0.00978958196765994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">
      <c r="L57" s="211">
        <v>3</v>
      </c>
      <c r="M57" s="219">
        <v>2</v>
      </c>
      <c r="N57" s="220" t="s">
        <v>229</v>
      </c>
      <c r="O57" s="211">
        <f>IF((Table16126744[[#This Row],[موقع العمل]]="المصنع"),280,IF((Table16126744[[#This Row],[موقع العمل]]="الاسكندرية"),320,400))</f>
        <v>280</v>
      </c>
      <c r="P57" s="211">
        <f>SUMIF(Table176946[Column1],Table16126744[[#This Row],[موقع العمل]],$AB$2:$AB$20)</f>
        <v>0</v>
      </c>
      <c r="Q57" s="211" t="s">
        <v>227</v>
      </c>
      <c r="R57" s="214" t="s">
        <v>128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280</v>
      </c>
      <c r="V57" s="240">
        <f t="shared" si="7"/>
        <v>560</v>
      </c>
      <c r="W57" s="241">
        <f t="shared" si="8"/>
        <v>0.00489479098382997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">
      <c r="L58" s="211">
        <v>4</v>
      </c>
      <c r="M58" s="212">
        <v>3</v>
      </c>
      <c r="N58" s="220" t="s">
        <v>230</v>
      </c>
      <c r="O58" s="211">
        <f>IF((Table16126744[[#This Row],[موقع العمل]]="المصنع"),280,IF((Table16126744[[#This Row],[موقع العمل]]="الاسكندرية"),320,400))</f>
        <v>280</v>
      </c>
      <c r="P58" s="211">
        <f>SUMIF(Table176946[Column1],Table16126744[[#This Row],[موقع العمل]],$AB$2:$AB$20)</f>
        <v>0</v>
      </c>
      <c r="Q58" s="211" t="s">
        <v>227</v>
      </c>
      <c r="R58" s="214" t="s">
        <v>128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280</v>
      </c>
      <c r="V58" s="240">
        <f t="shared" si="7"/>
        <v>840</v>
      </c>
      <c r="W58" s="241">
        <f t="shared" si="8"/>
        <v>0.0073421864757449544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">
      <c r="L59" s="211">
        <v>5</v>
      </c>
      <c r="M59" s="212">
        <v>4</v>
      </c>
      <c r="N59" s="220" t="s">
        <v>231</v>
      </c>
      <c r="O59" s="211">
        <f>IF((Table16126744[[#This Row],[موقع العمل]]="المصنع"),280,IF((Table16126744[[#This Row],[موقع العمل]]="الاسكندرية"),320,400))</f>
        <v>400</v>
      </c>
      <c r="P59" s="211">
        <f>SUMIF(Table176946[Column1],Table16126744[[#This Row],[موقع العمل]],$AB$2:$AB$20)</f>
        <v>100</v>
      </c>
      <c r="Q59" s="394" t="str">
        <f>تسعير!$BE$4</f>
        <v>التجمع</v>
      </c>
      <c r="R59" s="214" t="s">
        <v>128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59" s="240">
        <f t="shared" si="7"/>
        <v>2000</v>
      </c>
      <c r="W59" s="241">
        <f t="shared" si="8"/>
        <v>0.017481396370821321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">
      <c r="L60" s="211">
        <v>6</v>
      </c>
      <c r="M60" s="212">
        <v>3</v>
      </c>
      <c r="N60" s="220" t="s">
        <v>232</v>
      </c>
      <c r="O60" s="211">
        <f>IF((Table16126744[[#This Row],[موقع العمل]]="المصنع"),280,IF((Table16126744[[#This Row],[موقع العمل]]="الاسكندرية"),320,400))</f>
        <v>400</v>
      </c>
      <c r="P60" s="211">
        <f>SUMIF(Table176946[Column1],Table16126744[[#This Row],[موقع العمل]],$AB$2:$AB$20)</f>
        <v>100</v>
      </c>
      <c r="Q60" s="394" t="str">
        <f>تسعير!$BE$4</f>
        <v>التجمع</v>
      </c>
      <c r="R60" s="214" t="s">
        <v>128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">
      <c r="L61" s="211">
        <v>7</v>
      </c>
      <c r="M61" s="212">
        <v>0</v>
      </c>
      <c r="N61" s="220" t="s">
        <v>233</v>
      </c>
      <c r="O61" s="211">
        <f>IF((Table16126744[[#This Row],[موقع العمل]]="المصنع"),280,IF((Table16126744[[#This Row],[موقع العمل]]="الاسكندرية"),320,400))</f>
        <v>400</v>
      </c>
      <c r="P61" s="211">
        <f>SUMIF(Table176946[Column1],Table16126744[[#This Row],[موقع العمل]],$AB$2:$AB$20)</f>
        <v>100</v>
      </c>
      <c r="Q61" s="394" t="str">
        <f>تسعير!$BE$4</f>
        <v>التجمع</v>
      </c>
      <c r="R61" s="214" t="s">
        <v>128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">
      <c r="L62" s="211">
        <v>8</v>
      </c>
      <c r="M62" s="212">
        <v>3</v>
      </c>
      <c r="N62" s="220" t="s">
        <v>234</v>
      </c>
      <c r="O62" s="211">
        <f>IF((Table16126744[[#This Row],[موقع العمل]]="المصنع"),280,IF((Table16126744[[#This Row],[موقع العمل]]="الاسكندرية"),320,400))</f>
        <v>400</v>
      </c>
      <c r="P62" s="211">
        <f>SUMIF(Table176946[Column1],Table16126744[[#This Row],[موقع العمل]],$AB$2:$AB$20)</f>
        <v>100</v>
      </c>
      <c r="Q62" s="394" t="str">
        <f>تسعير!$BE$4</f>
        <v>التجمع</v>
      </c>
      <c r="R62" s="214" t="s">
        <v>128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62" s="240">
        <f t="shared" si="7"/>
        <v>1500</v>
      </c>
      <c r="W62" s="241">
        <f t="shared" si="8"/>
        <v>0.013111047278115991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">
      <c r="L63" s="211">
        <v>9</v>
      </c>
      <c r="M63" s="212">
        <f>(M59+M60+M61+M62)*2</f>
        <v>20</v>
      </c>
      <c r="N63" s="220" t="s">
        <v>235</v>
      </c>
      <c r="O63" s="211"/>
      <c r="P63" s="211"/>
      <c r="Q63" s="394" t="str">
        <f>تسعير!$BE$4</f>
        <v>التجمع</v>
      </c>
      <c r="R63" s="214"/>
      <c r="S63" s="247">
        <f>SUMIF(Y2:Y20,Table16126744[[#This Row],[موقع العمل]],$Z$2:$Z$20)</f>
        <v>400</v>
      </c>
      <c r="T63" s="247"/>
      <c r="U63" s="243">
        <f>Table16126744[[#This Row],[Column12]]</f>
        <v>400</v>
      </c>
      <c r="V63" s="240">
        <f t="shared" si="7"/>
        <v>8000</v>
      </c>
      <c r="W63" s="241">
        <f t="shared" si="8"/>
        <v>0.069925585483285285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">
      <c r="L64" s="211">
        <v>10</v>
      </c>
      <c r="M64" s="212">
        <f>IF((تسعير!$BF$14="بالتات"),0,((T59+T60+T61+T62)*2)-3)</f>
        <v>0</v>
      </c>
      <c r="N64" s="220" t="s">
        <v>236</v>
      </c>
      <c r="O64" s="211"/>
      <c r="P64" s="211"/>
      <c r="Q64" s="394" t="str">
        <f>تسعير!$BE$4</f>
        <v>التجمع</v>
      </c>
      <c r="R64" s="214"/>
      <c r="S64" s="247">
        <f>SUMIF(Y2:Y20,Table16126744[[#This Row],[موقع العمل]],$AA$2:$AA$20)</f>
        <v>400</v>
      </c>
      <c r="T64" s="247"/>
      <c r="U64" s="243">
        <f>Table16126744[[#This Row],[Column12]]</f>
        <v>400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">
      <c r="L65" s="211">
        <v>11</v>
      </c>
      <c r="M65" s="212">
        <v>0</v>
      </c>
      <c r="N65" s="220" t="s">
        <v>237</v>
      </c>
      <c r="O65" s="211"/>
      <c r="P65" s="211"/>
      <c r="Q65" s="394" t="str">
        <f>تسعير!$BE$4</f>
        <v>التجمع</v>
      </c>
      <c r="R65" s="214"/>
      <c r="S65" s="247">
        <f>SUMIF(Y2:Y20,Table16126744[[#This Row],[موقع العمل]],$AC$2:$AC$20)</f>
        <v>3500</v>
      </c>
      <c r="T65" s="247"/>
      <c r="U65" s="243">
        <f>Table16126744[[#This Row],[Column12]]</f>
        <v>3500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">
      <c r="L66" s="211">
        <v>12</v>
      </c>
      <c r="M66" s="212">
        <f>IF((تسعير!$BF$14="بالتات"),1,2)</f>
        <v>1</v>
      </c>
      <c r="N66" s="220" t="s">
        <v>238</v>
      </c>
      <c r="O66" s="211"/>
      <c r="P66" s="211"/>
      <c r="Q66" s="394" t="str">
        <f>تسعير!$BE$4</f>
        <v>التجمع</v>
      </c>
      <c r="R66" s="214"/>
      <c r="S66" s="247">
        <f>SUMIF(Y2:Y20,Table16126744[[#This Row],[موقع العمل]],$AD$2:$AD$20)</f>
        <v>6000</v>
      </c>
      <c r="T66" s="247"/>
      <c r="U66" s="243">
        <f>Table16126744[[#This Row],[Column12]]</f>
        <v>6000</v>
      </c>
      <c r="V66" s="240">
        <f t="shared" si="7"/>
        <v>6000</v>
      </c>
      <c r="W66" s="241">
        <f t="shared" si="8"/>
        <v>0.052444189112463964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">
      <c r="L67" s="211">
        <v>13</v>
      </c>
      <c r="M67" s="212">
        <f>IF((تسعير!$BF$14="بالتات"),0,M64-2)</f>
        <v>0</v>
      </c>
      <c r="N67" s="220" t="s">
        <v>108</v>
      </c>
      <c r="O67" s="211"/>
      <c r="P67" s="211"/>
      <c r="Q67" s="394" t="str">
        <f>تسعير!$BE$4</f>
        <v>التجمع</v>
      </c>
      <c r="R67" s="214"/>
      <c r="S67" s="247">
        <f>SUMIF(Y2:Y20,Table16126744[[#This Row],[موقع العمل]],$AE$2:$AE$20)</f>
        <v>150</v>
      </c>
      <c r="T67" s="247"/>
      <c r="U67" s="243">
        <f>Table16126744[[#This Row],[Column12]]</f>
        <v>150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">
      <c r="L68" s="572" t="s">
        <v>92</v>
      </c>
      <c r="M68" s="571"/>
      <c r="N68" s="550" t="s">
        <v>92</v>
      </c>
      <c r="O68" s="572"/>
      <c r="P68" s="572"/>
      <c r="Q68" s="573"/>
      <c r="R68" s="573"/>
      <c r="S68" s="574">
        <f>SUBTOTAL(109,Table16126744[Column12])</f>
        <v>10450</v>
      </c>
      <c r="T68" s="572"/>
      <c r="U68" s="242"/>
      <c r="V68" s="575">
        <f>SUBTOTAL(109,Table16126744[اجمالي])</f>
        <v>21140</v>
      </c>
      <c r="W68" s="576">
        <f>Table16126744[[#Totals],[اجمالي]]/$R$71</f>
        <v>0.18477835963958136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">
      <c r="L69" s="216"/>
      <c r="M69" s="216"/>
      <c r="N69" s="217"/>
      <c r="O69" s="692"/>
      <c r="P69" s="692"/>
      <c r="Q69" s="692"/>
      <c r="R69" s="692"/>
      <c r="S69" s="692"/>
      <c r="T69" s="692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">
      <c r="L70" s="211"/>
      <c r="M70" s="211"/>
      <c r="N70" s="218" t="s">
        <v>102</v>
      </c>
      <c r="O70" s="211" t="s">
        <v>239</v>
      </c>
      <c r="P70" s="211" t="s">
        <v>240</v>
      </c>
      <c r="Q70" s="211" t="s">
        <v>184</v>
      </c>
      <c r="R70" s="211" t="s">
        <v>121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">
      <c r="L71" s="211"/>
      <c r="M71" s="219"/>
      <c r="N71" s="213" t="s">
        <v>241</v>
      </c>
      <c r="O71" s="214"/>
      <c r="P71" s="211"/>
      <c r="Q71" s="280"/>
      <c r="R71" s="281">
        <f>Table16126744[[#Totals],[اجمالي]]+Table16136845[[#Totals],[اجمالي]]+Table135926[[#Totals],[اجمالي]]+Table166241[[#Totals],[اجمالي]]+Table156140[[#Totals],[اجمالي]]+Table15855[[#Totals],[اجمالي]]</f>
        <v>114407.33666666668</v>
      </c>
      <c r="S71" s="211"/>
      <c r="T71" s="211"/>
      <c r="U71" s="243"/>
      <c r="V71" s="282"/>
      <c r="W71" s="395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">
      <c r="L72" s="211"/>
      <c r="M72" s="212"/>
      <c r="N72" s="213" t="s">
        <v>242</v>
      </c>
      <c r="O72" s="214"/>
      <c r="P72" s="211"/>
      <c r="Q72" s="310">
        <f>IF((Q67="المقطم"),0.3,IF((Q67="التجمع"),0.3,IF((Q67="الشيخ زايد"),0.3,IF((Q67="الاسكندرية"),0.5,0.35))))</f>
        <v>0.3</v>
      </c>
      <c r="R72" s="281">
        <f>R71*(1+Table187054[[#This Row],[Column3]])</f>
        <v>148729.5376666667</v>
      </c>
      <c r="S72" s="211"/>
      <c r="T72" s="211"/>
      <c r="U72" s="243"/>
      <c r="V72" s="282"/>
      <c r="W72" s="28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500-000000000000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4"/>
  <dimension ref="A1:AG92"/>
  <sheetViews>
    <sheetView rightToLeft="1" topLeftCell="I1" zoomScale="55" zoomScaleNormal="55" workbookViewId="0">
      <selection activeCell="Q15" sqref="Q15"/>
    </sheetView>
  </sheetViews>
  <sheetFormatPr defaultColWidth="9.109375" defaultRowHeight="14.4"/>
  <cols>
    <col min="1" max="1" width="11.33203125" customWidth="1" style="313"/>
    <col min="2" max="2" width="11.5546875" customWidth="1" style="313"/>
    <col min="3" max="3" width="38" customWidth="1" style="313"/>
    <col min="4" max="4" width="11.5546875" customWidth="1" style="313"/>
    <col min="5" max="5" width="11.88671875" customWidth="1" style="314"/>
    <col min="6" max="6" width="14.109375" customWidth="1" style="313"/>
    <col min="7" max="7" width="13" customWidth="1" style="313"/>
    <col min="8" max="8" width="27.33203125" customWidth="1" style="313"/>
    <col min="9" max="9" width="8.88671875" customWidth="1" style="313"/>
    <col min="10" max="10" width="37.5546875" customWidth="1" style="313"/>
    <col min="11" max="11" width="8.88671875" customWidth="1" style="313"/>
    <col min="12" max="12" width="9.109375" customWidth="1"/>
    <col min="13" max="13" width="17" customWidth="1"/>
    <col min="14" max="14" width="13.44140625" customWidth="1"/>
    <col min="15" max="15" width="12.5546875" customWidth="1"/>
    <col min="17" max="17" width="12.6640625" customWidth="1"/>
    <col min="18" max="18" width="18.44140625" customWidth="1"/>
    <col min="19" max="19" width="16.6640625" customWidth="1"/>
    <col min="21" max="21" width="1.109375" customWidth="1"/>
    <col min="22" max="22" width="19" customWidth="1"/>
    <col min="23" max="23" width="14.5546875" customWidth="1"/>
    <col min="24" max="24" width="2.5546875" customWidth="1"/>
    <col min="25" max="25" width="22" customWidth="1"/>
    <col min="26" max="28" width="14.6640625" customWidth="1"/>
    <col min="30" max="30" width="27.6640625" customWidth="1"/>
    <col min="31" max="31" width="12.88671875" customWidth="1"/>
    <col min="32" max="32" width="14.5546875" customWidth="1"/>
  </cols>
  <sheetData>
    <row r="1">
      <c r="A1" s="315"/>
      <c r="B1" s="316"/>
      <c r="C1" s="316"/>
      <c r="D1" s="316"/>
      <c r="E1" s="317"/>
      <c r="F1" s="316"/>
      <c r="G1" s="316"/>
      <c r="H1" s="316"/>
      <c r="I1" s="316"/>
      <c r="J1" s="316"/>
      <c r="K1" s="316"/>
      <c r="L1" s="351"/>
      <c r="M1" s="351"/>
      <c r="N1" s="351"/>
      <c r="O1" s="351"/>
      <c r="P1" s="352"/>
      <c r="R1" s="374"/>
      <c r="S1" s="316"/>
      <c r="T1" s="316"/>
      <c r="U1" s="316"/>
      <c r="V1" s="317"/>
      <c r="W1" s="316"/>
      <c r="X1" s="316"/>
      <c r="Y1" s="316"/>
      <c r="Z1" s="316"/>
      <c r="AA1" s="316"/>
      <c r="AB1" s="316"/>
      <c r="AC1" s="351"/>
      <c r="AD1" s="351"/>
      <c r="AE1" s="351"/>
      <c r="AF1" s="351"/>
      <c r="AG1" s="352"/>
    </row>
    <row r="2" ht="18">
      <c r="A2" s="318" t="s">
        <v>287</v>
      </c>
      <c r="B2" s="313" t="s">
        <v>288</v>
      </c>
      <c r="C2" s="313" t="s">
        <v>289</v>
      </c>
      <c r="E2" s="314" t="s">
        <v>102</v>
      </c>
      <c r="F2" s="313" t="s">
        <v>121</v>
      </c>
      <c r="H2" s="319" t="s">
        <v>102</v>
      </c>
      <c r="I2" s="353" t="s">
        <v>290</v>
      </c>
      <c r="J2" s="354" t="s">
        <v>291</v>
      </c>
      <c r="K2" s="355" t="s">
        <v>292</v>
      </c>
      <c r="M2" s="356" t="s">
        <v>293</v>
      </c>
      <c r="N2" s="356" t="s">
        <v>294</v>
      </c>
      <c r="O2" s="0" t="s">
        <v>102</v>
      </c>
      <c r="P2" s="357"/>
      <c r="R2" s="332"/>
      <c r="S2" s="313" t="s">
        <v>288</v>
      </c>
      <c r="T2" s="313" t="s">
        <v>289</v>
      </c>
      <c r="U2" s="313"/>
      <c r="V2" s="314" t="s">
        <v>102</v>
      </c>
      <c r="W2" s="313" t="s">
        <v>121</v>
      </c>
      <c r="X2" s="313"/>
      <c r="Y2" s="331" t="s">
        <v>102</v>
      </c>
      <c r="Z2" s="379" t="s">
        <v>290</v>
      </c>
      <c r="AA2" s="320" t="s">
        <v>291</v>
      </c>
      <c r="AB2" s="320" t="s">
        <v>292</v>
      </c>
      <c r="AD2" s="0" t="s">
        <v>293</v>
      </c>
      <c r="AE2" s="0" t="s">
        <v>294</v>
      </c>
      <c r="AF2" s="0" t="s">
        <v>102</v>
      </c>
      <c r="AG2" s="357"/>
    </row>
    <row r="3" ht="25.8">
      <c r="A3" s="548" t="s">
        <v>295</v>
      </c>
      <c r="B3" s="547">
        <v>2.5</v>
      </c>
      <c r="C3" s="547">
        <v>11.75</v>
      </c>
      <c r="E3" s="320" t="s">
        <v>44</v>
      </c>
      <c r="F3" s="320">
        <f>Sheet2!B42</f>
        <v>650</v>
      </c>
      <c r="H3" s="321" t="s">
        <v>296</v>
      </c>
      <c r="I3" s="358">
        <v>2</v>
      </c>
      <c r="J3" s="359">
        <v>75</v>
      </c>
      <c r="K3" s="360">
        <f ref="K3:K10" t="shared" si="0">I3*J3</f>
        <v>150</v>
      </c>
      <c r="M3" s="361" t="s">
        <v>297</v>
      </c>
      <c r="N3" s="361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1</v>
      </c>
      <c r="O3" s="361" t="str">
        <f>IF((N6&gt;0),"OK","WAIT")</f>
        <v>OK</v>
      </c>
      <c r="P3" s="357"/>
      <c r="R3" s="332"/>
      <c r="S3" s="375" t="s">
        <v>261</v>
      </c>
      <c r="T3" s="320">
        <v>17</v>
      </c>
      <c r="U3" s="313"/>
      <c r="V3" s="320" t="s">
        <v>44</v>
      </c>
      <c r="W3" s="320">
        <f>Sheet2!B42</f>
        <v>650</v>
      </c>
      <c r="X3" s="313"/>
      <c r="Y3" s="331" t="s">
        <v>298</v>
      </c>
      <c r="Z3" s="367">
        <v>8</v>
      </c>
      <c r="AA3" s="320">
        <v>50</v>
      </c>
      <c r="AB3" s="320">
        <f ref="AB3:AB11" t="shared" si="1">Z3*AA3</f>
        <v>400</v>
      </c>
      <c r="AD3" s="380" t="s">
        <v>297</v>
      </c>
      <c r="AE3" s="380">
        <f>IF((تسعير!AH28="3*3"),1,IF((تسعير!AH28="4*4"),2,no))</f>
        <v>1</v>
      </c>
      <c r="AF3" s="380"/>
      <c r="AG3" s="357"/>
    </row>
    <row r="4" ht="22.5" customHeight="1">
      <c r="A4" s="548" t="s">
        <v>295</v>
      </c>
      <c r="B4" s="547">
        <v>2.7</v>
      </c>
      <c r="C4" s="547">
        <v>13.5</v>
      </c>
      <c r="E4" s="320" t="s">
        <v>299</v>
      </c>
      <c r="F4" s="320">
        <f>Sheet2!B43</f>
        <v>130</v>
      </c>
      <c r="H4" s="321" t="s">
        <v>300</v>
      </c>
      <c r="I4" s="358">
        <v>2</v>
      </c>
      <c r="J4" s="359"/>
      <c r="K4" s="360">
        <f t="shared" si="0"/>
        <v>0</v>
      </c>
      <c r="M4" s="361" t="s">
        <v>301</v>
      </c>
      <c r="N4" s="361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11.75</v>
      </c>
      <c r="O4" s="361" t="str">
        <f>IF((N10=0),"WAIT","OK")</f>
        <v>OK</v>
      </c>
      <c r="P4" s="357"/>
      <c r="R4" s="332"/>
      <c r="S4" s="375" t="s">
        <v>302</v>
      </c>
      <c r="T4" s="320">
        <v>18.75</v>
      </c>
      <c r="U4" s="313"/>
      <c r="V4" s="320" t="s">
        <v>299</v>
      </c>
      <c r="W4" s="320">
        <f>Sheet2!B43</f>
        <v>130</v>
      </c>
      <c r="X4" s="313"/>
      <c r="Y4" s="331" t="s">
        <v>300</v>
      </c>
      <c r="Z4" s="367">
        <v>2</v>
      </c>
      <c r="AA4" s="320">
        <v>15</v>
      </c>
      <c r="AB4" s="320">
        <f t="shared" si="1"/>
        <v>30</v>
      </c>
      <c r="AD4" s="380" t="s">
        <v>301</v>
      </c>
      <c r="AE4" s="380">
        <f>IF((AE3=1),T3,IF((AE3=2),Table122[[#This Row],[ميزان]],no))</f>
        <v>17</v>
      </c>
      <c r="AF4" s="380"/>
      <c r="AG4" s="357"/>
    </row>
    <row r="5" ht="18">
      <c r="A5" s="548" t="s">
        <v>295</v>
      </c>
      <c r="B5" s="547">
        <v>3</v>
      </c>
      <c r="C5" s="547">
        <v>13.5</v>
      </c>
      <c r="E5" s="320" t="s">
        <v>39</v>
      </c>
      <c r="F5" s="320">
        <f>Sheet2!B44</f>
        <v>250</v>
      </c>
      <c r="H5" s="321" t="s">
        <v>303</v>
      </c>
      <c r="I5" s="358">
        <v>16</v>
      </c>
      <c r="J5" s="359">
        <v>10</v>
      </c>
      <c r="K5" s="360">
        <f t="shared" si="0"/>
        <v>160</v>
      </c>
      <c r="M5" s="361" t="s">
        <v>304</v>
      </c>
      <c r="N5" s="361">
        <f>IF((تسعير!AL8="خشبي"),'شماسي و كانتليفر'!F8,IF((تسعير!AL8="سادة"),'شماسي و كانتليفر'!F9,0))</f>
        <v>25</v>
      </c>
      <c r="O5" s="361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OK</v>
      </c>
      <c r="P5" s="357"/>
      <c r="R5" s="332"/>
      <c r="S5" s="320"/>
      <c r="T5" s="320"/>
      <c r="U5" s="313"/>
      <c r="V5" s="320" t="s">
        <v>39</v>
      </c>
      <c r="W5" s="320">
        <f>Sheet2!B44</f>
        <v>250</v>
      </c>
      <c r="X5" s="313"/>
      <c r="Y5" s="331" t="s">
        <v>305</v>
      </c>
      <c r="Z5" s="367">
        <v>1</v>
      </c>
      <c r="AA5" s="320">
        <v>150</v>
      </c>
      <c r="AB5" s="320">
        <f t="shared" si="1"/>
        <v>150</v>
      </c>
      <c r="AD5" s="380" t="s">
        <v>304</v>
      </c>
      <c r="AE5" s="380">
        <f>IF((تسعير!AI28="خشبي"),W8,IF((تسعير!AI28="سادة"),W9,IF((تسعير!AI28="ذهبي"),W10,0)))</f>
        <v>25</v>
      </c>
      <c r="AF5" s="380"/>
      <c r="AG5" s="357"/>
    </row>
    <row r="6" ht="18">
      <c r="A6" s="548" t="s">
        <v>295</v>
      </c>
      <c r="B6" s="547">
        <v>3.5</v>
      </c>
      <c r="C6" s="547">
        <v>14.6</v>
      </c>
      <c r="E6" s="320" t="s">
        <v>306</v>
      </c>
      <c r="F6" s="320">
        <v>250</v>
      </c>
      <c r="H6" s="321" t="s">
        <v>307</v>
      </c>
      <c r="I6" s="358">
        <v>16</v>
      </c>
      <c r="J6" s="359">
        <v>1</v>
      </c>
      <c r="K6" s="360">
        <f t="shared" si="0"/>
        <v>16</v>
      </c>
      <c r="M6" s="361" t="s">
        <v>308</v>
      </c>
      <c r="N6" s="361">
        <f>(N5+'شماسي و كانتليفر'!F10)*(N4)</f>
        <v>2667.25</v>
      </c>
      <c r="O6" s="361" t="str">
        <f>IF((N5=0),"WAIT","OK")</f>
        <v>OK</v>
      </c>
      <c r="P6" s="357"/>
      <c r="R6" s="332"/>
      <c r="S6" s="320"/>
      <c r="T6" s="320">
        <v>37</v>
      </c>
      <c r="U6" s="313"/>
      <c r="V6" s="320" t="s">
        <v>309</v>
      </c>
      <c r="W6" s="320">
        <v>250</v>
      </c>
      <c r="X6" s="313"/>
      <c r="Y6" s="331" t="s">
        <v>310</v>
      </c>
      <c r="Z6" s="367">
        <v>1</v>
      </c>
      <c r="AA6" s="320">
        <v>150</v>
      </c>
      <c r="AB6" s="320">
        <f t="shared" si="1"/>
        <v>150</v>
      </c>
      <c r="AD6" s="380" t="s">
        <v>308</v>
      </c>
      <c r="AE6" s="380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3859</v>
      </c>
      <c r="AF6" s="380"/>
      <c r="AG6" s="357"/>
    </row>
    <row r="7" ht="18">
      <c r="A7" s="548" t="s">
        <v>311</v>
      </c>
      <c r="B7" s="547">
        <v>2</v>
      </c>
      <c r="C7" s="547">
        <v>10.5</v>
      </c>
      <c r="E7" s="320" t="s">
        <v>102</v>
      </c>
      <c r="F7" s="320" t="s">
        <v>121</v>
      </c>
      <c r="H7" s="321" t="s">
        <v>312</v>
      </c>
      <c r="I7" s="358">
        <v>2</v>
      </c>
      <c r="J7" s="359">
        <v>80</v>
      </c>
      <c r="K7" s="360">
        <f t="shared" si="0"/>
        <v>160</v>
      </c>
      <c r="M7" s="361" t="s">
        <v>313</v>
      </c>
      <c r="N7" s="361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0</v>
      </c>
      <c r="O7" s="361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WAIT</v>
      </c>
      <c r="P7" s="357"/>
      <c r="R7" s="332"/>
      <c r="S7" s="320"/>
      <c r="T7" s="320">
        <v>45</v>
      </c>
      <c r="U7" s="313"/>
      <c r="V7" s="320" t="s">
        <v>102</v>
      </c>
      <c r="W7" s="320" t="s">
        <v>121</v>
      </c>
      <c r="X7" s="313"/>
      <c r="Y7" s="331" t="s">
        <v>314</v>
      </c>
      <c r="Z7" s="367">
        <v>1</v>
      </c>
      <c r="AA7" s="320">
        <v>150</v>
      </c>
      <c r="AB7" s="320">
        <f t="shared" si="1"/>
        <v>150</v>
      </c>
      <c r="AD7" s="380" t="s">
        <v>313</v>
      </c>
      <c r="AE7" s="380">
        <f>IF((تسعير!AJ28="اسباني"),W3,IF((تسعير!AJ28="بولي استر"),W5,IF((تسعير!AJ28="hdpe"),W4,IF((تسعير!AJ28="مصري"),W6,0))))</f>
        <v>650</v>
      </c>
      <c r="AF7" s="380"/>
      <c r="AG7" s="357"/>
    </row>
    <row r="8" ht="18">
      <c r="A8" s="548" t="s">
        <v>311</v>
      </c>
      <c r="B8" s="547">
        <v>2.5</v>
      </c>
      <c r="C8" s="547">
        <v>11.75</v>
      </c>
      <c r="E8" s="320" t="s">
        <v>36</v>
      </c>
      <c r="F8" s="320">
        <f>Table626[[#This Row],[Column2]]</f>
        <v>70</v>
      </c>
      <c r="H8" s="321" t="s">
        <v>315</v>
      </c>
      <c r="I8" s="358">
        <v>2</v>
      </c>
      <c r="J8" s="359">
        <v>20</v>
      </c>
      <c r="K8" s="360">
        <f t="shared" si="0"/>
        <v>40</v>
      </c>
      <c r="M8" s="361" t="s">
        <v>316</v>
      </c>
      <c r="N8" s="361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5.65</v>
      </c>
      <c r="O8" s="361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57"/>
      <c r="R8" s="332"/>
      <c r="S8" s="320"/>
      <c r="T8" s="320"/>
      <c r="U8" s="313"/>
      <c r="V8" s="320" t="s">
        <v>36</v>
      </c>
      <c r="W8" s="320">
        <f>Sheet2!B15/1000</f>
        <v>70</v>
      </c>
      <c r="X8" s="313"/>
      <c r="Y8" s="331" t="s">
        <v>317</v>
      </c>
      <c r="Z8" s="367">
        <v>2</v>
      </c>
      <c r="AA8" s="320">
        <v>50</v>
      </c>
      <c r="AB8" s="320">
        <f t="shared" si="1"/>
        <v>100</v>
      </c>
      <c r="AD8" s="380" t="s">
        <v>316</v>
      </c>
      <c r="AE8" s="380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13</v>
      </c>
      <c r="AF8" s="380"/>
      <c r="AG8" s="357"/>
    </row>
    <row r="9" ht="18">
      <c r="A9" s="548" t="s">
        <v>311</v>
      </c>
      <c r="B9" s="547">
        <v>3</v>
      </c>
      <c r="C9" s="547">
        <v>13.5</v>
      </c>
      <c r="E9" s="320" t="s">
        <v>318</v>
      </c>
      <c r="F9" s="320">
        <f>Table626[[#This Row],[Column2]]</f>
        <v>25</v>
      </c>
      <c r="H9" s="321" t="s">
        <v>319</v>
      </c>
      <c r="I9" s="358">
        <v>7</v>
      </c>
      <c r="J9" s="359">
        <v>8</v>
      </c>
      <c r="K9" s="360">
        <f t="shared" si="0"/>
        <v>56</v>
      </c>
      <c r="M9" s="361" t="s">
        <v>320</v>
      </c>
      <c r="N9" s="361">
        <f>N8*N7</f>
        <v>0</v>
      </c>
      <c r="O9" s="361"/>
      <c r="P9" s="357"/>
      <c r="R9" s="332"/>
      <c r="S9" s="320"/>
      <c r="T9" s="320"/>
      <c r="U9" s="313"/>
      <c r="V9" s="320" t="s">
        <v>318</v>
      </c>
      <c r="W9" s="320">
        <f>Sheet2!B41</f>
        <v>25</v>
      </c>
      <c r="X9" s="313"/>
      <c r="Y9" s="331" t="s">
        <v>321</v>
      </c>
      <c r="Z9" s="367">
        <v>36</v>
      </c>
      <c r="AA9" s="320">
        <v>25</v>
      </c>
      <c r="AB9" s="320">
        <f t="shared" si="1"/>
        <v>900</v>
      </c>
      <c r="AD9" s="380" t="s">
        <v>320</v>
      </c>
      <c r="AE9" s="380">
        <f>AE8*AE7</f>
        <v>8450</v>
      </c>
      <c r="AF9" s="380"/>
      <c r="AG9" s="357"/>
    </row>
    <row r="10" ht="18">
      <c r="A10" s="548" t="s">
        <v>311</v>
      </c>
      <c r="B10" s="547">
        <v>3.3</v>
      </c>
      <c r="C10" s="547">
        <v>16.5</v>
      </c>
      <c r="E10" s="320" t="s">
        <v>15</v>
      </c>
      <c r="F10" s="320">
        <f>W11</f>
        <v>202</v>
      </c>
      <c r="H10" s="321" t="s">
        <v>322</v>
      </c>
      <c r="I10" s="358">
        <v>8</v>
      </c>
      <c r="J10" s="359">
        <v>50</v>
      </c>
      <c r="K10" s="360">
        <f t="shared" si="0"/>
        <v>400</v>
      </c>
      <c r="M10" s="361" t="s">
        <v>323</v>
      </c>
      <c r="N10" s="361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5532</v>
      </c>
      <c r="O10" s="361"/>
      <c r="P10" s="357"/>
      <c r="R10" s="332"/>
      <c r="S10" s="320"/>
      <c r="T10" s="320"/>
      <c r="U10" s="313"/>
      <c r="V10" s="320" t="s">
        <v>324</v>
      </c>
      <c r="W10" s="320">
        <v>90</v>
      </c>
      <c r="X10" s="313"/>
      <c r="Y10" s="331" t="s">
        <v>325</v>
      </c>
      <c r="Z10" s="367">
        <v>1</v>
      </c>
      <c r="AA10" s="320">
        <v>75</v>
      </c>
      <c r="AB10" s="320">
        <f t="shared" si="1"/>
        <v>75</v>
      </c>
      <c r="AD10" s="380" t="s">
        <v>323</v>
      </c>
      <c r="AE10" s="380">
        <f>IF(تسعير!AG28="جملة",(((W12+W13)/2)+Table424[[#Totals],[قيمة]]),IF(تسعير!AG28="قطاعي",(((W12+W13))+Table424[[#Totals],[قيمة]]),0))</f>
        <v>6430</v>
      </c>
      <c r="AF10" s="380"/>
      <c r="AG10" s="357"/>
    </row>
    <row r="11" ht="18">
      <c r="A11" s="318"/>
      <c r="E11" s="322" t="s">
        <v>326</v>
      </c>
      <c r="F11" s="323">
        <v>800</v>
      </c>
      <c r="H11" s="324" t="s">
        <v>327</v>
      </c>
      <c r="I11" s="362"/>
      <c r="J11" s="363"/>
      <c r="K11" s="364">
        <v>250</v>
      </c>
      <c r="M11" s="361" t="s">
        <v>328</v>
      </c>
      <c r="N11" s="361">
        <f>IF(OR(تسعير!AN8="double",تسعير!AN8="single مطرز"),'شماسي و كانتليفر'!F13,0)</f>
        <v>0</v>
      </c>
      <c r="O11" s="361"/>
      <c r="P11" s="357"/>
      <c r="R11" s="332"/>
      <c r="S11" s="313"/>
      <c r="T11" s="313"/>
      <c r="U11" s="313"/>
      <c r="V11" s="320" t="s">
        <v>15</v>
      </c>
      <c r="W11" s="320">
        <f>Sheet2!B14/1000</f>
        <v>202</v>
      </c>
      <c r="X11" s="313"/>
      <c r="Y11" s="331" t="s">
        <v>329</v>
      </c>
      <c r="Z11" s="367">
        <v>1</v>
      </c>
      <c r="AA11" s="320">
        <v>75</v>
      </c>
      <c r="AB11" s="320">
        <f t="shared" si="1"/>
        <v>75</v>
      </c>
      <c r="AD11" s="380" t="s">
        <v>328</v>
      </c>
      <c r="AE11" s="380">
        <f>IF(تسعير!AK28="no",0,W14)</f>
        <v>1200</v>
      </c>
      <c r="AF11" s="380"/>
      <c r="AG11" s="357"/>
    </row>
    <row r="12" ht="18">
      <c r="A12" s="318"/>
      <c r="E12" s="325" t="s">
        <v>330</v>
      </c>
      <c r="F12" s="326">
        <v>800</v>
      </c>
      <c r="H12" s="327" t="s">
        <v>331</v>
      </c>
      <c r="I12" s="358"/>
      <c r="J12" s="359"/>
      <c r="K12" s="365">
        <v>2700</v>
      </c>
      <c r="M12" s="361" t="s">
        <v>332</v>
      </c>
      <c r="N12" s="361">
        <f>'شماسي و كانتليفر'!K12</f>
        <v>2700</v>
      </c>
      <c r="O12" s="361"/>
      <c r="P12" s="357"/>
      <c r="R12" s="332"/>
      <c r="S12" s="313"/>
      <c r="T12" s="313"/>
      <c r="U12" s="313"/>
      <c r="V12" s="320" t="s">
        <v>326</v>
      </c>
      <c r="W12" s="320">
        <v>800</v>
      </c>
      <c r="X12" s="313"/>
      <c r="Y12" s="380" t="s">
        <v>331</v>
      </c>
      <c r="Z12" s="367"/>
      <c r="AA12" s="320"/>
      <c r="AB12" s="217">
        <f>Sheet2!B45</f>
        <v>2000</v>
      </c>
      <c r="AD12" s="380" t="s">
        <v>3</v>
      </c>
      <c r="AE12" s="380">
        <f>IF(تسعير!AG28="نصف جملة",((AE6+AE9+AE10+AE11+تسعير!AL28)*1.25),IF(تسعير!AG28="جملة",(((AE6+AE9+AE10+AE11+تسعير!AL28)*1.275)),((AE6+AE9+AE10+AE11+تسعير!AL28)*1.3)))</f>
        <v>25920.7</v>
      </c>
      <c r="AF12" s="380"/>
      <c r="AG12" s="357"/>
    </row>
    <row r="13" ht="18">
      <c r="A13" s="318"/>
      <c r="E13" s="328" t="s">
        <v>333</v>
      </c>
      <c r="F13" s="329">
        <v>1200</v>
      </c>
      <c r="H13" s="330" t="s">
        <v>92</v>
      </c>
      <c r="I13" s="363"/>
      <c r="J13" s="363"/>
      <c r="K13" s="366">
        <f>SUBTOTAL(109,Table4[قيمة])</f>
        <v>3932</v>
      </c>
      <c r="M13" s="361" t="s">
        <v>3</v>
      </c>
      <c r="N13" s="361">
        <f>IF(تسعير!AI8="نصف جملة",((N6+N9+N10+N11+تسعير!AO8)*1.275),IF(تسعير!AI8="جملة",(((N6+N9+N10+N11+تسعير!AO8)*1.25)),((N6+N9+N10+N11+تسعير!AO8)*1.3)))</f>
        <v>10659.025</v>
      </c>
      <c r="O13" s="361"/>
      <c r="P13" s="357"/>
      <c r="R13" s="332"/>
      <c r="S13" s="313"/>
      <c r="T13" s="313"/>
      <c r="U13" s="313"/>
      <c r="V13" s="320" t="s">
        <v>330</v>
      </c>
      <c r="W13" s="320">
        <v>800</v>
      </c>
      <c r="X13" s="313"/>
      <c r="Y13" s="331" t="s">
        <v>334</v>
      </c>
      <c r="Z13" s="367">
        <v>8</v>
      </c>
      <c r="AA13" s="320">
        <v>100</v>
      </c>
      <c r="AB13" s="320">
        <f>Table424[[#This Row],[سعر الوحدة]]*Table424[[#This Row],[عدد/الشمسية]]</f>
        <v>800</v>
      </c>
      <c r="AG13" s="357"/>
    </row>
    <row r="14" ht="18">
      <c r="A14" s="318"/>
      <c r="H14" s="331"/>
      <c r="I14" s="367"/>
      <c r="J14" s="320"/>
      <c r="K14" s="320"/>
      <c r="M14" s="361"/>
      <c r="N14" s="361"/>
      <c r="O14" s="361"/>
      <c r="P14" s="357"/>
      <c r="R14" s="332"/>
      <c r="S14" s="313"/>
      <c r="T14" s="313"/>
      <c r="U14" s="313"/>
      <c r="V14" s="320" t="s">
        <v>333</v>
      </c>
      <c r="W14" s="320">
        <f>Sheet2!B54</f>
        <v>1200</v>
      </c>
      <c r="X14" s="313"/>
      <c r="Y14" s="331"/>
      <c r="Z14" s="367"/>
      <c r="AA14" s="320"/>
      <c r="AB14" s="320"/>
      <c r="AG14" s="357"/>
    </row>
    <row r="15" ht="18">
      <c r="A15" s="318"/>
      <c r="H15" s="314" t="s">
        <v>288</v>
      </c>
      <c r="I15" s="313" t="s">
        <v>335</v>
      </c>
      <c r="J15" s="313" t="s">
        <v>336</v>
      </c>
      <c r="K15" s="313" t="s">
        <v>337</v>
      </c>
      <c r="M15" s="361"/>
      <c r="N15" s="361"/>
      <c r="O15" s="361"/>
      <c r="P15" s="357"/>
      <c r="R15" s="332"/>
      <c r="S15" s="313"/>
      <c r="T15" s="313"/>
      <c r="U15" s="313"/>
      <c r="V15" s="314"/>
      <c r="W15" s="313"/>
      <c r="X15" s="313"/>
      <c r="Y15" s="331" t="s">
        <v>92</v>
      </c>
      <c r="Z15" s="320"/>
      <c r="AA15" s="320"/>
      <c r="AB15" s="320">
        <f>SUBTOTAL(109,Table424[قيمة])</f>
        <v>4830</v>
      </c>
      <c r="AG15" s="357"/>
    </row>
    <row r="16" ht="18">
      <c r="A16" s="318"/>
      <c r="E16" s="314" t="s">
        <v>102</v>
      </c>
      <c r="F16" s="314" t="s">
        <v>121</v>
      </c>
      <c r="H16" s="320" t="s">
        <v>338</v>
      </c>
      <c r="I16" s="547">
        <v>5.8</v>
      </c>
      <c r="J16" s="547">
        <v>8.6</v>
      </c>
      <c r="K16" s="547">
        <v>11.4</v>
      </c>
      <c r="M16" s="361"/>
      <c r="N16" s="361"/>
      <c r="O16" s="361"/>
      <c r="P16" s="357"/>
      <c r="R16" s="332"/>
      <c r="S16" s="313"/>
      <c r="T16" s="313"/>
      <c r="U16" s="313"/>
      <c r="V16" s="314"/>
      <c r="W16" s="313"/>
      <c r="X16" s="313"/>
      <c r="Y16" s="331"/>
      <c r="Z16" s="367"/>
      <c r="AA16" s="320"/>
      <c r="AB16" s="320"/>
      <c r="AG16" s="357"/>
    </row>
    <row r="17" ht="18">
      <c r="A17" s="332"/>
      <c r="E17" s="314" t="s">
        <v>339</v>
      </c>
      <c r="F17" s="313" t="s">
        <v>340</v>
      </c>
      <c r="H17" s="320" t="s">
        <v>341</v>
      </c>
      <c r="I17" s="547">
        <v>5.65</v>
      </c>
      <c r="J17" s="547" t="s">
        <v>342</v>
      </c>
      <c r="K17" s="547" t="s">
        <v>342</v>
      </c>
      <c r="P17" s="357"/>
      <c r="R17" s="332"/>
      <c r="V17" s="314" t="s">
        <v>102</v>
      </c>
      <c r="W17" s="313" t="s">
        <v>121</v>
      </c>
      <c r="X17" s="313"/>
      <c r="Y17" s="314" t="s">
        <v>288</v>
      </c>
      <c r="Z17" s="313" t="s">
        <v>335</v>
      </c>
      <c r="AA17" s="313" t="s">
        <v>336</v>
      </c>
      <c r="AB17" s="313" t="s">
        <v>337</v>
      </c>
      <c r="AG17" s="357"/>
    </row>
    <row r="18" ht="18">
      <c r="A18" s="332"/>
      <c r="E18" s="314" t="s">
        <v>343</v>
      </c>
      <c r="F18" s="313" t="s">
        <v>344</v>
      </c>
      <c r="H18" s="320" t="s">
        <v>345</v>
      </c>
      <c r="I18" s="547">
        <v>6.1</v>
      </c>
      <c r="J18" s="547" t="s">
        <v>342</v>
      </c>
      <c r="K18" s="547" t="s">
        <v>342</v>
      </c>
      <c r="N18" s="693">
        <f>N6+N9+N10+N11</f>
        <v>8199.25</v>
      </c>
      <c r="O18" s="693"/>
      <c r="P18" s="357"/>
      <c r="R18" s="332"/>
      <c r="V18" s="320" t="s">
        <v>339</v>
      </c>
      <c r="W18" s="331" t="s">
        <v>340</v>
      </c>
      <c r="X18" s="313"/>
      <c r="Y18" s="320" t="s">
        <v>261</v>
      </c>
      <c r="Z18" s="320">
        <v>10</v>
      </c>
      <c r="AA18" s="320">
        <v>13</v>
      </c>
      <c r="AB18" s="320">
        <v>16</v>
      </c>
      <c r="AG18" s="357"/>
    </row>
    <row r="19" ht="18">
      <c r="A19" s="332"/>
      <c r="E19" s="314" t="s">
        <v>346</v>
      </c>
      <c r="F19" s="313" t="s">
        <v>347</v>
      </c>
      <c r="H19" s="320" t="s">
        <v>348</v>
      </c>
      <c r="I19" s="547">
        <v>6.5</v>
      </c>
      <c r="J19" s="547" t="s">
        <v>342</v>
      </c>
      <c r="K19" s="547" t="s">
        <v>342</v>
      </c>
      <c r="N19" s="693"/>
      <c r="O19" s="693"/>
      <c r="P19" s="357"/>
      <c r="R19" s="332"/>
      <c r="V19" s="320" t="s">
        <v>343</v>
      </c>
      <c r="W19" s="331" t="s">
        <v>344</v>
      </c>
      <c r="X19" s="313"/>
      <c r="Y19" s="320" t="s">
        <v>302</v>
      </c>
      <c r="Z19" s="320">
        <v>16</v>
      </c>
      <c r="AA19" s="320">
        <v>20</v>
      </c>
      <c r="AB19" s="320">
        <v>24</v>
      </c>
      <c r="AG19" s="357"/>
    </row>
    <row r="20" ht="18">
      <c r="A20" s="332"/>
      <c r="F20" s="313" t="s">
        <v>349</v>
      </c>
      <c r="H20" s="320" t="s">
        <v>350</v>
      </c>
      <c r="I20" s="547">
        <v>7.5</v>
      </c>
      <c r="J20" s="547" t="s">
        <v>342</v>
      </c>
      <c r="K20" s="547" t="s">
        <v>342</v>
      </c>
      <c r="N20" s="693"/>
      <c r="O20" s="693"/>
      <c r="P20" s="357"/>
      <c r="R20" s="332"/>
      <c r="V20" s="320"/>
      <c r="W20" s="331" t="s">
        <v>347</v>
      </c>
      <c r="X20" s="313"/>
      <c r="Y20" s="320"/>
      <c r="Z20" s="320"/>
      <c r="AA20" s="320"/>
      <c r="AB20" s="320"/>
      <c r="AG20" s="357"/>
    </row>
    <row r="21" ht="18">
      <c r="A21" s="332"/>
      <c r="H21" s="320" t="s">
        <v>351</v>
      </c>
      <c r="I21" s="547">
        <v>7.1</v>
      </c>
      <c r="J21" s="547">
        <v>10.6</v>
      </c>
      <c r="K21" s="547">
        <v>14.1</v>
      </c>
      <c r="P21" s="357"/>
      <c r="R21" s="332"/>
      <c r="V21" s="314"/>
      <c r="W21" s="313"/>
      <c r="X21" s="313"/>
      <c r="Y21" s="320"/>
      <c r="Z21" s="320"/>
      <c r="AA21" s="320"/>
      <c r="AB21" s="320"/>
      <c r="AG21" s="357"/>
    </row>
    <row r="22" ht="18">
      <c r="A22" s="332"/>
      <c r="H22" s="320" t="s">
        <v>352</v>
      </c>
      <c r="I22" s="547">
        <v>8.5</v>
      </c>
      <c r="J22" s="547">
        <v>12.8</v>
      </c>
      <c r="K22" s="547">
        <v>17.1</v>
      </c>
      <c r="N22" s="693">
        <f>N18*1.8</f>
        <v>14758.65</v>
      </c>
      <c r="O22" s="693"/>
      <c r="P22" s="357"/>
      <c r="R22" s="332"/>
      <c r="AG22" s="357"/>
    </row>
    <row r="23" ht="18">
      <c r="A23" s="332"/>
      <c r="H23" s="320" t="s">
        <v>353</v>
      </c>
      <c r="I23" s="547">
        <v>9.4</v>
      </c>
      <c r="J23" s="547">
        <v>14</v>
      </c>
      <c r="K23" s="547">
        <v>18.5</v>
      </c>
      <c r="N23" s="693"/>
      <c r="O23" s="693"/>
      <c r="P23" s="357"/>
      <c r="R23" s="332"/>
      <c r="AG23" s="357"/>
    </row>
    <row r="24">
      <c r="A24" s="318"/>
      <c r="N24" s="693"/>
      <c r="O24" s="693"/>
      <c r="P24" s="357"/>
      <c r="R24" s="332"/>
      <c r="AG24" s="357"/>
    </row>
    <row r="25">
      <c r="A25" s="333"/>
      <c r="B25" s="334"/>
      <c r="C25" s="334"/>
      <c r="D25" s="334"/>
      <c r="E25" s="335"/>
      <c r="F25" s="334"/>
      <c r="G25" s="334"/>
      <c r="H25" s="334"/>
      <c r="I25" s="334"/>
      <c r="J25" s="334"/>
      <c r="K25" s="334"/>
      <c r="L25" s="368"/>
      <c r="M25" s="368"/>
      <c r="N25" s="368"/>
      <c r="O25" s="368"/>
      <c r="P25" s="369"/>
      <c r="R25" s="332"/>
      <c r="AG25" s="357"/>
    </row>
    <row r="26">
      <c r="A26" s="315"/>
      <c r="B26" s="316"/>
      <c r="C26" s="316"/>
      <c r="D26" s="316"/>
      <c r="E26" s="317"/>
      <c r="F26" s="316"/>
      <c r="G26" s="316"/>
      <c r="H26" s="316"/>
      <c r="I26" s="316"/>
      <c r="J26" s="316"/>
      <c r="K26" s="316"/>
      <c r="L26" s="351"/>
      <c r="M26" s="351"/>
      <c r="N26" s="351"/>
      <c r="O26" s="351"/>
      <c r="P26" s="352"/>
      <c r="R26" s="332"/>
      <c r="V26" s="368"/>
      <c r="W26" s="368"/>
      <c r="X26" s="368"/>
      <c r="Y26" s="368"/>
      <c r="Z26" s="368"/>
      <c r="AA26" s="368"/>
      <c r="AB26" s="368"/>
      <c r="AC26" s="368"/>
      <c r="AD26" s="368"/>
      <c r="AE26" s="368"/>
      <c r="AF26" s="368"/>
      <c r="AG26" s="369"/>
    </row>
    <row r="27">
      <c r="A27" s="336" t="s">
        <v>32</v>
      </c>
      <c r="B27" s="337" t="s">
        <v>289</v>
      </c>
      <c r="C27" s="337" t="s">
        <v>120</v>
      </c>
      <c r="D27" s="337" t="s">
        <v>25</v>
      </c>
      <c r="E27" s="338" t="s">
        <v>259</v>
      </c>
      <c r="F27" s="337" t="s">
        <v>354</v>
      </c>
      <c r="G27" s="337" t="s">
        <v>253</v>
      </c>
      <c r="H27" s="337"/>
      <c r="I27" s="337"/>
      <c r="J27" s="337"/>
      <c r="K27" s="337"/>
      <c r="L27" s="370"/>
      <c r="M27" s="370"/>
      <c r="N27" s="370"/>
      <c r="O27" s="370"/>
      <c r="P27" s="370"/>
      <c r="Q27" s="370"/>
      <c r="R27" s="370"/>
      <c r="S27" s="370"/>
      <c r="T27" s="370"/>
      <c r="U27" s="376"/>
    </row>
    <row r="28" ht="20.25" customHeight="1">
      <c r="A28" s="339">
        <f>IF((تسعير!T53="بالتات"),0,(تسعير!T47+1))</f>
        <v>0</v>
      </c>
      <c r="B28" s="320">
        <v>70</v>
      </c>
      <c r="C28" s="568" t="s">
        <v>355</v>
      </c>
      <c r="D28" s="320">
        <f>Sheet2!B12/1000</f>
        <v>45</v>
      </c>
      <c r="E28" s="314">
        <f>Table12[[#This Row],[سعر]]*Table12[[#This Row],[ميزان]]*Table12[[#This Row],[عدد]]</f>
        <v>0</v>
      </c>
      <c r="F28" s="313">
        <f>16*3.14*Table12[[#This Row],[عدد]]*0.05</f>
        <v>0</v>
      </c>
      <c r="G28" s="313">
        <f>Table12[[#This Row],[ميزان]]*Table12[[#This Row],[عدد]]</f>
        <v>0</v>
      </c>
      <c r="U28" s="377"/>
    </row>
    <row r="29" ht="35.25" customHeight="1">
      <c r="A29" s="339">
        <f>IF((تسعير!T53="بالتات"),(تسعير!T47+1),0)</f>
        <v>2</v>
      </c>
      <c r="B29" s="320">
        <v>62</v>
      </c>
      <c r="C29" s="331" t="s">
        <v>356</v>
      </c>
      <c r="D29" s="320">
        <f>Sheet2!B12/1000</f>
        <v>45</v>
      </c>
      <c r="E29" s="314">
        <f>Table12[[#This Row],[سعر]]*Table12[[#This Row],[ميزان]]*Table12[[#This Row],[عدد]]</f>
        <v>5580</v>
      </c>
      <c r="F29" s="340">
        <f>16*3.14*Table12[[#This Row],[عدد]]*0.04</f>
        <v>4.0192000000000006</v>
      </c>
      <c r="G29" s="313">
        <f>Table12[[#This Row],[ميزان]]*Table12[[#This Row],[عدد]]</f>
        <v>124</v>
      </c>
      <c r="I29" s="216"/>
      <c r="J29" s="216"/>
      <c r="K29" s="217"/>
      <c r="L29" s="681" t="s">
        <v>220</v>
      </c>
      <c r="M29" s="681"/>
      <c r="N29" s="681"/>
      <c r="O29" s="681"/>
      <c r="P29" s="681"/>
      <c r="Q29" s="681"/>
      <c r="R29" s="216"/>
      <c r="S29" s="216"/>
      <c r="T29" s="216"/>
      <c r="U29" s="377"/>
    </row>
    <row r="30" ht="35.25" customHeight="1">
      <c r="A30" s="339">
        <f>A28+A29</f>
        <v>2</v>
      </c>
      <c r="B30" s="320">
        <v>28</v>
      </c>
      <c r="C30" s="331" t="s">
        <v>357</v>
      </c>
      <c r="D30" s="320">
        <f>Sheet2!B12/1000</f>
        <v>45</v>
      </c>
      <c r="E30" s="314">
        <f>Table12[[#This Row],[سعر]]*Table12[[#This Row],[ميزان]]*Table12[[#This Row],[عدد]]</f>
        <v>2520</v>
      </c>
      <c r="F30" s="313">
        <f>3*6*Table12[[#This Row],[عدد]]/10</f>
        <v>3.6</v>
      </c>
      <c r="G30" s="313">
        <f>Table12[[#This Row],[ميزان]]*Table12[[#This Row],[عدد]]</f>
        <v>56</v>
      </c>
      <c r="I30" s="211" t="s">
        <v>358</v>
      </c>
      <c r="J30" s="218" t="s">
        <v>120</v>
      </c>
      <c r="K30" s="211" t="s">
        <v>221</v>
      </c>
      <c r="L30" s="211" t="s">
        <v>105</v>
      </c>
      <c r="M30" s="211" t="s">
        <v>222</v>
      </c>
      <c r="N30" s="211" t="s">
        <v>223</v>
      </c>
      <c r="O30" s="211" t="s">
        <v>149</v>
      </c>
      <c r="P30" s="211" t="s">
        <v>224</v>
      </c>
      <c r="Q30" s="211" t="s">
        <v>225</v>
      </c>
      <c r="R30" s="245" t="s">
        <v>125</v>
      </c>
      <c r="S30" s="211" t="s">
        <v>126</v>
      </c>
      <c r="U30" s="377"/>
    </row>
    <row r="31" ht="35.25" customHeight="1">
      <c r="A31" s="339">
        <f>A30</f>
        <v>2</v>
      </c>
      <c r="B31" s="320">
        <v>19</v>
      </c>
      <c r="C31" s="568" t="s">
        <v>359</v>
      </c>
      <c r="D31" s="320">
        <f>(Sheet2!B12/1000)+17</f>
        <v>62</v>
      </c>
      <c r="E31" s="314">
        <f>Table12[[#This Row],[سعر]]*Table12[[#This Row],[ميزان]]*Table12[[#This Row],[عدد]]</f>
        <v>2356</v>
      </c>
      <c r="F31" s="313">
        <f>16*3.14*Table12[[#This Row],[عدد]]</f>
        <v>100.48</v>
      </c>
      <c r="I31" s="212">
        <v>4</v>
      </c>
      <c r="J31" s="371" t="s">
        <v>226</v>
      </c>
      <c r="K31" s="211">
        <f>IF((Table161243[[#This Row],[موقع العمل]]="المصنع"),280,IF((Table161243[[#This Row],[موقع العمل]]="الاسكندرية"),320,400))</f>
        <v>280</v>
      </c>
      <c r="L31" s="211">
        <f>SUMIF(Table17[Column1],Table161243[[#This Row],[موقع العمل]],Table17[بدل الوجبة])</f>
        <v>0</v>
      </c>
      <c r="M31" s="211" t="s">
        <v>227</v>
      </c>
      <c r="N31" s="214" t="s">
        <v>128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280</v>
      </c>
      <c r="R31" s="240">
        <f>Table161243[[#This Row],[الايام]]*Q31</f>
        <v>1120</v>
      </c>
      <c r="S31" s="241" t="e">
        <f ref="S31:S43" t="shared" si="2">(R31)/$G$84</f>
        <v>#DIV/0!</v>
      </c>
      <c r="U31" s="377"/>
    </row>
    <row r="32" ht="35.25" customHeight="1">
      <c r="A32" s="339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20">
        <v>23</v>
      </c>
      <c r="C32" s="331" t="s">
        <v>360</v>
      </c>
      <c r="D32" s="320">
        <f>(Sheet2!B12/1000)+17</f>
        <v>62</v>
      </c>
      <c r="E32" s="314">
        <f>Table12[[#This Row],[سعر]]*Table12[[#This Row],[ميزان]]*Table12[[#This Row],[عدد]]</f>
        <v>5704</v>
      </c>
      <c r="I32" s="212">
        <v>2</v>
      </c>
      <c r="J32" s="371" t="s">
        <v>228</v>
      </c>
      <c r="K32" s="211">
        <f>IF((Table161243[[#This Row],[موقع العمل]]="المصنع"),280,IF((Table161243[[#This Row],[موقع العمل]]="الاسكندرية"),320,400))</f>
        <v>280</v>
      </c>
      <c r="L32" s="211">
        <f>SUMIF(Table17[Column1],Table161243[[#This Row],[موقع العمل]],Table17[بدل الوجبة])</f>
        <v>0</v>
      </c>
      <c r="M32" s="211" t="s">
        <v>227</v>
      </c>
      <c r="N32" s="214" t="s">
        <v>128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280</v>
      </c>
      <c r="R32" s="240">
        <f>Table161243[[#This Row],[الايام]]*Q32</f>
        <v>560</v>
      </c>
      <c r="S32" s="241" t="e">
        <f t="shared" si="2"/>
        <v>#DIV/0!</v>
      </c>
      <c r="U32" s="377"/>
    </row>
    <row r="33" ht="35.25" customHeight="1">
      <c r="A33" s="339">
        <f>A30</f>
        <v>2</v>
      </c>
      <c r="B33" s="320">
        <v>1</v>
      </c>
      <c r="C33" s="331" t="s">
        <v>361</v>
      </c>
      <c r="D33" s="320">
        <f>Sheet2!B50</f>
        <v>120</v>
      </c>
      <c r="E33" s="314">
        <f>Table12[[#This Row],[سعر]]*Table12[[#This Row],[ميزان]]*Table12[[#This Row],[عدد]]</f>
        <v>240</v>
      </c>
      <c r="I33" s="212">
        <v>3</v>
      </c>
      <c r="J33" s="371" t="s">
        <v>229</v>
      </c>
      <c r="K33" s="211">
        <f>IF((Table161243[[#This Row],[موقع العمل]]="المصنع"),280,IF((Table161243[[#This Row],[موقع العمل]]="الاسكندرية"),320,400))</f>
        <v>280</v>
      </c>
      <c r="L33" s="211">
        <f>SUMIF(Table17[Column1],Table161243[[#This Row],[موقع العمل]],Table17[بدل الوجبة])</f>
        <v>0</v>
      </c>
      <c r="M33" s="211" t="s">
        <v>227</v>
      </c>
      <c r="N33" s="214" t="s">
        <v>128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560</v>
      </c>
      <c r="R33" s="240">
        <f>Table161243[[#This Row],[الايام]]*Q33</f>
        <v>1680</v>
      </c>
      <c r="S33" s="241" t="e">
        <f t="shared" si="2"/>
        <v>#DIV/0!</v>
      </c>
      <c r="U33" s="377"/>
    </row>
    <row r="34" ht="35.25" customHeight="1">
      <c r="A34" s="339">
        <f>(A31+A32)*2</f>
        <v>12</v>
      </c>
      <c r="B34" s="320">
        <v>1</v>
      </c>
      <c r="C34" s="331" t="s">
        <v>362</v>
      </c>
      <c r="D34" s="320">
        <f>Sheet2!B51</f>
        <v>120</v>
      </c>
      <c r="E34" s="314">
        <f>Table12[[#This Row],[سعر]]*Table12[[#This Row],[ميزان]]*Table12[[#This Row],[عدد]]</f>
        <v>1440</v>
      </c>
      <c r="I34" s="212">
        <v>0</v>
      </c>
      <c r="J34" s="371" t="s">
        <v>230</v>
      </c>
      <c r="K34" s="211">
        <f>IF((Table161243[[#This Row],[موقع العمل]]="المصنع"),280,IF((Table161243[[#This Row],[موقع العمل]]="الاسكندرية"),320,400))</f>
        <v>280</v>
      </c>
      <c r="L34" s="211">
        <f>SUMIF(Table17[Column1],Table161243[[#This Row],[موقع العمل]],Table17[بدل الوجبة])</f>
        <v>0</v>
      </c>
      <c r="M34" s="211" t="s">
        <v>227</v>
      </c>
      <c r="N34" s="214" t="s">
        <v>128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77"/>
    </row>
    <row r="35" ht="35.25" customHeight="1">
      <c r="A35" s="339">
        <f>تسعير!T47*4</f>
        <v>4</v>
      </c>
      <c r="B35" s="320">
        <v>1</v>
      </c>
      <c r="C35" s="331" t="s">
        <v>363</v>
      </c>
      <c r="D35" s="320">
        <f>Sheet2!B53</f>
        <v>70</v>
      </c>
      <c r="E35" s="314">
        <f>Table12[[#This Row],[سعر]]*Table12[[#This Row],[ميزان]]*Table12[[#This Row],[عدد]]</f>
        <v>280</v>
      </c>
      <c r="I35" s="212">
        <v>4</v>
      </c>
      <c r="J35" s="371" t="s">
        <v>231</v>
      </c>
      <c r="K35" s="211">
        <f>IF((Table161243[[#This Row],[موقع العمل]]="المصنع"),280,IF((Table161243[[#This Row],[موقع العمل]]="الاسكندرية"),320,400))</f>
        <v>400</v>
      </c>
      <c r="L35" s="211">
        <f>SUMIF(Table17[Column1],Table161243[[#This Row],[موقع العمل]],Table17[بدل الوجبة])</f>
        <v>100</v>
      </c>
      <c r="M35" s="211" t="str">
        <f>تسعير!$T$45</f>
        <v>الشيخ زايد</v>
      </c>
      <c r="N35" s="214" t="s">
        <v>128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500</v>
      </c>
      <c r="R35" s="240">
        <f>Table161243[[#This Row],[الايام]]*Q35</f>
        <v>2000</v>
      </c>
      <c r="S35" s="241" t="e">
        <f t="shared" si="2"/>
        <v>#DIV/0!</v>
      </c>
      <c r="U35" s="377"/>
    </row>
    <row r="36" ht="35.25" customHeight="1">
      <c r="A36" s="339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20">
        <v>1</v>
      </c>
      <c r="C36" s="331" t="s">
        <v>364</v>
      </c>
      <c r="D36" s="320">
        <f>Sheet2!B47</f>
        <v>125</v>
      </c>
      <c r="E36" s="314">
        <f>Table12[[#This Row],[سعر]]*Table12[[#This Row],[ميزان]]*Table12[[#This Row],[عدد]]</f>
        <v>4125</v>
      </c>
      <c r="I36" s="212">
        <v>3</v>
      </c>
      <c r="J36" s="371" t="s">
        <v>232</v>
      </c>
      <c r="K36" s="211">
        <f>IF((Table161243[[#This Row],[موقع العمل]]="المصنع"),280,IF((Table161243[[#This Row],[موقع العمل]]="الاسكندرية"),320,400))</f>
        <v>400</v>
      </c>
      <c r="L36" s="211">
        <f>SUMIF(Table17[Column1],Table161243[[#This Row],[موقع العمل]],Table17[بدل الوجبة])</f>
        <v>100</v>
      </c>
      <c r="M36" s="211" t="str">
        <f>تسعير!$T$45</f>
        <v>الشيخ زايد</v>
      </c>
      <c r="N36" s="214" t="s">
        <v>128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1000</v>
      </c>
      <c r="R36" s="240">
        <f>Table161243[[#This Row],[الايام]]*Q36</f>
        <v>3000</v>
      </c>
      <c r="S36" s="241" t="e">
        <f t="shared" si="2"/>
        <v>#DIV/0!</v>
      </c>
      <c r="U36" s="377"/>
    </row>
    <row r="37" ht="35.25" customHeight="1">
      <c r="A37" s="341">
        <f>IF((تسعير!T46="A"),Table12[[#This Row],[Column7]],IF((تسعير!T46="B"),Table12[[#This Row],[Column6]]))</f>
        <v>3.3</v>
      </c>
      <c r="B37" s="320">
        <v>1</v>
      </c>
      <c r="C37" s="331" t="s">
        <v>199</v>
      </c>
      <c r="D37" s="320">
        <f>Sheet2!B27</f>
        <v>510</v>
      </c>
      <c r="E37" s="342">
        <f>Table12[[#This Row],[سعر]]*Table12[[#This Row],[ميزان]]*Table12[[#This Row],[عدد]]</f>
        <v>1683</v>
      </c>
      <c r="F37" s="313">
        <f>ROUND((Table12[[#This Row],[Column7]]*1.8),1)</f>
        <v>5.9</v>
      </c>
      <c r="G37" s="343">
        <f>ROUND((F29+F30+F28+F48+F52)*0.4,1)</f>
        <v>3.3</v>
      </c>
      <c r="I37" s="212">
        <v>3</v>
      </c>
      <c r="J37" s="371" t="s">
        <v>233</v>
      </c>
      <c r="K37" s="211">
        <f>IF((Table161243[[#This Row],[موقع العمل]]="المصنع"),280,IF((Table161243[[#This Row],[موقع العمل]]="الاسكندرية"),320,400))</f>
        <v>400</v>
      </c>
      <c r="L37" s="211">
        <f>SUMIF(Table17[Column1],Table161243[[#This Row],[موقع العمل]],Table17[بدل الوجبة])</f>
        <v>100</v>
      </c>
      <c r="M37" s="211" t="str">
        <f>تسعير!$T$45</f>
        <v>الشيخ زايد</v>
      </c>
      <c r="N37" s="214" t="s">
        <v>128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500</v>
      </c>
      <c r="R37" s="240">
        <f>Table161243[[#This Row],[الايام]]*Q37</f>
        <v>1500</v>
      </c>
      <c r="S37" s="241" t="e">
        <f t="shared" si="2"/>
        <v>#DIV/0!</v>
      </c>
      <c r="U37" s="377"/>
    </row>
    <row r="38" ht="35.25" customHeight="1">
      <c r="A38" s="341">
        <f>IF((تسعير!T46="A"),Table12[[#This Row],[Column7]],IF((تسعير!T46="B"),Table12[[#This Row],[Column6]]))</f>
        <v>3.3</v>
      </c>
      <c r="B38" s="320">
        <v>1</v>
      </c>
      <c r="C38" s="331" t="s">
        <v>198</v>
      </c>
      <c r="D38" s="320">
        <f>Sheet2!B26</f>
        <v>220</v>
      </c>
      <c r="E38" s="342">
        <f>Table12[[#This Row],[سعر]]*Table12[[#This Row],[ميزان]]*Table12[[#This Row],[عدد]]</f>
        <v>726</v>
      </c>
      <c r="F38" s="313">
        <f>ROUND((Table12[[#This Row],[Column7]]*1.8),1)</f>
        <v>5.9</v>
      </c>
      <c r="G38" s="343">
        <f>ROUND((F29+F30+F28+F48+F52)*0.4,1)</f>
        <v>3.3</v>
      </c>
      <c r="I38" s="212">
        <v>0</v>
      </c>
      <c r="J38" s="371" t="s">
        <v>234</v>
      </c>
      <c r="K38" s="211">
        <f>IF((Table161243[[#This Row],[موقع العمل]]="المصنع"),280,IF((Table161243[[#This Row],[موقع العمل]]="الاسكندرية"),320,400))</f>
        <v>400</v>
      </c>
      <c r="L38" s="211">
        <f>SUMIF(Table17[Column1],Table161243[[#This Row],[موقع العمل]],Table17[بدل الوجبة])</f>
        <v>100</v>
      </c>
      <c r="M38" s="211" t="str">
        <f>تسعير!$T$45</f>
        <v>الشيخ زايد</v>
      </c>
      <c r="N38" s="214" t="s">
        <v>128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77"/>
    </row>
    <row r="39" ht="35.25" customHeight="1">
      <c r="A39" s="341">
        <f>IF((تسعير!T46="A"),Table12[[#This Row],[Column7]],IF((تسعير!T46="B"),Table12[[#This Row],[Column6]]))</f>
        <v>3.3</v>
      </c>
      <c r="B39" s="320">
        <v>1</v>
      </c>
      <c r="C39" s="331" t="s">
        <v>134</v>
      </c>
      <c r="D39" s="320">
        <f>Sheet2!B26</f>
        <v>220</v>
      </c>
      <c r="E39" s="342">
        <f>Table12[[#This Row],[سعر]]*Table12[[#This Row],[ميزان]]*Table12[[#This Row],[عدد]]</f>
        <v>726</v>
      </c>
      <c r="F39" s="313">
        <f>ROUND((Table12[[#This Row],[Column7]]*1.8),1)</f>
        <v>5.9</v>
      </c>
      <c r="G39" s="343">
        <f>ROUND((F29+F30+F28+F48+F52)*0.4,1)</f>
        <v>3.3</v>
      </c>
      <c r="I39" s="212">
        <f>(I35+I36+I37+I38)*2</f>
        <v>20</v>
      </c>
      <c r="J39" s="371" t="s">
        <v>235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400</v>
      </c>
      <c r="P39" s="247"/>
      <c r="Q39" s="243">
        <f>Table161243[[#This Row],[Column12]]</f>
        <v>400</v>
      </c>
      <c r="R39" s="240">
        <f ref="R39:R43" t="shared" si="3">I39*Q39</f>
        <v>8000</v>
      </c>
      <c r="S39" s="241" t="e">
        <f t="shared" si="2"/>
        <v>#DIV/0!</v>
      </c>
      <c r="U39" s="377"/>
    </row>
    <row r="40" ht="35.25" customHeight="1">
      <c r="A40" s="341">
        <f>ROUND((F29+F30+F28)*0.4/3,0)</f>
        <v>1</v>
      </c>
      <c r="B40" s="320">
        <v>1</v>
      </c>
      <c r="C40" s="331" t="s">
        <v>195</v>
      </c>
      <c r="D40" s="320">
        <f>Sheet2!B24</f>
        <v>400</v>
      </c>
      <c r="E40" s="342">
        <f>Table12[[#This Row],[سعر]]*Table12[[#This Row],[ميزان]]*Table12[[#This Row],[عدد]]</f>
        <v>400</v>
      </c>
      <c r="I40" s="212">
        <f>((P35+P36+P37+P38)*2)-2</f>
        <v>6</v>
      </c>
      <c r="J40" s="371" t="s">
        <v>236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400</v>
      </c>
      <c r="P40" s="247"/>
      <c r="Q40" s="243">
        <f>Table161243[[#This Row],[Column12]]</f>
        <v>400</v>
      </c>
      <c r="R40" s="240">
        <f t="shared" si="3"/>
        <v>2400</v>
      </c>
      <c r="S40" s="241" t="e">
        <f t="shared" si="2"/>
        <v>#DIV/0!</v>
      </c>
      <c r="U40" s="377"/>
    </row>
    <row r="41" ht="35.25" customHeight="1">
      <c r="A41" s="341">
        <f>(A28+A30+A29)*5</f>
        <v>20</v>
      </c>
      <c r="B41" s="320">
        <v>1</v>
      </c>
      <c r="C41" s="331" t="s">
        <v>188</v>
      </c>
      <c r="D41" s="320">
        <f>Sheet2!B48</f>
        <v>25</v>
      </c>
      <c r="E41" s="342">
        <f>Table12[[#This Row],[سعر]]*Table12[[#This Row],[ميزان]]*Table12[[#This Row],[عدد]]</f>
        <v>500</v>
      </c>
      <c r="I41" s="212">
        <v>2</v>
      </c>
      <c r="J41" s="371" t="s">
        <v>237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3500</v>
      </c>
      <c r="P41" s="247"/>
      <c r="Q41" s="243">
        <f>Table161243[[#This Row],[Column12]]</f>
        <v>3500</v>
      </c>
      <c r="R41" s="240">
        <f t="shared" si="3"/>
        <v>7000</v>
      </c>
      <c r="S41" s="241" t="e">
        <f t="shared" si="2"/>
        <v>#DIV/0!</v>
      </c>
      <c r="U41" s="377"/>
    </row>
    <row r="42" ht="35.25" customHeight="1">
      <c r="A42" s="341">
        <f>(A28+A30+A29)*5</f>
        <v>20</v>
      </c>
      <c r="B42" s="320">
        <v>1</v>
      </c>
      <c r="C42" s="331" t="s">
        <v>190</v>
      </c>
      <c r="D42" s="320">
        <f>Sheet2!B48</f>
        <v>25</v>
      </c>
      <c r="E42" s="342">
        <f>Table12[[#This Row],[سعر]]*Table12[[#This Row],[ميزان]]*Table12[[#This Row],[عدد]]</f>
        <v>500</v>
      </c>
      <c r="I42" s="212">
        <v>2</v>
      </c>
      <c r="J42" s="371" t="s">
        <v>238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6000</v>
      </c>
      <c r="P42" s="247"/>
      <c r="Q42" s="243">
        <f>Table161243[[#This Row],[Column12]]</f>
        <v>6000</v>
      </c>
      <c r="R42" s="240">
        <f t="shared" si="3"/>
        <v>12000</v>
      </c>
      <c r="S42" s="241" t="e">
        <f t="shared" si="2"/>
        <v>#DIV/0!</v>
      </c>
      <c r="U42" s="377"/>
    </row>
    <row r="43" ht="35.25" customHeight="1">
      <c r="A43" s="341">
        <f>A28+A29+A30</f>
        <v>4</v>
      </c>
      <c r="B43" s="320">
        <v>1</v>
      </c>
      <c r="C43" s="331" t="s">
        <v>191</v>
      </c>
      <c r="D43" s="320">
        <v>25</v>
      </c>
      <c r="E43" s="342">
        <f>Table12[[#This Row],[سعر]]*Table12[[#This Row],[ميزان]]*Table12[[#This Row],[عدد]]</f>
        <v>100</v>
      </c>
      <c r="I43" s="212">
        <f>I40</f>
        <v>6</v>
      </c>
      <c r="J43" s="371" t="s">
        <v>108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150</v>
      </c>
      <c r="P43" s="247"/>
      <c r="Q43" s="243">
        <f>Table161243[[#This Row],[Column12]]</f>
        <v>150</v>
      </c>
      <c r="R43" s="240">
        <f t="shared" si="3"/>
        <v>900</v>
      </c>
      <c r="S43" s="241" t="e">
        <f t="shared" si="2"/>
        <v>#DIV/0!</v>
      </c>
      <c r="U43" s="377"/>
    </row>
    <row r="44" ht="35.25" customHeight="1">
      <c r="A44" s="341">
        <f>(A28+A30+A29)*1</f>
        <v>4</v>
      </c>
      <c r="B44" s="320">
        <v>1</v>
      </c>
      <c r="C44" s="331" t="s">
        <v>193</v>
      </c>
      <c r="D44" s="320">
        <f>Sheet2!B48</f>
        <v>25</v>
      </c>
      <c r="E44" s="342">
        <f>Table12[[#This Row],[سعر]]*Table12[[#This Row],[ميزان]]*Table12[[#This Row],[عدد]]</f>
        <v>100</v>
      </c>
      <c r="I44" s="571"/>
      <c r="J44" s="550" t="s">
        <v>92</v>
      </c>
      <c r="K44" s="572"/>
      <c r="L44" s="572"/>
      <c r="M44" s="573"/>
      <c r="N44" s="573"/>
      <c r="O44" s="574">
        <f>SUBTOTAL(109,Table161243[Column12])</f>
        <v>10450</v>
      </c>
      <c r="P44" s="572"/>
      <c r="Q44" s="242"/>
      <c r="R44" s="575">
        <f>SUBTOTAL(109,Table161243[اجمالي])</f>
        <v>40160</v>
      </c>
      <c r="S44" s="576" t="e">
        <f>Table161243[[#Totals],[اجمالي]]/$G$84</f>
        <v>#DIV/0!</v>
      </c>
      <c r="U44" s="377"/>
    </row>
    <row r="45" ht="35.25" customHeight="1">
      <c r="A45" s="341">
        <f>A43</f>
        <v>4</v>
      </c>
      <c r="B45" s="320">
        <v>1</v>
      </c>
      <c r="C45" s="331" t="s">
        <v>194</v>
      </c>
      <c r="D45" s="320">
        <v>40</v>
      </c>
      <c r="E45" s="342">
        <f>Table12[[#This Row],[سعر]]*Table12[[#This Row],[ميزان]]*Table12[[#This Row],[عدد]]</f>
        <v>160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77"/>
    </row>
    <row r="46" ht="25.5" customHeight="1">
      <c r="A46" s="341">
        <f>IF((تسعير!T46="A"),0,IF((تسعير!T46="B"),(G52+G48+G30+G29+G28)))</f>
        <v>0</v>
      </c>
      <c r="B46" s="320">
        <v>1</v>
      </c>
      <c r="C46" s="331" t="s">
        <v>200</v>
      </c>
      <c r="D46" s="320">
        <v>20</v>
      </c>
      <c r="E46" s="314">
        <f>Table12[[#This Row],[سعر]]*Table12[[#This Row],[ميزان]]*Table12[[#This Row],[عدد]]</f>
        <v>0</v>
      </c>
      <c r="U46" s="377"/>
    </row>
    <row r="47" ht="25.5" customHeight="1">
      <c r="A47" s="341">
        <f>IF((تسعير!T53="بالتات"),0,(A28+A29))</f>
        <v>0</v>
      </c>
      <c r="B47" s="320">
        <v>1</v>
      </c>
      <c r="C47" s="331" t="s">
        <v>365</v>
      </c>
      <c r="D47" s="320">
        <f>Sheet2!B49</f>
        <v>1200</v>
      </c>
      <c r="E47" s="342">
        <f>Table12[[#This Row],[سعر]]*Table12[[#This Row],[ميزان]]*Table12[[#This Row],[عدد]]</f>
        <v>0</v>
      </c>
      <c r="J47" s="218" t="s">
        <v>102</v>
      </c>
      <c r="K47" s="211" t="s">
        <v>239</v>
      </c>
      <c r="L47" s="211" t="s">
        <v>240</v>
      </c>
      <c r="M47" s="211" t="s">
        <v>184</v>
      </c>
      <c r="N47" s="211" t="s">
        <v>121</v>
      </c>
      <c r="U47" s="377"/>
    </row>
    <row r="48" ht="25.5" customHeight="1">
      <c r="A48" s="341">
        <f>IF((تسعير!T53="بالتات"),(A28+A29),0)</f>
        <v>2</v>
      </c>
      <c r="B48" s="320">
        <v>30</v>
      </c>
      <c r="C48" s="331" t="s">
        <v>366</v>
      </c>
      <c r="D48" s="320">
        <f>Sheet2!B12/1000</f>
        <v>45</v>
      </c>
      <c r="E48" s="342">
        <f>Table12[[#This Row],[سعر]]*Table12[[#This Row],[ميزان]]*Table12[[#This Row],[عدد]]</f>
        <v>2700</v>
      </c>
      <c r="F48" s="313">
        <f>0.5*0.5*Table12[[#This Row],[عدد]]</f>
        <v>0.5</v>
      </c>
      <c r="G48" s="313">
        <f>Table12[[#This Row],[ميزان]]*Table12[[#This Row],[عدد]]</f>
        <v>60</v>
      </c>
      <c r="J48" s="213" t="s">
        <v>367</v>
      </c>
      <c r="K48" s="214"/>
      <c r="L48" s="211"/>
      <c r="M48" s="280"/>
      <c r="N48" s="214">
        <f>IF((تسعير!T52='شماسي و كانتليفر'!F19),(N49-E28-E47-Table12[[#This Row],[Column5]]-E49-E50-E52-R42-R41-R39-(P31*K31)),0)</f>
        <v>0</v>
      </c>
      <c r="U48" s="377"/>
    </row>
    <row r="49" ht="25.5" customHeight="1">
      <c r="A49" s="341">
        <f>A48*2</f>
        <v>4</v>
      </c>
      <c r="B49" s="320">
        <v>1</v>
      </c>
      <c r="C49" s="331" t="s">
        <v>368</v>
      </c>
      <c r="D49" s="320">
        <v>250</v>
      </c>
      <c r="E49" s="342">
        <f>Table12[[#This Row],[سعر]]*Table12[[#This Row],[ميزان]]*Table12[[#This Row],[عدد]]</f>
        <v>1000</v>
      </c>
      <c r="J49" s="372" t="s">
        <v>369</v>
      </c>
      <c r="K49" s="214"/>
      <c r="L49" s="211"/>
      <c r="M49" s="280"/>
      <c r="N49" s="281">
        <f>Table12[[#Totals],[Column5]]+Table161243[[#Totals],[اجمالي]]</f>
        <v>71960</v>
      </c>
      <c r="U49" s="377"/>
    </row>
    <row r="50" ht="25.5" customHeight="1">
      <c r="A50" s="341">
        <f>A47*2</f>
        <v>0</v>
      </c>
      <c r="B50" s="320">
        <v>10</v>
      </c>
      <c r="C50" s="331" t="s">
        <v>370</v>
      </c>
      <c r="D50" s="320">
        <f>Sheet2!B12/1000</f>
        <v>45</v>
      </c>
      <c r="E50" s="342">
        <f>Table12[[#This Row],[سعر]]*Table12[[#This Row],[ميزان]]*Table12[[#This Row],[عدد]]</f>
        <v>0</v>
      </c>
      <c r="J50" s="213" t="s">
        <v>241</v>
      </c>
      <c r="K50" s="214"/>
      <c r="L50" s="211"/>
      <c r="M50" s="280"/>
      <c r="N50" s="281">
        <f>N49+N48</f>
        <v>71960</v>
      </c>
      <c r="U50" s="377"/>
    </row>
    <row r="51" ht="25.5" customHeight="1">
      <c r="A51" s="341">
        <f>ROUND((F29+F30)*0.4/3,0)</f>
        <v>1</v>
      </c>
      <c r="B51" s="320">
        <v>1</v>
      </c>
      <c r="C51" s="331" t="s">
        <v>164</v>
      </c>
      <c r="D51" s="320">
        <f>Sheet2!B28</f>
        <v>400</v>
      </c>
      <c r="E51" s="342">
        <f>Table12[[#This Row],[سعر]]*Table12[[#This Row],[ميزان]]*Table12[[#This Row],[عدد]]</f>
        <v>400</v>
      </c>
      <c r="J51" s="213" t="s">
        <v>242</v>
      </c>
      <c r="K51" s="214"/>
      <c r="L51" s="211"/>
      <c r="M51" s="310">
        <f>IF((M40="المقطم"),0.3,IF((M40="التجمع"),0.3,IF((M40="الشيخ زايد"),0.3,IF((M40="الاسكندرية"),0.5,IF((M40="الساحل"),0.5,0.35)))))</f>
        <v>0.3</v>
      </c>
      <c r="N51" s="281">
        <f>N50*(1+Table1856[[#This Row],[Column3]])</f>
        <v>93548</v>
      </c>
      <c r="U51" s="377"/>
    </row>
    <row r="52" ht="25.5" customHeight="1">
      <c r="A52" s="341">
        <f>A48*4</f>
        <v>8</v>
      </c>
      <c r="B52" s="320">
        <v>1</v>
      </c>
      <c r="C52" s="331" t="s">
        <v>371</v>
      </c>
      <c r="D52" s="320">
        <f>Sheet2!B12/1000</f>
        <v>45</v>
      </c>
      <c r="E52" s="342">
        <f>Table12[[#This Row],[سعر]]*Table12[[#This Row],[ميزان]]*Table12[[#This Row],[عدد]]</f>
        <v>360</v>
      </c>
      <c r="F52" s="313">
        <f>0.15*0.15/2*Table12[[#This Row],[عدد]]</f>
        <v>0.09</v>
      </c>
      <c r="G52" s="313">
        <f>Table12[[#This Row],[ميزان]]*Table12[[#This Row],[عدد]]</f>
        <v>8</v>
      </c>
      <c r="U52" s="377"/>
    </row>
    <row r="53" ht="25.5" customHeight="1">
      <c r="A53" s="341">
        <f>ROUND((F29+F30)*0.4/3,0)</f>
        <v>1</v>
      </c>
      <c r="B53" s="320">
        <v>1</v>
      </c>
      <c r="C53" s="331" t="s">
        <v>372</v>
      </c>
      <c r="D53" s="320">
        <v>200</v>
      </c>
      <c r="E53" s="342">
        <f>Table12[[#This Row],[سعر]]*Table12[[#This Row],[ميزان]]*Table12[[#This Row],[عدد]]</f>
        <v>200</v>
      </c>
      <c r="U53" s="377"/>
    </row>
    <row r="54">
      <c r="A54" s="344" t="s">
        <v>92</v>
      </c>
      <c r="E54" s="342">
        <f>SUBTOTAL(109,Table12[Column5])</f>
        <v>31800</v>
      </c>
      <c r="F54" s="345">
        <f>Table12[[#Totals],[Column5]]/(تسعير!T54*تسعير!T55/10000)</f>
        <v>1272</v>
      </c>
      <c r="G54" s="313">
        <f>SUBTOTAL(103,Table12[Column7])</f>
        <v>8</v>
      </c>
      <c r="U54" s="377"/>
    </row>
    <row r="55">
      <c r="A55" s="346"/>
      <c r="U55" s="377"/>
    </row>
    <row r="56">
      <c r="A56" s="346"/>
      <c r="U56" s="377"/>
    </row>
    <row r="57">
      <c r="A57" s="346"/>
      <c r="U57" s="377"/>
    </row>
    <row r="58">
      <c r="A58" s="347"/>
      <c r="B58" s="348"/>
      <c r="C58" s="348"/>
      <c r="D58" s="348"/>
      <c r="E58" s="349"/>
      <c r="F58" s="348"/>
      <c r="G58" s="348"/>
      <c r="H58" s="348"/>
      <c r="I58" s="348"/>
      <c r="J58" s="348"/>
      <c r="K58" s="348"/>
      <c r="L58" s="373"/>
      <c r="M58" s="373"/>
      <c r="N58" s="373"/>
      <c r="O58" s="373"/>
      <c r="P58" s="373"/>
      <c r="Q58" s="373"/>
      <c r="R58" s="373"/>
      <c r="S58" s="373"/>
      <c r="T58" s="373"/>
      <c r="U58" s="378"/>
    </row>
    <row r="59">
      <c r="A59" s="315"/>
      <c r="B59" s="316"/>
      <c r="C59" s="316"/>
      <c r="D59" s="316"/>
      <c r="E59" s="317"/>
      <c r="F59" s="316"/>
      <c r="G59" s="316"/>
      <c r="H59" s="316"/>
      <c r="I59" s="316"/>
      <c r="J59" s="316"/>
      <c r="K59" s="316"/>
      <c r="L59" s="351"/>
      <c r="M59" s="351"/>
      <c r="N59" s="351"/>
      <c r="O59" s="351"/>
      <c r="P59" s="352"/>
      <c r="R59" s="332"/>
    </row>
    <row r="60">
      <c r="A60" s="336" t="s">
        <v>32</v>
      </c>
      <c r="B60" s="337" t="s">
        <v>289</v>
      </c>
      <c r="C60" s="337" t="s">
        <v>120</v>
      </c>
      <c r="D60" s="337" t="s">
        <v>25</v>
      </c>
      <c r="E60" s="338" t="s">
        <v>259</v>
      </c>
      <c r="F60" s="337" t="s">
        <v>354</v>
      </c>
      <c r="G60" s="337" t="s">
        <v>253</v>
      </c>
      <c r="H60" s="337"/>
      <c r="I60" s="337"/>
      <c r="J60" s="337"/>
      <c r="K60" s="337"/>
      <c r="L60" s="370"/>
      <c r="M60" s="370"/>
      <c r="N60" s="370"/>
      <c r="O60" s="370"/>
      <c r="P60" s="370"/>
      <c r="Q60" s="370"/>
      <c r="R60" s="370"/>
      <c r="S60" s="370"/>
      <c r="T60" s="370"/>
    </row>
    <row r="61" ht="18">
      <c r="A61" s="350">
        <f>IF((تسعير!T71="بالتات"),0,(تسعير!T65+1))</f>
        <v>0</v>
      </c>
      <c r="B61" s="320">
        <v>78</v>
      </c>
      <c r="C61" s="331" t="s">
        <v>373</v>
      </c>
      <c r="D61" s="320">
        <f>Sheet2!$B$12/1000</f>
        <v>45</v>
      </c>
      <c r="E61" s="314">
        <f>Table1257[[#This Row],[سعر]]*Table1257[[#This Row],[ميزان]]*Table1257[[#This Row],[عدد]]</f>
        <v>0</v>
      </c>
      <c r="F61" s="313">
        <f>16*3.14*Table1257[[#This Row],[عدد]]*0.05</f>
        <v>0</v>
      </c>
      <c r="G61" s="313">
        <f>Table1257[[#This Row],[ميزان]]*Table1257[[#This Row],[عدد]]</f>
        <v>0</v>
      </c>
    </row>
    <row r="62" ht="18">
      <c r="A62" s="350">
        <f>IF((تسعير!T71="بالتات"),(تسعير!T65+1),0)</f>
        <v>2</v>
      </c>
      <c r="B62" s="320">
        <v>62</v>
      </c>
      <c r="C62" s="331" t="s">
        <v>356</v>
      </c>
      <c r="D62" s="320">
        <f>Sheet2!$B$12/1000</f>
        <v>45</v>
      </c>
      <c r="E62" s="314">
        <f>Table1257[[#This Row],[سعر]]*Table1257[[#This Row],[ميزان]]*Table1257[[#This Row],[عدد]]</f>
        <v>5580</v>
      </c>
      <c r="F62" s="340">
        <f>16*3.14*Table1257[[#This Row],[عدد]]*0.04</f>
        <v>4.0192000000000006</v>
      </c>
      <c r="G62" s="313">
        <f>Table1257[[#This Row],[ميزان]]*Table1257[[#This Row],[عدد]]</f>
        <v>124</v>
      </c>
      <c r="I62" s="216"/>
      <c r="J62" s="216"/>
      <c r="K62" s="217"/>
      <c r="L62" s="681" t="s">
        <v>220</v>
      </c>
      <c r="M62" s="681"/>
      <c r="N62" s="681"/>
      <c r="O62" s="681"/>
      <c r="P62" s="681"/>
      <c r="Q62" s="681"/>
      <c r="R62" s="216"/>
      <c r="S62" s="216"/>
      <c r="T62" s="216"/>
    </row>
    <row r="63" ht="18">
      <c r="A63" s="350">
        <f>A61+A62</f>
        <v>2</v>
      </c>
      <c r="B63" s="320">
        <v>28</v>
      </c>
      <c r="C63" s="331" t="s">
        <v>357</v>
      </c>
      <c r="D63" s="320">
        <f>Sheet2!$B$12/1000</f>
        <v>45</v>
      </c>
      <c r="E63" s="314">
        <f>Table1257[[#This Row],[سعر]]*Table1257[[#This Row],[ميزان]]*Table1257[[#This Row],[عدد]]</f>
        <v>2520</v>
      </c>
      <c r="F63" s="313">
        <f>3*6*Table1257[[#This Row],[عدد]]/10</f>
        <v>3.6</v>
      </c>
      <c r="G63" s="313">
        <f>Table1257[[#This Row],[ميزان]]*Table1257[[#This Row],[عدد]]</f>
        <v>56</v>
      </c>
      <c r="I63" s="211" t="s">
        <v>32</v>
      </c>
      <c r="J63" s="218" t="s">
        <v>120</v>
      </c>
      <c r="K63" s="211" t="s">
        <v>221</v>
      </c>
      <c r="L63" s="211" t="s">
        <v>105</v>
      </c>
      <c r="M63" s="211" t="s">
        <v>222</v>
      </c>
      <c r="N63" s="211" t="s">
        <v>223</v>
      </c>
      <c r="O63" s="211" t="s">
        <v>149</v>
      </c>
      <c r="P63" s="211" t="s">
        <v>224</v>
      </c>
      <c r="Q63" s="211" t="s">
        <v>225</v>
      </c>
      <c r="R63" s="245" t="s">
        <v>125</v>
      </c>
      <c r="S63" s="211" t="s">
        <v>126</v>
      </c>
    </row>
    <row r="64" ht="21">
      <c r="A64" s="350">
        <f>A63+تسعير!T65*4</f>
        <v>6</v>
      </c>
      <c r="B64" s="320">
        <v>19</v>
      </c>
      <c r="C64" s="568" t="s">
        <v>359</v>
      </c>
      <c r="D64" s="320">
        <f>(Sheet2!B12/1000)+17</f>
        <v>62</v>
      </c>
      <c r="E64" s="314">
        <f>Table1257[[#This Row],[سعر]]*Table1257[[#This Row],[ميزان]]*Table1257[[#This Row],[عدد]]</f>
        <v>7068</v>
      </c>
      <c r="F64" s="313">
        <f>16*3.14*Table1257[[#This Row],[عدد]]</f>
        <v>301.44</v>
      </c>
      <c r="I64" s="212">
        <v>4</v>
      </c>
      <c r="J64" s="371" t="s">
        <v>226</v>
      </c>
      <c r="K64" s="211">
        <f>IF((Table16124360[[#This Row],[موقع العمل]]="المصنع"),280,IF((Table16124360[[#This Row],[موقع العمل]]="الاسكندرية"),320,400))</f>
        <v>280</v>
      </c>
      <c r="L64" s="211">
        <f>SUMIF(Table17[Column1],Table16124360[[#This Row],[موقع العمل]],Table17[بدل الوجبة])</f>
        <v>0</v>
      </c>
      <c r="M64" s="211" t="s">
        <v>227</v>
      </c>
      <c r="N64" s="214" t="s">
        <v>128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4" s="240">
        <f>Table16124360[[#This Row],[عدد]]*Q64</f>
        <v>1120</v>
      </c>
      <c r="S64" s="241" t="e">
        <f ref="S64:S76" t="shared" si="5">(R64)/$G$84</f>
        <v>#DIV/0!</v>
      </c>
    </row>
    <row r="65" ht="21">
      <c r="A65" s="350">
        <f>تسعير!T65*4</f>
        <v>4</v>
      </c>
      <c r="B65" s="320">
        <v>23</v>
      </c>
      <c r="C65" s="331" t="s">
        <v>374</v>
      </c>
      <c r="D65" s="320">
        <f>(Sheet2!B12/1000)+17</f>
        <v>62</v>
      </c>
      <c r="E65" s="314">
        <f>Table1257[[#This Row],[سعر]]*Table1257[[#This Row],[ميزان]]*Table1257[[#This Row],[عدد]]</f>
        <v>5704</v>
      </c>
      <c r="I65" s="212">
        <v>2</v>
      </c>
      <c r="J65" s="371" t="s">
        <v>228</v>
      </c>
      <c r="K65" s="211">
        <f>IF((Table16124360[[#This Row],[موقع العمل]]="المصنع"),280,IF((Table16124360[[#This Row],[موقع العمل]]="الاسكندرية"),320,400))</f>
        <v>280</v>
      </c>
      <c r="L65" s="211">
        <f>SUMIF(Table17[Column1],Table16124360[[#This Row],[موقع العمل]],Table17[بدل الوجبة])</f>
        <v>0</v>
      </c>
      <c r="M65" s="211" t="s">
        <v>227</v>
      </c>
      <c r="N65" s="214" t="s">
        <v>128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5" s="240">
        <f>Table16124360[[#This Row],[عدد]]*Q65</f>
        <v>560</v>
      </c>
      <c r="S65" s="241" t="e">
        <f t="shared" si="5"/>
        <v>#DIV/0!</v>
      </c>
    </row>
    <row r="66" ht="21">
      <c r="A66" s="350">
        <f>A63</f>
        <v>2</v>
      </c>
      <c r="B66" s="320">
        <v>1</v>
      </c>
      <c r="C66" s="331" t="s">
        <v>361</v>
      </c>
      <c r="D66" s="320">
        <f>Sheet2!B50</f>
        <v>120</v>
      </c>
      <c r="E66" s="314">
        <f>Table1257[[#This Row],[سعر]]*Table1257[[#This Row],[ميزان]]*Table1257[[#This Row],[عدد]]</f>
        <v>240</v>
      </c>
      <c r="I66" s="212">
        <v>3</v>
      </c>
      <c r="J66" s="371" t="s">
        <v>229</v>
      </c>
      <c r="K66" s="211">
        <f>IF((Table16124360[[#This Row],[موقع العمل]]="المصنع"),280,IF((Table16124360[[#This Row],[موقع العمل]]="الاسكندرية"),320,400))</f>
        <v>280</v>
      </c>
      <c r="L66" s="211">
        <f>SUMIF(Table17[Column1],Table16124360[[#This Row],[موقع العمل]],Table17[بدل الوجبة])</f>
        <v>0</v>
      </c>
      <c r="M66" s="211" t="s">
        <v>227</v>
      </c>
      <c r="N66" s="214" t="s">
        <v>128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6" s="240">
        <f>Table16124360[[#This Row],[عدد]]*Q66</f>
        <v>840</v>
      </c>
      <c r="S66" s="241" t="e">
        <f t="shared" si="5"/>
        <v>#DIV/0!</v>
      </c>
    </row>
    <row r="67" ht="21">
      <c r="A67" s="350">
        <f>(A64+A65)*2</f>
        <v>20</v>
      </c>
      <c r="B67" s="320">
        <v>1</v>
      </c>
      <c r="C67" s="331" t="s">
        <v>362</v>
      </c>
      <c r="D67" s="320">
        <f>Sheet2!B51</f>
        <v>120</v>
      </c>
      <c r="E67" s="314">
        <f>Table1257[[#This Row],[سعر]]*Table1257[[#This Row],[ميزان]]*Table1257[[#This Row],[عدد]]</f>
        <v>2400</v>
      </c>
      <c r="I67" s="212">
        <v>0</v>
      </c>
      <c r="J67" s="371" t="s">
        <v>230</v>
      </c>
      <c r="K67" s="211">
        <f>IF((Table16124360[[#This Row],[موقع العمل]]="المصنع"),280,IF((Table16124360[[#This Row],[موقع العمل]]="الاسكندرية"),320,400))</f>
        <v>280</v>
      </c>
      <c r="L67" s="211">
        <f>SUMIF(Table17[Column1],Table16124360[[#This Row],[موقع العمل]],Table17[بدل الوجبة])</f>
        <v>0</v>
      </c>
      <c r="M67" s="211" t="s">
        <v>227</v>
      </c>
      <c r="N67" s="214" t="s">
        <v>128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50">
        <f>تسعير!T65*4</f>
        <v>4</v>
      </c>
      <c r="B68" s="320">
        <v>1</v>
      </c>
      <c r="C68" s="331" t="s">
        <v>363</v>
      </c>
      <c r="D68" s="320">
        <f>Sheet2!B53</f>
        <v>70</v>
      </c>
      <c r="E68" s="314">
        <f>Table1257[[#This Row],[سعر]]*Table1257[[#This Row],[ميزان]]*Table1257[[#This Row],[عدد]]</f>
        <v>280</v>
      </c>
      <c r="I68" s="212">
        <v>4</v>
      </c>
      <c r="J68" s="371" t="s">
        <v>231</v>
      </c>
      <c r="K68" s="211">
        <f>IF((Table16124360[[#This Row],[موقع العمل]]="المصنع"),280,IF((Table16124360[[#This Row],[موقع العمل]]="الاسكندرية"),320,400))</f>
        <v>400</v>
      </c>
      <c r="L68" s="211">
        <f>SUMIF(Table17[Column1],Table16124360[[#This Row],[موقع العمل]],Table17[بدل الوجبة])</f>
        <v>100</v>
      </c>
      <c r="M68" s="211" t="str">
        <f>تسعير!$T$63</f>
        <v>الشيخ زايد</v>
      </c>
      <c r="N68" s="214" t="s">
        <v>128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2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1000</v>
      </c>
      <c r="R68" s="240">
        <f>Table16124360[[#This Row],[عدد]]*Q68</f>
        <v>4000</v>
      </c>
      <c r="S68" s="241" t="e">
        <f t="shared" si="5"/>
        <v>#DIV/0!</v>
      </c>
    </row>
    <row r="69" ht="21">
      <c r="A69" s="350">
        <f>تسعير!T65</f>
        <v>1</v>
      </c>
      <c r="B69" s="320">
        <v>1</v>
      </c>
      <c r="C69" s="331" t="s">
        <v>325</v>
      </c>
      <c r="D69" s="320">
        <f>Sheet2!B52</f>
        <v>150</v>
      </c>
      <c r="E69" s="314">
        <f>Table1257[[#This Row],[سعر]]*Table1257[[#This Row],[ميزان]]*Table1257[[#This Row],[عدد]]</f>
        <v>150</v>
      </c>
      <c r="F69" s="313">
        <f>16*3.14*Table1257[[#This Row],[عدد]]</f>
        <v>50.24</v>
      </c>
      <c r="I69" s="212">
        <v>3</v>
      </c>
      <c r="J69" s="371" t="s">
        <v>232</v>
      </c>
      <c r="K69" s="211">
        <f>IF((Table16124360[[#This Row],[موقع العمل]]="المصنع"),280,IF((Table16124360[[#This Row],[موقع العمل]]="الاسكندرية"),320,400))</f>
        <v>400</v>
      </c>
      <c r="L69" s="211">
        <f>SUMIF(Table17[Column1],Table16124360[[#This Row],[موقع العمل]],Table17[بدل الوجبة])</f>
        <v>100</v>
      </c>
      <c r="M69" s="211" t="str">
        <f>تسعير!$T$63</f>
        <v>الشيخ زايد</v>
      </c>
      <c r="N69" s="214" t="s">
        <v>128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1000</v>
      </c>
      <c r="R69" s="240">
        <f>Table16124360[[#This Row],[عدد]]*Q69</f>
        <v>3000</v>
      </c>
      <c r="S69" s="241" t="e">
        <f t="shared" si="5"/>
        <v>#DIV/0!</v>
      </c>
    </row>
    <row r="70" ht="21">
      <c r="A70" s="350">
        <f>تسعير!T65*36</f>
        <v>36</v>
      </c>
      <c r="B70" s="320">
        <v>1</v>
      </c>
      <c r="C70" s="331" t="s">
        <v>364</v>
      </c>
      <c r="D70" s="320">
        <f>Sheet2!B47</f>
        <v>125</v>
      </c>
      <c r="E70" s="569">
        <f>Table1257[[#This Row],[سعر]]*Table1257[[#This Row],[ميزان]]*Table1257[[#This Row],[عدد]]</f>
        <v>4500</v>
      </c>
      <c r="I70" s="212">
        <v>3</v>
      </c>
      <c r="J70" s="371" t="s">
        <v>233</v>
      </c>
      <c r="K70" s="211">
        <f>IF((Table16124360[[#This Row],[موقع العمل]]="المصنع"),280,IF((Table16124360[[#This Row],[موقع العمل]]="الاسكندرية"),320,400))</f>
        <v>400</v>
      </c>
      <c r="L70" s="211">
        <f>SUMIF(Table17[Column1],Table16124360[[#This Row],[موقع العمل]],Table17[بدل الوجبة])</f>
        <v>100</v>
      </c>
      <c r="M70" s="211" t="str">
        <f>تسعير!$T$63</f>
        <v>الشيخ زايد</v>
      </c>
      <c r="N70" s="214" t="s">
        <v>128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500</v>
      </c>
      <c r="R70" s="240">
        <f>Table16124360[[#This Row],[عدد]]*Q70</f>
        <v>1500</v>
      </c>
      <c r="S70" s="241" t="e">
        <f t="shared" si="5"/>
        <v>#DIV/0!</v>
      </c>
    </row>
    <row r="71" ht="21">
      <c r="A71" s="381">
        <f>IF((تسعير!T64="A"),Table1257[[#This Row],[Column7]],IF((تسعير!T64="B"),Table1257[[#This Row],[Column6]]))</f>
        <v>3.3</v>
      </c>
      <c r="B71" s="320">
        <v>1</v>
      </c>
      <c r="C71" s="331" t="s">
        <v>199</v>
      </c>
      <c r="D71" s="320">
        <f>Sheet2!B27</f>
        <v>510</v>
      </c>
      <c r="E71" s="570">
        <f>Table1257[[#This Row],[سعر]]*Table1257[[#This Row],[ميزان]]*Table1257[[#This Row],[عدد]]</f>
        <v>1683</v>
      </c>
      <c r="F71" s="313">
        <f>ROUND((Table1257[[#This Row],[Column7]]*1.8),1)</f>
        <v>5.9</v>
      </c>
      <c r="G71" s="343">
        <f>ROUND((F62+F63+F61+F82+F86)*0.4,1)</f>
        <v>3.3</v>
      </c>
      <c r="I71" s="212">
        <v>0</v>
      </c>
      <c r="J71" s="371" t="s">
        <v>234</v>
      </c>
      <c r="K71" s="211">
        <f>IF((Table16124360[[#This Row],[موقع العمل]]="المصنع"),280,IF((Table16124360[[#This Row],[موقع العمل]]="الاسكندرية"),320,400))</f>
        <v>400</v>
      </c>
      <c r="L71" s="211">
        <f>SUMIF(Table17[Column1],Table16124360[[#This Row],[موقع العمل]],Table17[بدل الوجبة])</f>
        <v>100</v>
      </c>
      <c r="M71" s="211" t="str">
        <f>تسعير!$T$63</f>
        <v>الشيخ زايد</v>
      </c>
      <c r="N71" s="214" t="s">
        <v>128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81">
        <f>IF((تسعير!T64="A"),Table1257[[#This Row],[Column7]],IF((تسعير!T64="B"),Table1257[[#This Row],[Column6]]))</f>
        <v>3.3</v>
      </c>
      <c r="B72" s="320">
        <v>1</v>
      </c>
      <c r="C72" s="331" t="s">
        <v>198</v>
      </c>
      <c r="D72" s="320">
        <f>Sheet2!B26</f>
        <v>220</v>
      </c>
      <c r="E72" s="570">
        <f>Table1257[[#This Row],[سعر]]*Table1257[[#This Row],[ميزان]]*Table1257[[#This Row],[عدد]]</f>
        <v>726</v>
      </c>
      <c r="F72" s="313">
        <f>ROUND((Table1257[[#This Row],[Column7]]*1.8),1)</f>
        <v>5.9</v>
      </c>
      <c r="G72" s="343">
        <f>ROUND((F62+F63+F61+F82+F86)*0.4,1)</f>
        <v>3.3</v>
      </c>
      <c r="I72" s="212">
        <f>(I68+I69+I70+I71)*2</f>
        <v>20</v>
      </c>
      <c r="J72" s="371" t="s">
        <v>235</v>
      </c>
      <c r="K72" s="211"/>
      <c r="L72" s="211"/>
      <c r="M72" s="211" t="str">
        <f>تسعير!$T$63</f>
        <v>الشيخ زايد</v>
      </c>
      <c r="N72" s="214"/>
      <c r="O72" s="247">
        <f>SUMIF(Table17[Column1],Table16124360[[#This Row],[موقع العمل]],Table17[خارجي])</f>
        <v>400</v>
      </c>
      <c r="P72" s="247"/>
      <c r="Q72" s="243">
        <f>Table16124360[[#This Row],[Column12]]</f>
        <v>400</v>
      </c>
      <c r="R72" s="240">
        <f ref="R72:R76" t="shared" si="6">I72*Q72</f>
        <v>8000</v>
      </c>
      <c r="S72" s="241" t="e">
        <f t="shared" si="5"/>
        <v>#DIV/0!</v>
      </c>
    </row>
    <row r="73" ht="21">
      <c r="A73" s="381">
        <f>IF((تسعير!T64="A"),Table1257[[#This Row],[Column7]],IF((تسعير!T64="B"),Table1257[[#This Row],[Column6]]))</f>
        <v>3.3</v>
      </c>
      <c r="B73" s="320">
        <v>1</v>
      </c>
      <c r="C73" s="331" t="s">
        <v>134</v>
      </c>
      <c r="D73" s="320">
        <f>Sheet2!B25</f>
        <v>95</v>
      </c>
      <c r="E73" s="570">
        <f>Table1257[[#This Row],[سعر]]*Table1257[[#This Row],[ميزان]]*Table1257[[#This Row],[عدد]]</f>
        <v>313.5</v>
      </c>
      <c r="F73" s="313">
        <f>ROUND((Table1257[[#This Row],[Column7]]*1.8),1)</f>
        <v>5.9</v>
      </c>
      <c r="G73" s="343">
        <f>ROUND((F62+F63+F61+F82+F86)*0.4,1)</f>
        <v>3.3</v>
      </c>
      <c r="I73" s="212">
        <f>((P68+P69+P70+P71)*2)-2</f>
        <v>8</v>
      </c>
      <c r="J73" s="371" t="s">
        <v>236</v>
      </c>
      <c r="K73" s="211"/>
      <c r="L73" s="211"/>
      <c r="M73" s="211" t="str">
        <f>تسعير!$T$63</f>
        <v>الشيخ زايد</v>
      </c>
      <c r="N73" s="214"/>
      <c r="O73" s="247">
        <f>SUMIF(Table17[Column1],Table16124360[[#This Row],[موقع العمل]],Table17[داخلي])</f>
        <v>400</v>
      </c>
      <c r="P73" s="247"/>
      <c r="Q73" s="243">
        <f>Table16124360[[#This Row],[Column12]]</f>
        <v>400</v>
      </c>
      <c r="R73" s="240">
        <f t="shared" si="6"/>
        <v>3200</v>
      </c>
      <c r="S73" s="241" t="e">
        <f t="shared" si="5"/>
        <v>#DIV/0!</v>
      </c>
    </row>
    <row r="74" ht="21">
      <c r="A74" s="381">
        <f>ROUND((F62+F63+F61)*0.4/3,0)</f>
        <v>1</v>
      </c>
      <c r="B74" s="320">
        <v>1</v>
      </c>
      <c r="C74" s="331" t="s">
        <v>195</v>
      </c>
      <c r="D74" s="320">
        <f>Sheet2!B24</f>
        <v>400</v>
      </c>
      <c r="E74" s="570">
        <f>Table1257[[#This Row],[سعر]]*Table1257[[#This Row],[ميزان]]*Table1257[[#This Row],[عدد]]</f>
        <v>400</v>
      </c>
      <c r="I74" s="212">
        <v>2</v>
      </c>
      <c r="J74" s="371" t="s">
        <v>237</v>
      </c>
      <c r="K74" s="211"/>
      <c r="L74" s="211"/>
      <c r="M74" s="211" t="str">
        <f>تسعير!$T$63</f>
        <v>الشيخ زايد</v>
      </c>
      <c r="N74" s="214"/>
      <c r="O74" s="247">
        <f>SUMIF(Table17[Column1],Table16124360[[#This Row],[موقع العمل]],Table17[دبابة])</f>
        <v>3500</v>
      </c>
      <c r="P74" s="247"/>
      <c r="Q74" s="243">
        <f>Table16124360[[#This Row],[Column12]]</f>
        <v>3500</v>
      </c>
      <c r="R74" s="240">
        <f t="shared" si="6"/>
        <v>7000</v>
      </c>
      <c r="S74" s="241" t="e">
        <f t="shared" si="5"/>
        <v>#DIV/0!</v>
      </c>
    </row>
    <row r="75" ht="21">
      <c r="A75" s="381">
        <f>(A61+A62+A63)*4</f>
        <v>16</v>
      </c>
      <c r="B75" s="320">
        <v>1</v>
      </c>
      <c r="C75" s="331" t="s">
        <v>188</v>
      </c>
      <c r="D75" s="320">
        <f>Sheet2!B48</f>
        <v>25</v>
      </c>
      <c r="E75" s="570">
        <f>Table1257[[#This Row],[سعر]]*Table1257[[#This Row],[ميزان]]*Table1257[[#This Row],[عدد]]</f>
        <v>400</v>
      </c>
      <c r="I75" s="212">
        <v>2</v>
      </c>
      <c r="J75" s="371" t="s">
        <v>238</v>
      </c>
      <c r="K75" s="211"/>
      <c r="L75" s="211"/>
      <c r="M75" s="211" t="str">
        <f>تسعير!$T$63</f>
        <v>الشيخ زايد</v>
      </c>
      <c r="N75" s="214"/>
      <c r="O75" s="247">
        <f>SUMIF(Table17[Column1],Table16124360[[#This Row],[موقع العمل]],Table17[جامبو])</f>
        <v>6000</v>
      </c>
      <c r="P75" s="247"/>
      <c r="Q75" s="243">
        <f>Table16124360[[#This Row],[Column12]]</f>
        <v>6000</v>
      </c>
      <c r="R75" s="240">
        <f t="shared" si="6"/>
        <v>12000</v>
      </c>
      <c r="S75" s="241" t="e">
        <f t="shared" si="5"/>
        <v>#DIV/0!</v>
      </c>
    </row>
    <row r="76" ht="21">
      <c r="A76" s="381">
        <f>(A61+A62+A63)*4</f>
        <v>16</v>
      </c>
      <c r="B76" s="320">
        <v>1</v>
      </c>
      <c r="C76" s="331" t="s">
        <v>190</v>
      </c>
      <c r="D76" s="320">
        <f>Sheet2!B48</f>
        <v>25</v>
      </c>
      <c r="E76" s="570">
        <f>Table1257[[#This Row],[سعر]]*Table1257[[#This Row],[ميزان]]*Table1257[[#This Row],[عدد]]</f>
        <v>400</v>
      </c>
      <c r="I76" s="212">
        <f>I73</f>
        <v>8</v>
      </c>
      <c r="J76" s="371" t="s">
        <v>108</v>
      </c>
      <c r="K76" s="211"/>
      <c r="L76" s="211"/>
      <c r="M76" s="211" t="str">
        <f>تسعير!$T$63</f>
        <v>الشيخ زايد</v>
      </c>
      <c r="N76" s="214"/>
      <c r="O76" s="247">
        <f>SUMIF(Table17[Column1],Table16124360[[#This Row],[موقع العمل]],Table17[الاقامة])</f>
        <v>150</v>
      </c>
      <c r="P76" s="247"/>
      <c r="Q76" s="243">
        <f>Table16124360[[#This Row],[Column12]]</f>
        <v>150</v>
      </c>
      <c r="R76" s="240">
        <f t="shared" si="6"/>
        <v>1200</v>
      </c>
      <c r="S76" s="241" t="e">
        <f t="shared" si="5"/>
        <v>#DIV/0!</v>
      </c>
    </row>
    <row r="77" ht="18">
      <c r="A77" s="381">
        <f>A61+A62+A63</f>
        <v>4</v>
      </c>
      <c r="B77" s="320">
        <v>1</v>
      </c>
      <c r="C77" s="331" t="s">
        <v>191</v>
      </c>
      <c r="D77" s="320">
        <v>25</v>
      </c>
      <c r="E77" s="570">
        <f>Table1257[[#This Row],[سعر]]*Table1257[[#This Row],[ميزان]]*Table1257[[#This Row],[عدد]]</f>
        <v>100</v>
      </c>
      <c r="I77" s="571"/>
      <c r="J77" s="550" t="s">
        <v>92</v>
      </c>
      <c r="K77" s="572"/>
      <c r="L77" s="572"/>
      <c r="M77" s="573"/>
      <c r="N77" s="573"/>
      <c r="O77" s="574">
        <f>SUBTOTAL(109,Table16124360[Column12])</f>
        <v>10450</v>
      </c>
      <c r="P77" s="572"/>
      <c r="Q77" s="242"/>
      <c r="R77" s="575">
        <f>SUBTOTAL(109,Table16124360[اجمالي])</f>
        <v>42420</v>
      </c>
      <c r="S77" s="576" t="e">
        <f>Table16124360[[#Totals],[اجمالي]]/$G$84</f>
        <v>#DIV/0!</v>
      </c>
    </row>
    <row r="78" ht="18">
      <c r="A78" s="381">
        <f>ROUND((F62+F63)*0.4,0)</f>
        <v>3</v>
      </c>
      <c r="B78" s="320">
        <v>1</v>
      </c>
      <c r="C78" s="331" t="s">
        <v>193</v>
      </c>
      <c r="D78" s="320">
        <v>18</v>
      </c>
      <c r="E78" s="570">
        <f>Table1257[[#This Row],[سعر]]*Table1257[[#This Row],[ميزان]]*Table1257[[#This Row],[عدد]]</f>
        <v>54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">
      <c r="A79" s="381">
        <v>5</v>
      </c>
      <c r="B79" s="320">
        <v>1</v>
      </c>
      <c r="C79" s="331" t="s">
        <v>194</v>
      </c>
      <c r="D79" s="320">
        <v>40</v>
      </c>
      <c r="E79" s="570">
        <f>Table1257[[#This Row],[سعر]]*Table1257[[#This Row],[ميزان]]*Table1257[[#This Row],[عدد]]</f>
        <v>200</v>
      </c>
    </row>
    <row r="80" ht="18">
      <c r="A80" s="381">
        <f>IF((تسعير!T64="A"),0,IF((تسعير!T64="B"),(G86+G82+G63+G62+G61)))</f>
        <v>0</v>
      </c>
      <c r="B80" s="320">
        <v>1</v>
      </c>
      <c r="C80" s="331" t="s">
        <v>200</v>
      </c>
      <c r="D80" s="320">
        <v>20</v>
      </c>
      <c r="E80" s="314">
        <f>Table1257[[#This Row],[سعر]]*Table1257[[#This Row],[ميزان]]*Table1257[[#This Row],[عدد]]</f>
        <v>0</v>
      </c>
      <c r="J80" s="218" t="s">
        <v>102</v>
      </c>
      <c r="K80" s="211" t="s">
        <v>239</v>
      </c>
      <c r="L80" s="211" t="s">
        <v>240</v>
      </c>
      <c r="M80" s="211" t="s">
        <v>184</v>
      </c>
      <c r="N80" s="211" t="s">
        <v>121</v>
      </c>
    </row>
    <row r="81" ht="18">
      <c r="A81" s="381">
        <f>IF((تسعير!T71="بالتات"),0,(A61+A62))</f>
        <v>0</v>
      </c>
      <c r="B81" s="320">
        <v>1</v>
      </c>
      <c r="C81" s="331" t="s">
        <v>365</v>
      </c>
      <c r="D81" s="320">
        <f>Sheet2!B49</f>
        <v>1200</v>
      </c>
      <c r="E81" s="342">
        <f>Table1257[[#This Row],[سعر]]*Table1257[[#This Row],[ميزان]]*Table1257[[#This Row],[عدد]]</f>
        <v>0</v>
      </c>
      <c r="J81" s="213" t="s">
        <v>367</v>
      </c>
      <c r="K81" s="214"/>
      <c r="L81" s="211"/>
      <c r="M81" s="280"/>
      <c r="N81" s="214">
        <f>IF((تسعير!T70='شماسي و كانتليفر'!F19),(N82-E61-E81-Table1257[[#This Row],[Column5]]-E83-E84-E86-R75-R74-R72-(P64*K64)),0)</f>
        <v>0</v>
      </c>
    </row>
    <row r="82" ht="18">
      <c r="A82" s="381">
        <f>IF((تسعير!T71="بالتات"),(A61+A62),0)</f>
        <v>2</v>
      </c>
      <c r="B82" s="320">
        <v>30</v>
      </c>
      <c r="C82" s="331" t="s">
        <v>366</v>
      </c>
      <c r="D82" s="320">
        <f>Sheet2!B12/1000</f>
        <v>45</v>
      </c>
      <c r="E82" s="342">
        <f>Table1257[[#This Row],[سعر]]*Table1257[[#This Row],[ميزان]]*Table1257[[#This Row],[عدد]]</f>
        <v>2700</v>
      </c>
      <c r="F82" s="313">
        <f>0.5*0.5*Table1257[[#This Row],[عدد]]</f>
        <v>0.5</v>
      </c>
      <c r="G82" s="313">
        <f>Table1257[[#This Row],[ميزان]]*Table1257[[#This Row],[عدد]]</f>
        <v>60</v>
      </c>
      <c r="J82" s="372" t="s">
        <v>369</v>
      </c>
      <c r="K82" s="214"/>
      <c r="L82" s="211"/>
      <c r="M82" s="280"/>
      <c r="N82" s="281">
        <f>Table1257[[#Totals],[Column5]]+Table16124360[[#Totals],[اجمالي]]</f>
        <v>81198.5</v>
      </c>
    </row>
    <row r="83" ht="18">
      <c r="A83" s="381">
        <f>A82*2</f>
        <v>4</v>
      </c>
      <c r="B83" s="320">
        <v>1</v>
      </c>
      <c r="C83" s="331" t="s">
        <v>368</v>
      </c>
      <c r="D83" s="320">
        <v>600</v>
      </c>
      <c r="E83" s="342">
        <f>Table1257[[#This Row],[سعر]]*Table1257[[#This Row],[ميزان]]*Table1257[[#This Row],[عدد]]</f>
        <v>2400</v>
      </c>
      <c r="J83" s="213" t="s">
        <v>241</v>
      </c>
      <c r="K83" s="214"/>
      <c r="L83" s="211"/>
      <c r="M83" s="280"/>
      <c r="N83" s="281">
        <f>N82+N81</f>
        <v>81198.5</v>
      </c>
    </row>
    <row r="84" ht="18">
      <c r="A84" s="381">
        <f>A81*1.5</f>
        <v>0</v>
      </c>
      <c r="B84" s="320">
        <v>10</v>
      </c>
      <c r="C84" s="331" t="s">
        <v>370</v>
      </c>
      <c r="D84" s="320">
        <f>Sheet2!B12/1000</f>
        <v>45</v>
      </c>
      <c r="E84" s="342">
        <f>Table1257[[#This Row],[سعر]]*Table1257[[#This Row],[ميزان]]*Table1257[[#This Row],[عدد]]</f>
        <v>0</v>
      </c>
      <c r="J84" s="213" t="s">
        <v>242</v>
      </c>
      <c r="K84" s="214"/>
      <c r="L84" s="211"/>
      <c r="M84" s="310">
        <f>IF((M73="المقطم"),0.3,IF((M73="التجمع"),0.3,IF((M73="الشيخ زايد"),0.3,IF((M73="الاسكندرية"),0.5,IF((M73="الساحل"),0.5,0.35)))))</f>
        <v>0.3</v>
      </c>
      <c r="N84" s="281">
        <f>N83*(1+Table185665[[#This Row],[Column3]])</f>
        <v>105558.05</v>
      </c>
    </row>
    <row r="85" ht="18">
      <c r="A85" s="381">
        <f>ROUND((F62+F63)*0.4/3,0)</f>
        <v>1</v>
      </c>
      <c r="B85" s="320">
        <v>1</v>
      </c>
      <c r="C85" s="331" t="s">
        <v>164</v>
      </c>
      <c r="D85" s="320">
        <f>Sheet2!B28</f>
        <v>400</v>
      </c>
      <c r="E85" s="342">
        <f>Table1257[[#This Row],[سعر]]*Table1257[[#This Row],[ميزان]]*Table1257[[#This Row],[عدد]]</f>
        <v>400</v>
      </c>
    </row>
    <row r="86" ht="18">
      <c r="A86" s="381">
        <f>A82*4</f>
        <v>8</v>
      </c>
      <c r="B86" s="320">
        <v>1</v>
      </c>
      <c r="C86" s="331" t="s">
        <v>371</v>
      </c>
      <c r="D86" s="320">
        <f>Sheet2!B12/1000</f>
        <v>45</v>
      </c>
      <c r="E86" s="342">
        <f>Table1257[[#This Row],[سعر]]*Table1257[[#This Row],[ميزان]]*Table1257[[#This Row],[عدد]]</f>
        <v>360</v>
      </c>
      <c r="F86" s="313">
        <f>0.15*0.15/2*Table1257[[#This Row],[عدد]]</f>
        <v>0.09</v>
      </c>
      <c r="G86" s="313">
        <f>Table1257[[#This Row],[ميزان]]*Table1257[[#This Row],[عدد]]</f>
        <v>8</v>
      </c>
    </row>
    <row r="87" ht="18">
      <c r="A87" s="381">
        <f>ROUND((F62+F63)*0.4/3,0)</f>
        <v>1</v>
      </c>
      <c r="B87" s="320">
        <v>1</v>
      </c>
      <c r="C87" s="331" t="s">
        <v>372</v>
      </c>
      <c r="D87" s="320">
        <v>200</v>
      </c>
      <c r="E87" s="342">
        <f>Table1257[[#This Row],[سعر]]*Table1257[[#This Row],[ميزان]]*Table1257[[#This Row],[عدد]]</f>
        <v>200</v>
      </c>
    </row>
    <row r="88">
      <c r="A88" s="344" t="s">
        <v>92</v>
      </c>
      <c r="E88" s="342">
        <f>SUBTOTAL(109,Table1257[Column5])</f>
        <v>38778.5</v>
      </c>
      <c r="F88" s="345" t="e">
        <f>Table1257[[#Totals],[Column5]]/(تسعير!S87*تسعير!S88/10000)</f>
        <v>#DIV/0!</v>
      </c>
      <c r="G88" s="313">
        <f>SUBTOTAL(103,Table1257[Column7])</f>
        <v>8</v>
      </c>
    </row>
    <row r="89">
      <c r="A89" s="346"/>
    </row>
    <row r="90">
      <c r="A90" s="346"/>
    </row>
    <row r="91">
      <c r="A91" s="346"/>
      <c r="H91" s="348"/>
      <c r="I91" s="348"/>
      <c r="J91" s="348"/>
      <c r="K91" s="348"/>
      <c r="L91" s="373"/>
      <c r="M91" s="373"/>
      <c r="N91" s="373"/>
      <c r="O91" s="373"/>
      <c r="P91" s="373"/>
      <c r="Q91" s="373"/>
      <c r="R91" s="373"/>
      <c r="S91" s="373"/>
      <c r="T91" s="373"/>
    </row>
    <row r="92">
      <c r="A92" s="347"/>
      <c r="B92" s="348"/>
      <c r="C92" s="348"/>
      <c r="D92" s="348"/>
      <c r="E92" s="349"/>
      <c r="F92" s="348"/>
      <c r="G92" s="348"/>
    </row>
  </sheetData>
  <sheetProtection selectLockedCells="1" selectUnlockedCells="1"/>
  <mergeCells>
    <mergeCell ref="L29:Q29"/>
    <mergeCell ref="L62:Q62"/>
    <mergeCell ref="N18:O20"/>
    <mergeCell ref="N22:O24"/>
  </mergeCells>
  <dataValidations count="1">
    <dataValidation type="list" allowBlank="1" showInputMessage="1" showErrorMessage="1" sqref="N31:N43 N64:N76" xr:uid="{00000000-0002-0000-06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O179"/>
  <sheetViews>
    <sheetView rightToLeft="1" topLeftCell="K89" zoomScale="40" zoomScaleNormal="40" workbookViewId="0">
      <selection activeCell="O123" sqref="O123:O130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.6640625" customWidth="1" style="1"/>
    <col min="5" max="5" width="14.109375" customWidth="1" style="1"/>
    <col min="6" max="6" width="19.88671875" customWidth="1" style="1"/>
    <col min="7" max="7" width="12.109375" customWidth="1" style="1"/>
    <col min="8" max="9" width="11.88671875" customWidth="1" style="1"/>
    <col min="10" max="10" width="15.664062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55.109375" customWidth="1" style="1"/>
    <col min="37" max="37" width="9.109375" customWidth="1" style="1"/>
    <col min="38" max="38" width="16.6640625" customWidth="1" style="1"/>
    <col min="39" max="39" width="17" customWidth="1" style="1"/>
    <col min="40" max="47" width="9.109375" customWidth="1" style="1"/>
    <col min="48" max="48" width="46.88671875" customWidth="1" style="1"/>
    <col min="49" max="49" width="14.33203125" customWidth="1" style="1"/>
    <col min="50" max="50" width="14.88671875" customWidth="1" style="1"/>
    <col min="51" max="51" width="12.5546875" customWidth="1" style="1"/>
    <col min="52" max="52" width="14.88671875" customWidth="1" style="1"/>
    <col min="53" max="53" width="22.33203125" customWidth="1" style="1"/>
    <col min="54" max="54" width="3.44140625" customWidth="1" style="1"/>
    <col min="55" max="55" width="10.44140625" customWidth="1" style="1"/>
    <col min="56" max="56" width="11.88671875" customWidth="1" style="1"/>
    <col min="57" max="57" width="16.6640625" customWidth="1" style="1"/>
    <col min="58" max="58" width="6.33203125" customWidth="1" style="1"/>
    <col min="59" max="59" width="14.33203125" customWidth="1" style="1"/>
    <col min="60" max="60" width="13" customWidth="1" style="1"/>
    <col min="61" max="61" width="44.33203125" customWidth="1" style="1"/>
    <col min="62" max="62" width="14.33203125" customWidth="1" style="1"/>
    <col min="63" max="63" width="14.109375" customWidth="1" style="1"/>
    <col min="64" max="64" width="13.88671875" customWidth="1" style="1"/>
    <col min="65" max="65" width="14.109375" customWidth="1" style="1"/>
    <col min="66" max="66" width="14.6640625" customWidth="1" style="1"/>
    <col min="67" max="67" width="13.6640625" customWidth="1" style="1"/>
    <col min="68" max="68" width="17.6640625" customWidth="1" style="1"/>
    <col min="69" max="69" width="21.88671875" customWidth="1" style="1"/>
    <col min="70" max="70" width="21.109375" customWidth="1" style="1"/>
    <col min="71" max="82" width="9.109375" customWidth="1" style="1"/>
    <col min="83" max="83" width="26.5546875" customWidth="1" style="1"/>
    <col min="84" max="16384" width="9.109375" customWidth="1" style="1"/>
  </cols>
  <sheetData>
    <row r="1" ht="21">
      <c r="A1" s="532" t="s">
        <v>375</v>
      </c>
      <c r="B1" s="533">
        <f>(F1*D1)/10000</f>
        <v>20.4</v>
      </c>
      <c r="C1" s="534" t="s">
        <v>252</v>
      </c>
      <c r="D1" s="535">
        <f>تسعير!AT34</f>
        <v>510</v>
      </c>
      <c r="E1" s="534" t="s">
        <v>213</v>
      </c>
      <c r="F1" s="535">
        <f>تسعير!AT33</f>
        <v>400</v>
      </c>
      <c r="G1" s="534" t="s">
        <v>376</v>
      </c>
      <c r="H1" s="535" t="str">
        <f>تسعير!AT26</f>
        <v>خشبي</v>
      </c>
      <c r="I1" s="549" t="str">
        <f>تسعير!AT32</f>
        <v>بالتات</v>
      </c>
      <c r="J1" s="536"/>
      <c r="K1" s="192"/>
      <c r="L1" s="686" t="s">
        <v>93</v>
      </c>
      <c r="M1" s="687"/>
      <c r="N1" s="688"/>
      <c r="O1" s="201" t="s">
        <v>94</v>
      </c>
      <c r="P1" s="202" t="s">
        <v>95</v>
      </c>
      <c r="Q1" s="223" t="s">
        <v>96</v>
      </c>
      <c r="R1" s="224" t="s">
        <v>97</v>
      </c>
      <c r="S1" s="224" t="s">
        <v>98</v>
      </c>
      <c r="T1" s="224" t="s">
        <v>99</v>
      </c>
      <c r="U1" s="224" t="s">
        <v>100</v>
      </c>
      <c r="V1" s="225" t="s">
        <v>101</v>
      </c>
      <c r="W1" s="226"/>
      <c r="X1" s="227"/>
      <c r="Y1" s="227" t="s">
        <v>102</v>
      </c>
      <c r="Z1" s="227" t="s">
        <v>103</v>
      </c>
      <c r="AA1" s="227" t="s">
        <v>104</v>
      </c>
      <c r="AB1" s="227" t="s">
        <v>105</v>
      </c>
      <c r="AC1" s="227" t="s">
        <v>106</v>
      </c>
      <c r="AD1" s="227" t="s">
        <v>107</v>
      </c>
      <c r="AE1" s="227" t="s">
        <v>108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377</v>
      </c>
      <c r="AW1" s="189">
        <f>(BA1*AY1)/10000</f>
        <v>20</v>
      </c>
      <c r="AX1" s="190" t="s">
        <v>252</v>
      </c>
      <c r="AY1" s="191">
        <f>تسعير!$AT$54</f>
        <v>400</v>
      </c>
      <c r="AZ1" s="190" t="s">
        <v>213</v>
      </c>
      <c r="BA1" s="191">
        <f>تسعير!$AT$53</f>
        <v>500</v>
      </c>
      <c r="BB1" s="192"/>
      <c r="BC1" s="192"/>
      <c r="BD1" s="192" t="str">
        <f>تسعير!AT52</f>
        <v>بالتات</v>
      </c>
      <c r="BE1" s="192"/>
      <c r="BF1" s="192"/>
      <c r="BG1" s="686" t="s">
        <v>93</v>
      </c>
      <c r="BH1" s="687"/>
      <c r="BI1" s="688"/>
      <c r="BJ1" s="201" t="s">
        <v>94</v>
      </c>
      <c r="BK1" s="202" t="s">
        <v>95</v>
      </c>
      <c r="BL1" s="223" t="s">
        <v>96</v>
      </c>
      <c r="BM1" s="224" t="s">
        <v>97</v>
      </c>
      <c r="BN1" s="224" t="s">
        <v>98</v>
      </c>
      <c r="BO1" s="224" t="s">
        <v>99</v>
      </c>
      <c r="BP1" s="224" t="s">
        <v>100</v>
      </c>
      <c r="BQ1" s="225" t="s">
        <v>101</v>
      </c>
      <c r="BR1" s="226"/>
      <c r="BS1" s="227"/>
      <c r="BT1" s="227" t="s">
        <v>102</v>
      </c>
      <c r="BU1" s="227" t="s">
        <v>103</v>
      </c>
      <c r="BV1" s="227" t="s">
        <v>104</v>
      </c>
      <c r="BW1" s="227" t="s">
        <v>105</v>
      </c>
      <c r="BX1" s="227" t="s">
        <v>106</v>
      </c>
      <c r="BY1" s="227" t="s">
        <v>107</v>
      </c>
      <c r="BZ1" s="227" t="s">
        <v>108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">
      <c r="A2" s="537" t="s">
        <v>102</v>
      </c>
      <c r="B2" s="538" t="s">
        <v>32</v>
      </c>
      <c r="C2" s="538" t="s">
        <v>378</v>
      </c>
      <c r="D2" s="538" t="s">
        <v>121</v>
      </c>
      <c r="E2" s="538" t="s">
        <v>379</v>
      </c>
      <c r="F2" s="538" t="s">
        <v>380</v>
      </c>
      <c r="G2" s="528"/>
      <c r="H2" s="539" t="s">
        <v>8</v>
      </c>
      <c r="I2" s="539"/>
      <c r="J2" s="539" t="s">
        <v>381</v>
      </c>
      <c r="L2" s="689"/>
      <c r="M2" s="690"/>
      <c r="N2" s="691"/>
      <c r="O2" s="203"/>
      <c r="P2" s="204"/>
      <c r="Q2" s="228">
        <f>O2*P2</f>
        <v>0</v>
      </c>
      <c r="R2" s="229" t="e">
        <f>R69/Q2</f>
        <v>#DIV/0!</v>
      </c>
      <c r="S2" s="230">
        <f>Sheet2!B12</f>
        <v>45000</v>
      </c>
      <c r="T2" s="231">
        <f>Sheet2!B13</f>
        <v>50000</v>
      </c>
      <c r="U2" s="232">
        <f>Sheet2!B14</f>
        <v>202000</v>
      </c>
      <c r="V2" s="232">
        <f>Sheet2!B15</f>
        <v>70000</v>
      </c>
      <c r="W2" s="233"/>
      <c r="X2" s="207"/>
      <c r="Y2" s="216" t="s">
        <v>109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102</v>
      </c>
      <c r="AW2" s="194" t="s">
        <v>32</v>
      </c>
      <c r="AX2" s="194" t="s">
        <v>378</v>
      </c>
      <c r="AY2" s="194" t="s">
        <v>121</v>
      </c>
      <c r="AZ2" s="194" t="s">
        <v>379</v>
      </c>
      <c r="BA2" s="194" t="s">
        <v>380</v>
      </c>
      <c r="BC2" s="195" t="s">
        <v>8</v>
      </c>
      <c r="BD2" s="195"/>
      <c r="BE2" s="195" t="s">
        <v>381</v>
      </c>
      <c r="BG2" s="689"/>
      <c r="BH2" s="690"/>
      <c r="BI2" s="691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109</v>
      </c>
      <c r="BU2" s="216">
        <v>0</v>
      </c>
      <c r="BV2" s="216">
        <v>0</v>
      </c>
      <c r="BW2" s="216">
        <v>0</v>
      </c>
      <c r="BX2" s="216">
        <v>1000</v>
      </c>
      <c r="BY2" s="216">
        <v>2000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.6">
      <c r="A3" s="537" t="s">
        <v>382</v>
      </c>
      <c r="B3" s="540">
        <f>ROUNDUP((12+((ROUNDUP((D1-210),15))/15)),0)</f>
        <v>32</v>
      </c>
      <c r="C3" s="541">
        <f>F1-16.5</f>
        <v>383.5</v>
      </c>
      <c r="D3" s="538" t="s">
        <v>84</v>
      </c>
      <c r="E3" s="538">
        <v>2.3</v>
      </c>
      <c r="F3" s="538">
        <f>IF(($H$1="سادة"),(J3*H3*E3*($U$2+(Sheet2!B41*1000))/1000),(J3*H3*E3*($U$2+(Sheet2!B15))/1000))</f>
        <v>80076.8</v>
      </c>
      <c r="G3" s="528"/>
      <c r="H3" s="539">
        <f>CEILING(Table80102114[[#This Row],[طول]]/100,0.5)</f>
        <v>4</v>
      </c>
      <c r="I3" s="279">
        <f ref="I3:I8" t="shared" si="0">(H3*100)/C3</f>
        <v>1.0430247718383312</v>
      </c>
      <c r="J3" s="542">
        <f ref="J3:J8" t="shared" si="1">B3/(ROUNDDOWN(I3,0))</f>
        <v>32</v>
      </c>
      <c r="L3" s="682" t="s">
        <v>110</v>
      </c>
      <c r="M3" s="683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A32</v>
      </c>
      <c r="O3" s="207"/>
      <c r="P3" s="207"/>
      <c r="Q3" s="234" t="s">
        <v>111</v>
      </c>
      <c r="R3" s="684">
        <f>NOW()</f>
        <v>46060.582549444443</v>
      </c>
      <c r="S3" s="685"/>
      <c r="T3" s="685"/>
      <c r="U3" s="235"/>
      <c r="V3" s="235"/>
      <c r="W3" s="235"/>
      <c r="X3" s="207"/>
      <c r="Y3" s="216" t="s">
        <v>112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382</v>
      </c>
      <c r="AW3" s="196">
        <f>ROUNDUP((12+((ROUNDUP((AY1-210),18))/18)),0)</f>
        <v>23</v>
      </c>
      <c r="AX3" s="197">
        <f>BA1-16.5</f>
        <v>483.5</v>
      </c>
      <c r="AY3" s="194" t="s">
        <v>84</v>
      </c>
      <c r="AZ3" s="194">
        <v>2</v>
      </c>
      <c r="BA3" s="194">
        <f>IF((تسعير!$AT$46="سادة"),(BE3*BC3*AZ3*(Sheet2!$B$14+(Sheet2!B41*1000))/1000),(BE3*BC3*AZ3*(Sheet2!$B$14+Sheet2!$B$15)/1000))</f>
        <v>62560</v>
      </c>
      <c r="BC3" s="258">
        <f>CEILING(Table8091[[#This Row],[طول]]/100,0.5)</f>
        <v>5</v>
      </c>
      <c r="BD3" s="259">
        <f>(BC3*100)/AX3</f>
        <v>1.0341261633919339</v>
      </c>
      <c r="BE3" s="261">
        <f>AW3/(ROUNDDOWN(BD3,0))</f>
        <v>23</v>
      </c>
      <c r="BG3" s="682" t="s">
        <v>110</v>
      </c>
      <c r="BH3" s="683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111</v>
      </c>
      <c r="BM3" s="684">
        <f>NOW()</f>
        <v>46060.582549444443</v>
      </c>
      <c r="BN3" s="685"/>
      <c r="BO3" s="685"/>
      <c r="BP3" s="235"/>
      <c r="BQ3" s="235"/>
      <c r="BR3" s="235"/>
      <c r="BS3" s="207"/>
      <c r="BT3" s="216" t="s">
        <v>112</v>
      </c>
      <c r="BU3" s="216">
        <v>180</v>
      </c>
      <c r="BV3" s="216">
        <v>300</v>
      </c>
      <c r="BW3" s="216">
        <v>125</v>
      </c>
      <c r="BX3" s="216">
        <v>3000</v>
      </c>
      <c r="BY3" s="216">
        <v>5000</v>
      </c>
      <c r="BZ3" s="216">
        <v>1000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6" s="187" customFormat="1">
      <c r="A4" s="537" t="s">
        <v>383</v>
      </c>
      <c r="B4" s="538">
        <v>2</v>
      </c>
      <c r="C4" s="540">
        <f>F1</f>
        <v>400</v>
      </c>
      <c r="D4" s="538" t="s">
        <v>84</v>
      </c>
      <c r="E4" s="538">
        <v>3.8</v>
      </c>
      <c r="F4" s="538">
        <f>IF(($H$1="سادة"),(J4*H4*E4*($U$2+(Sheet2!B41*1000))/1000),(J4*H4*E4*($U$2+(Sheet2!B15))/1000))</f>
        <v>8268.8</v>
      </c>
      <c r="G4" s="543"/>
      <c r="H4" s="539">
        <f>CEILING(Table80102114[[#This Row],[طول]]/100,0.5)</f>
        <v>4</v>
      </c>
      <c r="I4" s="279">
        <f t="shared" si="0"/>
        <v>1</v>
      </c>
      <c r="J4" s="542">
        <f t="shared" si="1"/>
        <v>2</v>
      </c>
      <c r="K4" s="1"/>
      <c r="L4" s="208"/>
      <c r="M4" s="208"/>
      <c r="N4" s="209"/>
      <c r="O4" s="681" t="s">
        <v>113</v>
      </c>
      <c r="P4" s="681"/>
      <c r="Q4" s="681"/>
      <c r="R4" s="681"/>
      <c r="S4" s="681"/>
      <c r="T4" s="681"/>
      <c r="U4" s="236"/>
      <c r="V4" s="236"/>
      <c r="W4" s="236"/>
      <c r="X4" s="207"/>
      <c r="Y4" s="216" t="s">
        <v>114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115</v>
      </c>
      <c r="AG4" s="207"/>
      <c r="AH4" s="207"/>
      <c r="AI4" s="207"/>
      <c r="AJ4" s="207" t="s">
        <v>116</v>
      </c>
      <c r="AK4" s="207" t="s">
        <v>117</v>
      </c>
      <c r="AL4" s="207" t="s">
        <v>118</v>
      </c>
      <c r="AM4" s="207" t="s">
        <v>119</v>
      </c>
      <c r="AN4" s="207"/>
      <c r="AO4" s="207" t="s">
        <v>102</v>
      </c>
      <c r="AP4" s="207" t="s">
        <v>121</v>
      </c>
      <c r="AQ4" s="207" t="s">
        <v>184</v>
      </c>
      <c r="AR4" s="207" t="s">
        <v>119</v>
      </c>
      <c r="AS4" s="207" t="s">
        <v>259</v>
      </c>
      <c r="AT4" s="255"/>
      <c r="AU4" s="207"/>
      <c r="AV4" s="193" t="s">
        <v>384</v>
      </c>
      <c r="AW4" s="194">
        <v>2</v>
      </c>
      <c r="AX4" s="196">
        <f>BA1</f>
        <v>500</v>
      </c>
      <c r="AY4" s="194" t="s">
        <v>84</v>
      </c>
      <c r="AZ4" s="194">
        <v>1.7</v>
      </c>
      <c r="BA4" s="194">
        <f>IF((تسعير!$AT$46="سادة"),(BE4*BC4*AZ4*(Sheet2!$B$14+(Sheet2!B41*1000))/1000),(BE4*BC4*AZ4*(Sheet2!$B$14+Sheet2!$B$15)/1000))</f>
        <v>4624</v>
      </c>
      <c r="BC4" s="258">
        <f>CEILING(Table8091[[#This Row],[طول]]/100,0.5)</f>
        <v>5</v>
      </c>
      <c r="BD4" s="205">
        <f ref="BD4:BD5" t="shared" si="2">(BC4*100)/AX4</f>
        <v>1</v>
      </c>
      <c r="BE4" s="262">
        <f ref="BE4:BE5" t="shared" si="3">AW4/(ROUNDDOWN(BD4,0))</f>
        <v>2</v>
      </c>
      <c r="BG4" s="208"/>
      <c r="BH4" s="208"/>
      <c r="BI4" s="209"/>
      <c r="BJ4" s="681" t="s">
        <v>113</v>
      </c>
      <c r="BK4" s="681"/>
      <c r="BL4" s="681"/>
      <c r="BM4" s="681"/>
      <c r="BN4" s="681"/>
      <c r="BO4" s="681"/>
      <c r="BP4" s="236"/>
      <c r="BQ4" s="236"/>
      <c r="BR4" s="236"/>
      <c r="BS4" s="207"/>
      <c r="BT4" s="216" t="s">
        <v>114</v>
      </c>
      <c r="BU4" s="216">
        <v>400</v>
      </c>
      <c r="BV4" s="216">
        <v>400</v>
      </c>
      <c r="BW4" s="216">
        <v>100</v>
      </c>
      <c r="BX4" s="216">
        <v>3500</v>
      </c>
      <c r="BY4" s="216">
        <v>6000</v>
      </c>
      <c r="BZ4" s="216">
        <v>150</v>
      </c>
      <c r="CA4" s="207" t="s">
        <v>115</v>
      </c>
      <c r="CB4" s="207"/>
      <c r="CC4" s="207"/>
      <c r="CD4" s="207"/>
      <c r="CE4" s="207" t="s">
        <v>116</v>
      </c>
      <c r="CF4" s="207" t="s">
        <v>117</v>
      </c>
      <c r="CG4" s="207" t="s">
        <v>118</v>
      </c>
      <c r="CH4" s="207" t="s">
        <v>119</v>
      </c>
      <c r="CI4" s="207"/>
      <c r="CJ4" s="207" t="s">
        <v>102</v>
      </c>
      <c r="CK4" s="207" t="s">
        <v>121</v>
      </c>
      <c r="CL4" s="207" t="s">
        <v>184</v>
      </c>
      <c r="CM4" s="207" t="s">
        <v>119</v>
      </c>
      <c r="CN4" s="207" t="s">
        <v>259</v>
      </c>
      <c r="CO4" s="255"/>
    </row>
    <row r="5" ht="18.6" s="187" customFormat="1">
      <c r="A5" s="537" t="s">
        <v>385</v>
      </c>
      <c r="B5" s="538">
        <v>2</v>
      </c>
      <c r="C5" s="540">
        <f>D1</f>
        <v>510</v>
      </c>
      <c r="D5" s="538" t="s">
        <v>84</v>
      </c>
      <c r="E5" s="538">
        <v>3.8</v>
      </c>
      <c r="F5" s="538">
        <f>IF(($H$1="سادة"),(J5*H5*E5*($U$2+(Sheet2!B41*1000))/1000),(J5*H5*E5*($U$2+(Sheet2!B15))/1000))</f>
        <v>11369.6</v>
      </c>
      <c r="G5" s="543"/>
      <c r="H5" s="539">
        <f>CEILING(Table80102114[[#This Row],[طول]]/100,0.5)</f>
        <v>5.5</v>
      </c>
      <c r="I5" s="279">
        <f t="shared" si="0"/>
        <v>1.0784313725490196</v>
      </c>
      <c r="J5" s="542">
        <f t="shared" si="1"/>
        <v>2</v>
      </c>
      <c r="K5" s="1"/>
      <c r="L5" s="208" t="s">
        <v>19</v>
      </c>
      <c r="M5" s="208" t="s">
        <v>32</v>
      </c>
      <c r="N5" s="210" t="s">
        <v>120</v>
      </c>
      <c r="O5" s="208" t="s">
        <v>121</v>
      </c>
      <c r="P5" s="208" t="s">
        <v>102</v>
      </c>
      <c r="Q5" s="208" t="s">
        <v>122</v>
      </c>
      <c r="R5" s="237" t="s">
        <v>21</v>
      </c>
      <c r="S5" s="237" t="s">
        <v>12</v>
      </c>
      <c r="T5" s="237" t="s">
        <v>386</v>
      </c>
      <c r="U5" s="237" t="s">
        <v>124</v>
      </c>
      <c r="V5" s="238" t="s">
        <v>125</v>
      </c>
      <c r="W5" s="237" t="s">
        <v>126</v>
      </c>
      <c r="X5" s="207"/>
      <c r="Y5" s="216" t="s">
        <v>127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128</v>
      </c>
      <c r="AG5" s="207"/>
      <c r="AH5" s="207"/>
      <c r="AI5" s="207"/>
      <c r="AJ5" s="233" t="s">
        <v>129</v>
      </c>
      <c r="AK5" s="233">
        <v>0.4</v>
      </c>
      <c r="AL5" s="237" t="s">
        <v>130</v>
      </c>
      <c r="AM5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5" s="207"/>
      <c r="AO5" s="207" t="s">
        <v>261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385</v>
      </c>
      <c r="AW5" s="194">
        <v>2</v>
      </c>
      <c r="AX5" s="196">
        <f>AY1</f>
        <v>400</v>
      </c>
      <c r="AY5" s="194" t="s">
        <v>84</v>
      </c>
      <c r="AZ5" s="194">
        <v>1.7</v>
      </c>
      <c r="BA5" s="194">
        <f>IF((تسعير!$AT$46="سادة"),(BE5*BC5*AZ5*(Sheet2!$B$14+(Sheet2!B41*1000))/1000),(BE5*BC5*AZ5*(Sheet2!$B$14+Sheet2!$B$15)/1000))</f>
        <v>3699.2</v>
      </c>
      <c r="BC5" s="258">
        <f>CEILING(Table8091[[#This Row],[طول]]/100,0.5)</f>
        <v>4</v>
      </c>
      <c r="BD5" s="260">
        <f t="shared" si="2"/>
        <v>1</v>
      </c>
      <c r="BE5" s="263">
        <f t="shared" si="3"/>
        <v>2</v>
      </c>
      <c r="BG5" s="208" t="s">
        <v>19</v>
      </c>
      <c r="BH5" s="208" t="s">
        <v>32</v>
      </c>
      <c r="BI5" s="210" t="s">
        <v>120</v>
      </c>
      <c r="BJ5" s="208" t="s">
        <v>121</v>
      </c>
      <c r="BK5" s="208" t="s">
        <v>102</v>
      </c>
      <c r="BL5" s="208" t="s">
        <v>122</v>
      </c>
      <c r="BM5" s="237" t="s">
        <v>21</v>
      </c>
      <c r="BN5" s="237" t="s">
        <v>12</v>
      </c>
      <c r="BO5" s="237" t="s">
        <v>386</v>
      </c>
      <c r="BP5" s="237" t="s">
        <v>124</v>
      </c>
      <c r="BQ5" s="238" t="s">
        <v>125</v>
      </c>
      <c r="BR5" s="237" t="s">
        <v>126</v>
      </c>
      <c r="BS5" s="207"/>
      <c r="BT5" s="216" t="s">
        <v>127</v>
      </c>
      <c r="BU5" s="216">
        <v>400</v>
      </c>
      <c r="BV5" s="216">
        <v>400</v>
      </c>
      <c r="BW5" s="216">
        <v>100</v>
      </c>
      <c r="BX5" s="216">
        <v>3500</v>
      </c>
      <c r="BY5" s="216">
        <v>6000</v>
      </c>
      <c r="BZ5" s="216">
        <v>150</v>
      </c>
      <c r="CA5" s="207" t="s">
        <v>128</v>
      </c>
      <c r="CB5" s="207"/>
      <c r="CC5" s="207"/>
      <c r="CD5" s="207"/>
      <c r="CE5" s="233" t="s">
        <v>129</v>
      </c>
      <c r="CF5" s="233">
        <v>0.4</v>
      </c>
      <c r="CG5" s="237" t="s">
        <v>130</v>
      </c>
      <c r="CH5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5" s="207"/>
      <c r="CJ5" s="207" t="s">
        <v>261</v>
      </c>
      <c r="CK5" s="207">
        <v>0.03</v>
      </c>
      <c r="CL5" s="207">
        <v>0.03</v>
      </c>
      <c r="CM5" s="207"/>
      <c r="CN5" s="207"/>
      <c r="CO5" s="255"/>
    </row>
    <row r="6" ht="18" s="187" customFormat="1">
      <c r="A6" s="537" t="s">
        <v>387</v>
      </c>
      <c r="B6" s="538">
        <v>2</v>
      </c>
      <c r="C6" s="540">
        <f>F1</f>
        <v>400</v>
      </c>
      <c r="D6" s="538" t="s">
        <v>84</v>
      </c>
      <c r="E6" s="538">
        <v>1.7</v>
      </c>
      <c r="F6" s="538">
        <f>IF(($H$1="سادة"),(J6*H6*E6*($U$2+(Sheet2!B41*1000))/1000),(J6*H6*E6*($U$2+(Sheet2!B15))/1000))</f>
        <v>3699.2</v>
      </c>
      <c r="G6" s="543"/>
      <c r="H6" s="539">
        <f>CEILING(Table80102114[[#This Row],[طول]]/100,0.5)</f>
        <v>4</v>
      </c>
      <c r="I6" s="279">
        <f t="shared" si="0"/>
        <v>1</v>
      </c>
      <c r="J6" s="542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388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2565</v>
      </c>
      <c r="V6" s="240">
        <f>M6*U6</f>
        <v>2565</v>
      </c>
      <c r="W6" s="241">
        <f>(V6)/$R$68</f>
        <v>0.010890517395107121</v>
      </c>
      <c r="X6" s="216"/>
      <c r="Y6" s="216" t="s">
        <v>133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134</v>
      </c>
      <c r="AK6" s="216">
        <v>0.25</v>
      </c>
      <c r="AL6" s="216" t="s">
        <v>135</v>
      </c>
      <c r="AM6" s="216">
        <f>AM5*Table66374[[#This Row],[المعدل]]+4</f>
        <v>7.096</v>
      </c>
      <c r="AN6" s="216"/>
      <c r="AO6" s="216" t="s">
        <v>263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389</v>
      </c>
      <c r="AW6" s="194">
        <v>1</v>
      </c>
      <c r="AX6" s="194">
        <f>(15.6*(AW3-1)+4)</f>
        <v>347.2</v>
      </c>
      <c r="AY6" s="194" t="s">
        <v>84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390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2565</v>
      </c>
      <c r="BQ6" s="240">
        <f>BH6*BP6</f>
        <v>2565</v>
      </c>
      <c r="BR6" s="241">
        <f>(BQ6)/$R$68</f>
        <v>0.010890517395107121</v>
      </c>
      <c r="BS6" s="216"/>
      <c r="BT6" s="216" t="s">
        <v>133</v>
      </c>
      <c r="BU6" s="216">
        <v>320</v>
      </c>
      <c r="BV6" s="216">
        <v>400</v>
      </c>
      <c r="BW6" s="216">
        <v>100</v>
      </c>
      <c r="BX6" s="216">
        <v>3500</v>
      </c>
      <c r="BY6" s="216">
        <v>6000</v>
      </c>
      <c r="BZ6" s="216">
        <v>150</v>
      </c>
      <c r="CA6" s="216"/>
      <c r="CB6" s="216"/>
      <c r="CC6" s="216"/>
      <c r="CD6" s="216"/>
      <c r="CE6" s="216" t="s">
        <v>134</v>
      </c>
      <c r="CF6" s="216">
        <v>0.25</v>
      </c>
      <c r="CG6" s="216" t="s">
        <v>135</v>
      </c>
      <c r="CH6" s="216">
        <f>CH5*Table6637484[[#This Row],[المعدل]]+4</f>
        <v>4</v>
      </c>
      <c r="CI6" s="216"/>
      <c r="CJ6" s="216" t="s">
        <v>263</v>
      </c>
      <c r="CK6" s="216">
        <v>0.05</v>
      </c>
      <c r="CL6" s="216">
        <v>0.05</v>
      </c>
      <c r="CM6" s="216"/>
      <c r="CN6" s="216"/>
      <c r="CO6" s="256"/>
    </row>
    <row r="7" ht="18" s="187" customFormat="1">
      <c r="A7" s="537" t="s">
        <v>391</v>
      </c>
      <c r="B7" s="538">
        <v>2</v>
      </c>
      <c r="C7" s="540">
        <f>D1</f>
        <v>510</v>
      </c>
      <c r="D7" s="538" t="s">
        <v>84</v>
      </c>
      <c r="E7" s="538">
        <v>1.7</v>
      </c>
      <c r="F7" s="538">
        <f>IF(($H$1="سادة"),(J7*H7*E7*($U$2+(Sheet2!B41*1000))/1000),(J7*H7*E7*($U$2+(Sheet2!B15))/1000))</f>
        <v>5086.4</v>
      </c>
      <c r="G7" s="543"/>
      <c r="H7" s="539">
        <f>CEILING(Table80102114[[#This Row],[طول]]/100,0.5)</f>
        <v>5.5</v>
      </c>
      <c r="I7" s="279">
        <f t="shared" si="0"/>
        <v>1.0784313725490196</v>
      </c>
      <c r="J7" s="542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392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1665</v>
      </c>
      <c r="V7" s="240">
        <f>M7*U7</f>
        <v>6660</v>
      </c>
      <c r="W7" s="241">
        <f>(V7)/$R$68</f>
        <v>0.0282771328855413</v>
      </c>
      <c r="X7" s="216"/>
      <c r="Y7" s="216" t="s">
        <v>137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138</v>
      </c>
      <c r="AK7" s="216">
        <v>0.25</v>
      </c>
      <c r="AL7" s="211" t="s">
        <v>139</v>
      </c>
      <c r="AM7" s="216">
        <f>IF((تسعير!AT25="A"),IF(((Table15880[[#Totals],[المسطح]]+Table166273[[#Totals],[Column12]])&gt;0),(Table15880[[#Totals],[المسطح]]+Table166273[[#Totals],[Column12]]+1)*Table66374[[#This Row],[المعدل]]),0)</f>
        <v>7.74</v>
      </c>
      <c r="AN7" s="216"/>
      <c r="AO7" s="216" t="s">
        <v>265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393</v>
      </c>
      <c r="AW7" s="194"/>
      <c r="AX7" s="194">
        <f>AW3*2</f>
        <v>46</v>
      </c>
      <c r="AY7" s="194" t="s">
        <v>32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392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1665</v>
      </c>
      <c r="BQ7" s="240">
        <f>BH7*BP7</f>
        <v>6660</v>
      </c>
      <c r="BR7" s="241">
        <f>(BQ7)/$R$68</f>
        <v>0.0282771328855413</v>
      </c>
      <c r="BS7" s="216"/>
      <c r="BT7" s="216" t="s">
        <v>137</v>
      </c>
      <c r="BU7" s="216">
        <v>250</v>
      </c>
      <c r="BV7" s="216">
        <v>400</v>
      </c>
      <c r="BW7" s="216">
        <v>100</v>
      </c>
      <c r="BX7" s="216">
        <v>5000</v>
      </c>
      <c r="BY7" s="216">
        <v>8000</v>
      </c>
      <c r="BZ7" s="216">
        <v>400</v>
      </c>
      <c r="CA7" s="216"/>
      <c r="CB7" s="216"/>
      <c r="CC7" s="216"/>
      <c r="CD7" s="216"/>
      <c r="CE7" s="216" t="s">
        <v>138</v>
      </c>
      <c r="CF7" s="216">
        <v>0.25</v>
      </c>
      <c r="CG7" s="211" t="s">
        <v>139</v>
      </c>
      <c r="CH7" s="216">
        <f>IF((تسعير!AT45="A"),IF(((Table1588090[[#Totals],[المسطح]]+Table16627383[[#Totals],[Column12]])&gt;0),(Table1588090[[#Totals],[المسطح]]+Table16627383[[#Totals],[Column12]]+1)*Table6637484[[#This Row],[المعدل]]),0)</f>
        <v>0</v>
      </c>
      <c r="CI7" s="216"/>
      <c r="CJ7" s="216" t="s">
        <v>265</v>
      </c>
      <c r="CK7" s="216">
        <v>0.07</v>
      </c>
      <c r="CL7" s="216">
        <v>0.07</v>
      </c>
      <c r="CM7" s="216"/>
      <c r="CN7" s="216"/>
      <c r="CO7" s="256"/>
    </row>
    <row r="8" ht="18" s="187" customFormat="1">
      <c r="A8" s="537" t="s">
        <v>394</v>
      </c>
      <c r="B8" s="538">
        <v>2</v>
      </c>
      <c r="C8" s="538">
        <f>C3</f>
        <v>383.5</v>
      </c>
      <c r="D8" s="538" t="s">
        <v>84</v>
      </c>
      <c r="E8" s="538">
        <v>0.65</v>
      </c>
      <c r="F8" s="538">
        <f>IF(($H$1="سادة"),(J8*H8*E8*($U$2+(Sheet2!B41*1000))/1000),(J8*H8*E8*($U$2+(Sheet2!B15))/1000))</f>
        <v>1414.4</v>
      </c>
      <c r="G8" s="543"/>
      <c r="H8" s="539">
        <f>CEILING(Table80102114[[#This Row],[طول]]/100,0.5)</f>
        <v>4</v>
      </c>
      <c r="I8" s="279">
        <f t="shared" si="0"/>
        <v>1.0430247718383312</v>
      </c>
      <c r="J8" s="542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550" t="s">
        <v>395</v>
      </c>
      <c r="O8" s="214">
        <v>0.07</v>
      </c>
      <c r="P8" s="214">
        <v>0.07</v>
      </c>
      <c r="Q8" s="211">
        <f>(Table15880[[#This Row],[Column1]]+Table15880[[#This Row],[Column2]])*12*Table15880[[#This Row],[عدد]]</f>
        <v>6.7200000000000006</v>
      </c>
      <c r="R8" s="211"/>
      <c r="S8" s="211">
        <v>44</v>
      </c>
      <c r="T8" s="211">
        <f>Table15880[[#This Row],[المسطح]]*Table15880[[#This Row],[عدد]]</f>
        <v>26.880000000000003</v>
      </c>
      <c r="U8" s="239">
        <f>S8*$S$2/1000</f>
        <v>1980</v>
      </c>
      <c r="V8" s="240">
        <f>M8*U8</f>
        <v>7920</v>
      </c>
      <c r="W8" s="241">
        <f>(V8)/$R$68</f>
        <v>0.033626860728751817</v>
      </c>
      <c r="X8" s="216"/>
      <c r="Y8" s="216" t="s">
        <v>141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142</v>
      </c>
      <c r="AK8" s="216">
        <v>0.4</v>
      </c>
      <c r="AL8" s="211" t="s">
        <v>139</v>
      </c>
      <c r="AM8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8" s="216"/>
      <c r="AO8" s="216" t="s">
        <v>267</v>
      </c>
      <c r="AP8" s="216">
        <v>0.1</v>
      </c>
      <c r="AQ8" s="216">
        <v>0.1</v>
      </c>
      <c r="AR8" s="216"/>
      <c r="AS8" s="216"/>
      <c r="AT8" s="256"/>
      <c r="AU8" s="216"/>
      <c r="AV8" s="193" t="s">
        <v>396</v>
      </c>
      <c r="AW8" s="194"/>
      <c r="AX8" s="194">
        <f>AW3*2</f>
        <v>46</v>
      </c>
      <c r="AY8" s="194" t="s">
        <v>32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550" t="s">
        <v>395</v>
      </c>
      <c r="BJ8" s="214">
        <v>0.07</v>
      </c>
      <c r="BK8" s="214">
        <v>0.07</v>
      </c>
      <c r="BL8" s="211">
        <f>(Table1588090[[#This Row],[Column1]]+Table1588090[[#This Row],[Column2]])*12*Table1588090[[#This Row],[عدد]]</f>
        <v>6.7200000000000006</v>
      </c>
      <c r="BM8" s="211"/>
      <c r="BN8" s="211">
        <v>44</v>
      </c>
      <c r="BO8" s="211">
        <f>Table1588090[[#This Row],[المسطح]]*Table1588090[[#This Row],[عدد]]</f>
        <v>26.880000000000003</v>
      </c>
      <c r="BP8" s="239">
        <f>BN8*$S$2/1000</f>
        <v>1980</v>
      </c>
      <c r="BQ8" s="240">
        <f>BH8*BP8</f>
        <v>7920</v>
      </c>
      <c r="BR8" s="241">
        <f>(BQ8)/$R$68</f>
        <v>0.033626860728751817</v>
      </c>
      <c r="BS8" s="216"/>
      <c r="BT8" s="216" t="s">
        <v>141</v>
      </c>
      <c r="BU8" s="216">
        <v>75</v>
      </c>
      <c r="BV8" s="216">
        <v>200</v>
      </c>
      <c r="BW8" s="216">
        <v>100</v>
      </c>
      <c r="BX8" s="216">
        <v>3000</v>
      </c>
      <c r="BY8" s="216">
        <v>5000</v>
      </c>
      <c r="BZ8" s="216">
        <v>250</v>
      </c>
      <c r="CA8" s="216"/>
      <c r="CB8" s="216"/>
      <c r="CC8" s="216"/>
      <c r="CD8" s="216"/>
      <c r="CE8" s="216" t="s">
        <v>142</v>
      </c>
      <c r="CF8" s="216">
        <v>0.4</v>
      </c>
      <c r="CG8" s="211" t="s">
        <v>139</v>
      </c>
      <c r="CH8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8" s="216"/>
      <c r="CJ8" s="216" t="s">
        <v>267</v>
      </c>
      <c r="CK8" s="216">
        <v>0.1</v>
      </c>
      <c r="CL8" s="216">
        <v>0.1</v>
      </c>
      <c r="CM8" s="216"/>
      <c r="CN8" s="216"/>
      <c r="CO8" s="256"/>
    </row>
    <row r="9" ht="18" s="187" customFormat="1">
      <c r="A9" s="537" t="s">
        <v>389</v>
      </c>
      <c r="B9" s="538">
        <v>2</v>
      </c>
      <c r="C9" s="538">
        <f>(15.6*(B3-1)+4)</f>
        <v>487.59999999999997</v>
      </c>
      <c r="D9" s="538" t="s">
        <v>84</v>
      </c>
      <c r="E9" s="538">
        <v>1000</v>
      </c>
      <c r="F9" s="538">
        <f>E9*B9</f>
        <v>2000</v>
      </c>
      <c r="G9" s="543"/>
      <c r="H9" s="544"/>
      <c r="I9" s="528"/>
      <c r="J9" s="528"/>
      <c r="L9" s="211">
        <v>5</v>
      </c>
      <c r="M9" s="212">
        <v>0</v>
      </c>
      <c r="N9" s="213" t="s">
        <v>390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3780</v>
      </c>
      <c r="V9" s="240">
        <f>M9*U9</f>
        <v>0</v>
      </c>
      <c r="W9" s="241">
        <f>(V9)/$R$68</f>
        <v>0</v>
      </c>
      <c r="X9" s="216"/>
      <c r="Y9" s="216" t="s">
        <v>143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144</v>
      </c>
      <c r="AK9" s="216"/>
      <c r="AL9" s="216" t="s">
        <v>145</v>
      </c>
      <c r="AM9" s="216"/>
      <c r="AN9" s="216"/>
      <c r="AO9" s="216" t="s">
        <v>269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397</v>
      </c>
      <c r="AW9" s="194">
        <v>1</v>
      </c>
      <c r="AX9" s="196">
        <v>100</v>
      </c>
      <c r="AY9" s="194" t="s">
        <v>84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390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3780</v>
      </c>
      <c r="BQ9" s="240">
        <f>BH9*BP9</f>
        <v>0</v>
      </c>
      <c r="BR9" s="241">
        <f>(BQ9)/$R$68</f>
        <v>0</v>
      </c>
      <c r="BS9" s="216"/>
      <c r="BT9" s="216" t="s">
        <v>143</v>
      </c>
      <c r="BU9" s="216">
        <v>75</v>
      </c>
      <c r="BV9" s="216">
        <v>200</v>
      </c>
      <c r="BW9" s="216">
        <v>100</v>
      </c>
      <c r="BX9" s="216">
        <v>3000</v>
      </c>
      <c r="BY9" s="216">
        <v>6000</v>
      </c>
      <c r="BZ9" s="216">
        <v>250</v>
      </c>
      <c r="CA9" s="216"/>
      <c r="CB9" s="216"/>
      <c r="CC9" s="216"/>
      <c r="CD9" s="216"/>
      <c r="CE9" s="216" t="s">
        <v>144</v>
      </c>
      <c r="CF9" s="216"/>
      <c r="CG9" s="216" t="s">
        <v>145</v>
      </c>
      <c r="CH9" s="216"/>
      <c r="CI9" s="216"/>
      <c r="CJ9" s="216" t="s">
        <v>269</v>
      </c>
      <c r="CK9" s="216">
        <v>0.15</v>
      </c>
      <c r="CL9" s="216">
        <v>0.15</v>
      </c>
      <c r="CM9" s="216"/>
      <c r="CN9" s="216"/>
      <c r="CO9" s="256"/>
    </row>
    <row r="10" ht="18" s="187" customFormat="1">
      <c r="A10" s="537" t="s">
        <v>393</v>
      </c>
      <c r="B10" s="538"/>
      <c r="C10" s="538">
        <f>B3*2</f>
        <v>64</v>
      </c>
      <c r="D10" s="538" t="s">
        <v>32</v>
      </c>
      <c r="E10" s="194">
        <v>20</v>
      </c>
      <c r="F10" s="538">
        <f>E10*C10</f>
        <v>1280</v>
      </c>
      <c r="G10" s="543"/>
      <c r="H10" s="544"/>
      <c r="I10" s="528"/>
      <c r="J10" s="528"/>
      <c r="L10" s="211">
        <v>5</v>
      </c>
      <c r="M10" s="212">
        <f>IF(OR((N3="B11"),(N3="B12"),(N3="B21"),(N3="B22"),(N3="B31"),(N3="B32")),3,0)</f>
        <v>0</v>
      </c>
      <c r="N10" s="215" t="s">
        <v>398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132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147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201</v>
      </c>
      <c r="AK10" s="216">
        <v>0.6</v>
      </c>
      <c r="AL10" s="216"/>
      <c r="AM10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0" s="216"/>
      <c r="AO10" s="216" t="s">
        <v>271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399</v>
      </c>
      <c r="AW10" s="194"/>
      <c r="AX10" s="194">
        <v>100</v>
      </c>
      <c r="AY10" s="194" t="s">
        <v>32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398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132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147</v>
      </c>
      <c r="BU10" s="216">
        <v>75</v>
      </c>
      <c r="BV10" s="216">
        <v>200</v>
      </c>
      <c r="BW10" s="216">
        <v>100</v>
      </c>
      <c r="BX10" s="216">
        <v>3000</v>
      </c>
      <c r="BY10" s="216">
        <v>6000</v>
      </c>
      <c r="BZ10" s="216">
        <v>250</v>
      </c>
      <c r="CA10" s="216"/>
      <c r="CB10" s="216"/>
      <c r="CC10" s="216"/>
      <c r="CD10" s="216"/>
      <c r="CE10" s="213" t="s">
        <v>201</v>
      </c>
      <c r="CF10" s="216">
        <v>0.6</v>
      </c>
      <c r="CG10" s="216"/>
      <c r="CH10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0" s="216"/>
      <c r="CJ10" s="216" t="s">
        <v>271</v>
      </c>
      <c r="CK10" s="216">
        <v>0.05</v>
      </c>
      <c r="CL10" s="216">
        <v>0.1</v>
      </c>
      <c r="CM10" s="216"/>
      <c r="CN10" s="216"/>
      <c r="CO10" s="256"/>
    </row>
    <row r="11" ht="18" s="187" customFormat="1">
      <c r="A11" s="537" t="s">
        <v>396</v>
      </c>
      <c r="B11" s="538"/>
      <c r="C11" s="538">
        <f>B3*2</f>
        <v>64</v>
      </c>
      <c r="D11" s="538" t="s">
        <v>32</v>
      </c>
      <c r="E11" s="194">
        <v>18</v>
      </c>
      <c r="F11" s="538">
        <f>E11*C11</f>
        <v>1152</v>
      </c>
      <c r="G11" s="543"/>
      <c r="H11" s="544"/>
      <c r="I11" s="528"/>
      <c r="J11" s="528"/>
      <c r="L11" s="211"/>
      <c r="M11" s="212"/>
      <c r="N11" s="213" t="s">
        <v>92</v>
      </c>
      <c r="O11" s="214"/>
      <c r="P11" s="214"/>
      <c r="Q11" s="216">
        <f>SUBTOTAL(109,Table15880[المسطح])</f>
        <v>19.92</v>
      </c>
      <c r="R11" s="211"/>
      <c r="S11" s="211">
        <f>(S6*M6)+(S7*M7)+(M8*S8)+(S9*M9)</f>
        <v>381</v>
      </c>
      <c r="T11" s="211">
        <f>SUBTOTAL(109,Table15880[اجمالي المسطح])</f>
        <v>68.88000000000001</v>
      </c>
      <c r="U11" s="242"/>
      <c r="V11" s="240">
        <f>SUBTOTAL(109,Table15880[اجمالي])</f>
        <v>17145</v>
      </c>
      <c r="W11" s="244">
        <f>Table15880[[#Totals],[اجمالي]]/$R$68</f>
        <v>0.072794511009400237</v>
      </c>
      <c r="X11" s="216"/>
      <c r="Y11" s="216" t="s">
        <v>150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203</v>
      </c>
      <c r="AK11" s="216">
        <v>0.6</v>
      </c>
      <c r="AL11" s="216"/>
      <c r="AM11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1" s="216"/>
      <c r="AO11" s="216" t="s">
        <v>273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400</v>
      </c>
      <c r="AW11" s="194"/>
      <c r="AX11" s="194">
        <f>AW3*2</f>
        <v>46</v>
      </c>
      <c r="AY11" s="194" t="s">
        <v>32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92</v>
      </c>
      <c r="BJ11" s="214"/>
      <c r="BK11" s="214"/>
      <c r="BL11" s="216">
        <f>SUBTOTAL(109,Table1588090[المسطح])</f>
        <v>19.92</v>
      </c>
      <c r="BM11" s="211"/>
      <c r="BN11" s="211">
        <f>(BN6*BH6)+(BN7*BG7)+(BN8*BG8)+(BN9*BG9)</f>
        <v>599</v>
      </c>
      <c r="BO11" s="211">
        <f>SUBTOTAL(109,Table1588090[اجمالي المسطح])</f>
        <v>68.88000000000001</v>
      </c>
      <c r="BP11" s="242"/>
      <c r="BQ11" s="240">
        <f>SUBTOTAL(109,Table1588090[اجمالي])</f>
        <v>17145</v>
      </c>
      <c r="BR11" s="244">
        <f>Table1588090[[#Totals],[اجمالي]]/$R$68</f>
        <v>0.072794511009400237</v>
      </c>
      <c r="BS11" s="216"/>
      <c r="BT11" s="216" t="s">
        <v>150</v>
      </c>
      <c r="BU11" s="216">
        <v>150</v>
      </c>
      <c r="BV11" s="216">
        <v>200</v>
      </c>
      <c r="BW11" s="216">
        <v>100</v>
      </c>
      <c r="BX11" s="216">
        <v>3000</v>
      </c>
      <c r="BY11" s="216">
        <v>8000</v>
      </c>
      <c r="BZ11" s="216">
        <v>250</v>
      </c>
      <c r="CA11" s="216"/>
      <c r="CB11" s="216"/>
      <c r="CC11" s="216"/>
      <c r="CD11" s="216"/>
      <c r="CE11" s="218" t="s">
        <v>203</v>
      </c>
      <c r="CF11" s="216">
        <v>0.6</v>
      </c>
      <c r="CG11" s="216"/>
      <c r="CH11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1" s="216"/>
      <c r="CJ11" s="216" t="s">
        <v>273</v>
      </c>
      <c r="CK11" s="216">
        <v>0.05</v>
      </c>
      <c r="CL11" s="216">
        <v>0.15</v>
      </c>
      <c r="CM11" s="216"/>
      <c r="CN11" s="216"/>
      <c r="CO11" s="256"/>
    </row>
    <row r="12" ht="18" s="187" customFormat="1">
      <c r="A12" s="537" t="s">
        <v>397</v>
      </c>
      <c r="B12" s="538">
        <v>1</v>
      </c>
      <c r="C12" s="540">
        <v>100</v>
      </c>
      <c r="D12" s="538" t="s">
        <v>84</v>
      </c>
      <c r="E12" s="194">
        <v>250</v>
      </c>
      <c r="F12" s="538">
        <f>Table80102114[[#This Row],[wt/m]]*Table80102114[[#This Row],[عدد]]</f>
        <v>250</v>
      </c>
      <c r="G12" s="543"/>
      <c r="H12" s="544"/>
      <c r="I12" s="528"/>
      <c r="J12" s="545"/>
      <c r="L12" s="216"/>
      <c r="M12" s="216"/>
      <c r="N12" s="217"/>
      <c r="O12" s="681" t="s">
        <v>160</v>
      </c>
      <c r="P12" s="681"/>
      <c r="Q12" s="681"/>
      <c r="R12" s="681"/>
      <c r="S12" s="681"/>
      <c r="T12" s="681"/>
      <c r="U12" s="216"/>
      <c r="V12" s="216"/>
      <c r="W12" s="216"/>
      <c r="X12" s="216"/>
      <c r="Y12" s="216" t="s">
        <v>154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155</v>
      </c>
      <c r="AK12" s="216">
        <v>0.1</v>
      </c>
      <c r="AL12" s="216"/>
      <c r="AM12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2" s="216"/>
      <c r="AO12" s="216" t="s">
        <v>275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401</v>
      </c>
      <c r="AW12" s="194"/>
      <c r="AX12" s="194">
        <f>AW3*2</f>
        <v>46</v>
      </c>
      <c r="AY12" s="194" t="s">
        <v>32</v>
      </c>
      <c r="AZ12" s="194">
        <v>100</v>
      </c>
      <c r="BA12" s="194">
        <f>AX12*AZ12</f>
        <v>4600</v>
      </c>
      <c r="BC12" s="195"/>
      <c r="BD12" s="1"/>
      <c r="BE12" s="264"/>
      <c r="BG12" s="216"/>
      <c r="BH12" s="216"/>
      <c r="BI12" s="217"/>
      <c r="BJ12" s="681" t="s">
        <v>160</v>
      </c>
      <c r="BK12" s="681"/>
      <c r="BL12" s="681"/>
      <c r="BM12" s="681"/>
      <c r="BN12" s="681"/>
      <c r="BO12" s="681"/>
      <c r="BP12" s="216"/>
      <c r="BQ12" s="216"/>
      <c r="BR12" s="216"/>
      <c r="BS12" s="216"/>
      <c r="BT12" s="216" t="s">
        <v>154</v>
      </c>
      <c r="BU12" s="216">
        <v>150</v>
      </c>
      <c r="BV12" s="216">
        <v>200</v>
      </c>
      <c r="BW12" s="216">
        <v>100</v>
      </c>
      <c r="BX12" s="216">
        <v>4000</v>
      </c>
      <c r="BY12" s="216">
        <v>8000</v>
      </c>
      <c r="BZ12" s="216">
        <v>250</v>
      </c>
      <c r="CA12" s="216"/>
      <c r="CB12" s="216"/>
      <c r="CC12" s="216"/>
      <c r="CD12" s="216"/>
      <c r="CE12" s="218" t="s">
        <v>155</v>
      </c>
      <c r="CF12" s="216">
        <v>0.1</v>
      </c>
      <c r="CG12" s="216"/>
      <c r="CH12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2" s="216"/>
      <c r="CJ12" s="216" t="s">
        <v>275</v>
      </c>
      <c r="CK12" s="216">
        <v>0.1</v>
      </c>
      <c r="CL12" s="216">
        <v>0.15</v>
      </c>
      <c r="CM12" s="216"/>
      <c r="CN12" s="216"/>
      <c r="CO12" s="256"/>
    </row>
    <row r="13" ht="18" s="187" customFormat="1">
      <c r="A13" s="537" t="s">
        <v>402</v>
      </c>
      <c r="B13" s="538"/>
      <c r="C13" s="538">
        <v>4</v>
      </c>
      <c r="D13" s="538" t="s">
        <v>403</v>
      </c>
      <c r="E13" s="194">
        <v>250</v>
      </c>
      <c r="F13" s="538">
        <f>C13*E13</f>
        <v>1000</v>
      </c>
      <c r="G13" s="543"/>
      <c r="H13" s="528"/>
      <c r="I13" s="543"/>
      <c r="J13" s="543"/>
      <c r="L13" s="211" t="s">
        <v>19</v>
      </c>
      <c r="M13" s="211" t="s">
        <v>32</v>
      </c>
      <c r="N13" s="218" t="s">
        <v>120</v>
      </c>
      <c r="O13" s="211" t="s">
        <v>121</v>
      </c>
      <c r="P13" s="211" t="s">
        <v>102</v>
      </c>
      <c r="Q13" s="211" t="s">
        <v>149</v>
      </c>
      <c r="R13" s="211" t="s">
        <v>21</v>
      </c>
      <c r="S13" s="211" t="s">
        <v>12</v>
      </c>
      <c r="T13" s="211" t="s">
        <v>162</v>
      </c>
      <c r="U13" s="211" t="s">
        <v>124</v>
      </c>
      <c r="V13" s="245" t="s">
        <v>125</v>
      </c>
      <c r="W13" s="211" t="s">
        <v>126</v>
      </c>
      <c r="X13" s="216"/>
      <c r="Y13" s="216" t="s">
        <v>157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158</v>
      </c>
      <c r="AK13" s="216">
        <v>0.1</v>
      </c>
      <c r="AL13" s="216"/>
      <c r="AM13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277</v>
      </c>
      <c r="AW13" s="194" t="s">
        <v>32</v>
      </c>
      <c r="AX13" s="194">
        <v>1</v>
      </c>
      <c r="AY13" s="194" t="s">
        <v>32</v>
      </c>
      <c r="AZ13" s="194">
        <f>E23</f>
        <v>9000</v>
      </c>
      <c r="BA13" s="194">
        <f>AZ13*AX13</f>
        <v>9000</v>
      </c>
      <c r="BC13" s="1"/>
      <c r="BG13" s="211" t="s">
        <v>19</v>
      </c>
      <c r="BH13" s="211" t="s">
        <v>32</v>
      </c>
      <c r="BI13" s="218" t="s">
        <v>120</v>
      </c>
      <c r="BJ13" s="211" t="s">
        <v>121</v>
      </c>
      <c r="BK13" s="211" t="s">
        <v>102</v>
      </c>
      <c r="BL13" s="211" t="s">
        <v>149</v>
      </c>
      <c r="BM13" s="211" t="s">
        <v>21</v>
      </c>
      <c r="BN13" s="211" t="s">
        <v>12</v>
      </c>
      <c r="BO13" s="211" t="s">
        <v>162</v>
      </c>
      <c r="BP13" s="211" t="s">
        <v>124</v>
      </c>
      <c r="BQ13" s="245" t="s">
        <v>125</v>
      </c>
      <c r="BR13" s="211" t="s">
        <v>126</v>
      </c>
      <c r="BS13" s="216"/>
      <c r="BT13" s="216" t="s">
        <v>157</v>
      </c>
      <c r="BU13" s="216">
        <v>150</v>
      </c>
      <c r="BV13" s="216">
        <v>200</v>
      </c>
      <c r="BW13" s="216">
        <v>100</v>
      </c>
      <c r="BX13" s="216">
        <v>4000</v>
      </c>
      <c r="BY13" s="216">
        <v>8000</v>
      </c>
      <c r="BZ13" s="216">
        <v>250</v>
      </c>
      <c r="CA13" s="216"/>
      <c r="CB13" s="216"/>
      <c r="CC13" s="216"/>
      <c r="CD13" s="216"/>
      <c r="CE13" s="218" t="s">
        <v>158</v>
      </c>
      <c r="CF13" s="216">
        <v>0.1</v>
      </c>
      <c r="CG13" s="216"/>
      <c r="CH13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3" s="216"/>
      <c r="CJ13" s="216"/>
      <c r="CK13" s="216"/>
      <c r="CL13" s="216"/>
      <c r="CM13" s="216"/>
      <c r="CN13" s="216"/>
      <c r="CO13" s="256"/>
    </row>
    <row r="14" ht="18" s="187" customFormat="1">
      <c r="A14" s="537" t="s">
        <v>404</v>
      </c>
      <c r="B14" s="538"/>
      <c r="C14" s="538">
        <v>8</v>
      </c>
      <c r="D14" s="538" t="s">
        <v>32</v>
      </c>
      <c r="E14" s="194">
        <v>300</v>
      </c>
      <c r="F14" s="538">
        <f>C14*E14</f>
        <v>2400</v>
      </c>
      <c r="G14" s="543"/>
      <c r="H14" s="528"/>
      <c r="I14" s="543"/>
      <c r="J14" s="543"/>
      <c r="L14" s="211">
        <v>1</v>
      </c>
      <c r="M14" s="212">
        <v>2</v>
      </c>
      <c r="N14" s="213" t="s">
        <v>164</v>
      </c>
      <c r="O14" s="214"/>
      <c r="P14" s="214"/>
      <c r="Q14" s="214"/>
      <c r="R14" s="211" t="s">
        <v>165</v>
      </c>
      <c r="S14" s="211"/>
      <c r="T14" s="242"/>
      <c r="U14" s="246">
        <f>Sheet2!B28</f>
        <v>400</v>
      </c>
      <c r="V14" s="240">
        <f ref="V14:V18" t="shared" si="4">M14*U14</f>
        <v>800</v>
      </c>
      <c r="W14" s="241">
        <f>(V14)/$R$68</f>
        <v>0.0033966525988638196</v>
      </c>
      <c r="X14" s="216"/>
      <c r="Y14" s="216" t="s">
        <v>159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92</v>
      </c>
      <c r="AW14" s="199">
        <f>(Table8091[[#Totals],[price]]*1.1)/(BA1*AY1/10000)</f>
        <v>5016.2585</v>
      </c>
      <c r="AX14" s="194"/>
      <c r="AY14" s="194"/>
      <c r="AZ14" s="194"/>
      <c r="BA14" s="194">
        <f>SUBTOTAL(109,Table8091[price])</f>
        <v>91204.7</v>
      </c>
      <c r="BC14" s="1"/>
      <c r="BG14" s="211">
        <v>1</v>
      </c>
      <c r="BH14" s="212">
        <v>2</v>
      </c>
      <c r="BI14" s="213" t="s">
        <v>164</v>
      </c>
      <c r="BJ14" s="214"/>
      <c r="BK14" s="214"/>
      <c r="BL14" s="214"/>
      <c r="BM14" s="211" t="s">
        <v>165</v>
      </c>
      <c r="BN14" s="211"/>
      <c r="BO14" s="242"/>
      <c r="BP14" s="246">
        <f>Sheet2!B28</f>
        <v>400</v>
      </c>
      <c r="BQ14" s="240">
        <f ref="BQ14:BQ18" t="shared" si="5">BH14*BP14</f>
        <v>800</v>
      </c>
      <c r="BR14" s="241">
        <f>(BQ14)/$R$68</f>
        <v>0.0033966525988638196</v>
      </c>
      <c r="BS14" s="216"/>
      <c r="BT14" s="216" t="s">
        <v>159</v>
      </c>
      <c r="BU14" s="216">
        <v>200</v>
      </c>
      <c r="BV14" s="216">
        <v>200</v>
      </c>
      <c r="BW14" s="216">
        <v>100</v>
      </c>
      <c r="BX14" s="216">
        <v>4000</v>
      </c>
      <c r="BY14" s="216">
        <v>8000</v>
      </c>
      <c r="BZ14" s="216">
        <v>250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" s="187" customFormat="1">
      <c r="A15" s="537" t="s">
        <v>400</v>
      </c>
      <c r="B15" s="538"/>
      <c r="C15" s="538">
        <f>B3*2</f>
        <v>64</v>
      </c>
      <c r="D15" s="538" t="s">
        <v>32</v>
      </c>
      <c r="E15" s="194">
        <v>120</v>
      </c>
      <c r="F15" s="538">
        <f>C15*E15</f>
        <v>7680</v>
      </c>
      <c r="G15" s="543"/>
      <c r="H15" s="528"/>
      <c r="I15" s="528"/>
      <c r="J15" s="528"/>
      <c r="L15" s="211">
        <v>2</v>
      </c>
      <c r="M15" s="212">
        <v>2</v>
      </c>
      <c r="N15" s="213" t="s">
        <v>170</v>
      </c>
      <c r="O15" s="214"/>
      <c r="P15" s="214"/>
      <c r="Q15" s="214"/>
      <c r="R15" s="211" t="s">
        <v>32</v>
      </c>
      <c r="S15" s="211"/>
      <c r="T15" s="242"/>
      <c r="U15" s="246">
        <v>110</v>
      </c>
      <c r="V15" s="240">
        <f t="shared" si="4"/>
        <v>220</v>
      </c>
      <c r="W15" s="241">
        <f>(V15)/$R$68</f>
        <v>0.00093407946468755047</v>
      </c>
      <c r="X15" s="216"/>
      <c r="Y15" s="216" t="s">
        <v>161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170</v>
      </c>
      <c r="BJ15" s="214"/>
      <c r="BK15" s="214"/>
      <c r="BL15" s="214"/>
      <c r="BM15" s="211" t="s">
        <v>32</v>
      </c>
      <c r="BN15" s="211"/>
      <c r="BO15" s="242"/>
      <c r="BP15" s="564">
        <v>110</v>
      </c>
      <c r="BQ15" s="240">
        <f t="shared" si="5"/>
        <v>220</v>
      </c>
      <c r="BR15" s="241">
        <f>(BQ15)/$R$68</f>
        <v>0.00093407946468755047</v>
      </c>
      <c r="BS15" s="216"/>
      <c r="BT15" s="216" t="s">
        <v>161</v>
      </c>
      <c r="BU15" s="216">
        <v>250</v>
      </c>
      <c r="BV15" s="216">
        <v>200</v>
      </c>
      <c r="BW15" s="216">
        <v>100</v>
      </c>
      <c r="BX15" s="216">
        <v>3000</v>
      </c>
      <c r="BY15" s="216">
        <v>10000</v>
      </c>
      <c r="BZ15" s="216">
        <v>300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" s="187" customFormat="1">
      <c r="A16" s="537" t="s">
        <v>401</v>
      </c>
      <c r="B16" s="538"/>
      <c r="C16" s="538">
        <f>B3*2</f>
        <v>64</v>
      </c>
      <c r="D16" s="538" t="s">
        <v>32</v>
      </c>
      <c r="E16" s="194">
        <v>120</v>
      </c>
      <c r="F16" s="538">
        <f>C16*E16</f>
        <v>7680</v>
      </c>
      <c r="G16" s="543"/>
      <c r="H16" s="528"/>
      <c r="I16" s="528"/>
      <c r="J16" s="528"/>
      <c r="L16" s="211">
        <v>3</v>
      </c>
      <c r="M16" s="219">
        <v>1</v>
      </c>
      <c r="N16" s="213" t="s">
        <v>172</v>
      </c>
      <c r="O16" s="214"/>
      <c r="P16" s="214"/>
      <c r="Q16" s="214"/>
      <c r="R16" s="211" t="s">
        <v>32</v>
      </c>
      <c r="S16" s="211"/>
      <c r="T16" s="242"/>
      <c r="U16" s="246">
        <v>130</v>
      </c>
      <c r="V16" s="240">
        <f t="shared" si="4"/>
        <v>130</v>
      </c>
      <c r="W16" s="241">
        <f>(V16)/$R$68</f>
        <v>0.00055195604731537074</v>
      </c>
      <c r="X16" s="216"/>
      <c r="Y16" s="216" t="s">
        <v>163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172</v>
      </c>
      <c r="BJ16" s="214"/>
      <c r="BK16" s="214"/>
      <c r="BL16" s="214"/>
      <c r="BM16" s="211" t="s">
        <v>32</v>
      </c>
      <c r="BN16" s="211"/>
      <c r="BO16" s="242"/>
      <c r="BP16" s="564">
        <v>130</v>
      </c>
      <c r="BQ16" s="240">
        <f t="shared" si="5"/>
        <v>130</v>
      </c>
      <c r="BR16" s="241">
        <f>(BQ16)/$R$68</f>
        <v>0.00055195604731537074</v>
      </c>
      <c r="BS16" s="216"/>
      <c r="BT16" s="216" t="s">
        <v>163</v>
      </c>
      <c r="BU16" s="216">
        <v>250</v>
      </c>
      <c r="BV16" s="216">
        <v>200</v>
      </c>
      <c r="BW16" s="216">
        <v>100</v>
      </c>
      <c r="BX16" s="216">
        <v>3000</v>
      </c>
      <c r="BY16" s="216">
        <v>10000</v>
      </c>
      <c r="BZ16" s="216">
        <v>300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" s="187" customFormat="1">
      <c r="A17" s="537" t="s">
        <v>405</v>
      </c>
      <c r="B17" s="538">
        <v>2</v>
      </c>
      <c r="C17" s="538"/>
      <c r="D17" s="538" t="s">
        <v>84</v>
      </c>
      <c r="E17" s="194">
        <v>1000</v>
      </c>
      <c r="F17" s="538">
        <f>B17*E17</f>
        <v>2000</v>
      </c>
      <c r="G17" s="543"/>
      <c r="H17" s="528"/>
      <c r="I17" s="528"/>
      <c r="J17" s="528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174</v>
      </c>
      <c r="O17" s="214"/>
      <c r="P17" s="214"/>
      <c r="Q17" s="214"/>
      <c r="R17" s="247" t="s">
        <v>175</v>
      </c>
      <c r="S17" s="247"/>
      <c r="T17" s="242"/>
      <c r="U17" s="246">
        <v>50</v>
      </c>
      <c r="V17" s="240">
        <f t="shared" si="4"/>
        <v>800</v>
      </c>
      <c r="W17" s="241">
        <f>(V17)/$R$68</f>
        <v>0.0033966525988638196</v>
      </c>
      <c r="X17" s="216"/>
      <c r="Y17" s="216" t="s">
        <v>166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174</v>
      </c>
      <c r="BJ17" s="214"/>
      <c r="BK17" s="214"/>
      <c r="BL17" s="214"/>
      <c r="BM17" s="247" t="s">
        <v>175</v>
      </c>
      <c r="BN17" s="247"/>
      <c r="BO17" s="242"/>
      <c r="BP17" s="564">
        <v>50</v>
      </c>
      <c r="BQ17" s="240">
        <f t="shared" si="5"/>
        <v>800</v>
      </c>
      <c r="BR17" s="241">
        <f>(BQ17)/$R$68</f>
        <v>0.0033966525988638196</v>
      </c>
      <c r="BS17" s="216"/>
      <c r="BT17" s="216" t="s">
        <v>166</v>
      </c>
      <c r="BU17" s="216">
        <v>250</v>
      </c>
      <c r="BV17" s="216">
        <v>200</v>
      </c>
      <c r="BW17" s="216">
        <v>100</v>
      </c>
      <c r="BX17" s="216">
        <v>3000</v>
      </c>
      <c r="BY17" s="216">
        <v>10000</v>
      </c>
      <c r="BZ17" s="216">
        <v>300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" s="187" customFormat="1">
      <c r="A18" s="193" t="s">
        <v>406</v>
      </c>
      <c r="B18" s="194"/>
      <c r="C18" s="194">
        <f>C19</f>
        <v>123</v>
      </c>
      <c r="D18" s="194"/>
      <c r="E18" s="194">
        <v>20</v>
      </c>
      <c r="F18" s="538">
        <f>Table80102114[[#This Row],[طول]]*Table80102114[[#This Row],[wt/m]]</f>
        <v>2460</v>
      </c>
      <c r="G18" s="543"/>
      <c r="H18" s="528"/>
      <c r="I18" s="528"/>
      <c r="J18" s="528"/>
      <c r="L18" s="211">
        <v>7</v>
      </c>
      <c r="M18" s="212">
        <f>IF(OR((N3="B11"),(N3="B12"),(N3="B21"),(N3="B22"),(N3="B31"),(N3="B32")),2,0)</f>
        <v>0</v>
      </c>
      <c r="N18" s="213" t="s">
        <v>181</v>
      </c>
      <c r="O18" s="214"/>
      <c r="P18" s="214"/>
      <c r="Q18" s="214"/>
      <c r="R18" s="211" t="s">
        <v>175</v>
      </c>
      <c r="S18" s="211"/>
      <c r="T18" s="242"/>
      <c r="U18" s="243">
        <f>Sheet2!B30</f>
        <v>1200</v>
      </c>
      <c r="V18" s="240">
        <f t="shared" si="4"/>
        <v>0</v>
      </c>
      <c r="W18" s="241">
        <f>(V18)/$R$68</f>
        <v>0</v>
      </c>
      <c r="X18" s="216"/>
      <c r="Y18" s="216" t="s">
        <v>169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181</v>
      </c>
      <c r="BJ18" s="214"/>
      <c r="BK18" s="214"/>
      <c r="BL18" s="214"/>
      <c r="BM18" s="211" t="s">
        <v>175</v>
      </c>
      <c r="BN18" s="211"/>
      <c r="BO18" s="242"/>
      <c r="BP18" s="243">
        <f>Sheet2!AW30</f>
        <v>0</v>
      </c>
      <c r="BQ18" s="240">
        <f t="shared" si="5"/>
        <v>0</v>
      </c>
      <c r="BR18" s="241">
        <f>(BQ18)/$R$68</f>
        <v>0</v>
      </c>
      <c r="BS18" s="216"/>
      <c r="BT18" s="216" t="s">
        <v>169</v>
      </c>
      <c r="BU18" s="216">
        <v>800</v>
      </c>
      <c r="BV18" s="216">
        <v>600</v>
      </c>
      <c r="BW18" s="216">
        <v>150</v>
      </c>
      <c r="BX18" s="216">
        <v>12000</v>
      </c>
      <c r="BY18" s="216">
        <v>22000</v>
      </c>
      <c r="BZ18" s="216">
        <v>600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">
      <c r="A19" s="537" t="s">
        <v>407</v>
      </c>
      <c r="B19" s="538"/>
      <c r="C19" s="538">
        <f>ROUNDUP(((C3*B3)/100),0)</f>
        <v>123</v>
      </c>
      <c r="D19" s="538" t="s">
        <v>84</v>
      </c>
      <c r="E19" s="194">
        <v>10</v>
      </c>
      <c r="F19" s="538">
        <f>Table80102114[[#This Row],[طول]]*Table80102114[[#This Row],[wt/m]]</f>
        <v>1230</v>
      </c>
      <c r="G19" s="528"/>
      <c r="H19" s="528"/>
      <c r="I19" s="528"/>
      <c r="J19" s="528"/>
      <c r="L19" s="211" t="s">
        <v>92</v>
      </c>
      <c r="M19" s="212"/>
      <c r="N19" s="213" t="s">
        <v>92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1950</v>
      </c>
      <c r="W19" s="244">
        <f>Table156172[[#Totals],[اجمالي]]/$R$68</f>
        <v>0.00827934070973056</v>
      </c>
      <c r="X19" s="216"/>
      <c r="Y19" s="216" t="s">
        <v>171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553" t="s">
        <v>92</v>
      </c>
      <c r="BH19" s="554"/>
      <c r="BI19" s="555" t="s">
        <v>92</v>
      </c>
      <c r="BJ19" s="556"/>
      <c r="BK19" s="556"/>
      <c r="BL19" s="565"/>
      <c r="BM19" s="553"/>
      <c r="BN19" s="553"/>
      <c r="BO19" s="553"/>
      <c r="BP19" s="557"/>
      <c r="BQ19" s="558">
        <f>SUBTOTAL(109,Table15617282[اجمالي])</f>
        <v>1950</v>
      </c>
      <c r="BR19" s="559">
        <f>Table15617282[[#Totals],[اجمالي]]/$R$68</f>
        <v>0.00827934070973056</v>
      </c>
      <c r="BS19" s="216"/>
      <c r="BT19" s="216" t="s">
        <v>171</v>
      </c>
      <c r="BU19" s="216">
        <v>800</v>
      </c>
      <c r="BV19" s="216">
        <v>750</v>
      </c>
      <c r="BW19" s="216">
        <v>150</v>
      </c>
      <c r="BX19" s="216">
        <v>12000</v>
      </c>
      <c r="BY19" s="216">
        <v>22000</v>
      </c>
      <c r="BZ19" s="216">
        <v>600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">
      <c r="A20" s="537" t="s">
        <v>408</v>
      </c>
      <c r="B20" s="538" t="s">
        <v>409</v>
      </c>
      <c r="C20" s="538">
        <f>ROUNDUP((B3/3),0)</f>
        <v>11</v>
      </c>
      <c r="D20" s="538" t="s">
        <v>32</v>
      </c>
      <c r="E20" s="194">
        <v>275</v>
      </c>
      <c r="F20" s="538">
        <f>Table80102114[[#This Row],[طول]]*Table80102114[[#This Row],[wt/m]]</f>
        <v>3025</v>
      </c>
      <c r="G20" s="528"/>
      <c r="H20" s="528"/>
      <c r="I20" s="528"/>
      <c r="J20" s="528"/>
      <c r="L20" s="216"/>
      <c r="M20" s="216"/>
      <c r="N20" s="217"/>
      <c r="O20" s="681" t="s">
        <v>183</v>
      </c>
      <c r="P20" s="681"/>
      <c r="Q20" s="681"/>
      <c r="R20" s="681"/>
      <c r="S20" s="681"/>
      <c r="T20" s="681"/>
      <c r="U20" s="216"/>
      <c r="V20" s="216"/>
      <c r="W20" s="216"/>
      <c r="X20" s="216"/>
      <c r="Y20" s="216" t="s">
        <v>173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681" t="s">
        <v>183</v>
      </c>
      <c r="BK20" s="681"/>
      <c r="BL20" s="681"/>
      <c r="BM20" s="681"/>
      <c r="BN20" s="681"/>
      <c r="BO20" s="681"/>
      <c r="BP20" s="216"/>
      <c r="BQ20" s="216"/>
      <c r="BR20" s="216"/>
      <c r="BS20" s="216"/>
      <c r="BT20" s="216" t="s">
        <v>173</v>
      </c>
      <c r="BU20" s="216">
        <v>800</v>
      </c>
      <c r="BV20" s="216">
        <v>750</v>
      </c>
      <c r="BW20" s="216">
        <v>150</v>
      </c>
      <c r="BX20" s="216">
        <v>12000</v>
      </c>
      <c r="BY20" s="216">
        <v>22000</v>
      </c>
      <c r="BZ20" s="216">
        <v>600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">
      <c r="A21" s="537" t="s">
        <v>410</v>
      </c>
      <c r="B21" s="538" t="s">
        <v>411</v>
      </c>
      <c r="C21" s="538">
        <f>C20</f>
        <v>11</v>
      </c>
      <c r="D21" s="538" t="s">
        <v>32</v>
      </c>
      <c r="E21" s="194">
        <v>45</v>
      </c>
      <c r="F21" s="538">
        <f>E21*C21</f>
        <v>495</v>
      </c>
      <c r="G21" s="528"/>
      <c r="H21" s="528"/>
      <c r="I21" s="528"/>
      <c r="J21" s="528"/>
      <c r="L21" s="211" t="s">
        <v>19</v>
      </c>
      <c r="M21" s="211" t="s">
        <v>32</v>
      </c>
      <c r="N21" s="218" t="s">
        <v>120</v>
      </c>
      <c r="O21" s="211" t="s">
        <v>121</v>
      </c>
      <c r="P21" s="211" t="s">
        <v>102</v>
      </c>
      <c r="Q21" s="211" t="s">
        <v>149</v>
      </c>
      <c r="R21" s="211" t="s">
        <v>21</v>
      </c>
      <c r="S21" s="211" t="s">
        <v>12</v>
      </c>
      <c r="T21" s="211" t="s">
        <v>162</v>
      </c>
      <c r="U21" s="211" t="s">
        <v>124</v>
      </c>
      <c r="V21" s="245" t="s">
        <v>125</v>
      </c>
      <c r="W21" s="211" t="s">
        <v>126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19</v>
      </c>
      <c r="BH21" s="211" t="s">
        <v>32</v>
      </c>
      <c r="BI21" s="218" t="s">
        <v>120</v>
      </c>
      <c r="BJ21" s="211" t="s">
        <v>121</v>
      </c>
      <c r="BK21" s="211" t="s">
        <v>102</v>
      </c>
      <c r="BL21" s="211" t="s">
        <v>149</v>
      </c>
      <c r="BM21" s="211" t="s">
        <v>21</v>
      </c>
      <c r="BN21" s="211" t="s">
        <v>12</v>
      </c>
      <c r="BO21" s="211" t="s">
        <v>162</v>
      </c>
      <c r="BP21" s="211" t="s">
        <v>124</v>
      </c>
      <c r="BQ21" s="245" t="s">
        <v>125</v>
      </c>
      <c r="BR21" s="211" t="s">
        <v>126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">
      <c r="A22" s="537" t="s">
        <v>412</v>
      </c>
      <c r="B22" s="538" t="s">
        <v>32</v>
      </c>
      <c r="C22" s="538">
        <v>2</v>
      </c>
      <c r="D22" s="538" t="s">
        <v>32</v>
      </c>
      <c r="E22" s="194">
        <v>800</v>
      </c>
      <c r="F22" s="538">
        <f>E22*C22</f>
        <v>1600</v>
      </c>
      <c r="G22" s="528"/>
      <c r="H22" s="528"/>
      <c r="I22" s="528"/>
      <c r="J22" s="528"/>
      <c r="L22" s="211"/>
      <c r="M22" s="212">
        <f>IF((I1="قواعد عادية"),0,2)</f>
        <v>2</v>
      </c>
      <c r="N22" s="220" t="s">
        <v>185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540</v>
      </c>
      <c r="V22" s="240">
        <f>M22*U22</f>
        <v>1080</v>
      </c>
      <c r="W22" s="249">
        <f>(V22)/$R$68</f>
        <v>0.0045854810084661564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185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540</v>
      </c>
      <c r="BQ22" s="240">
        <f>BH22*BP22</f>
        <v>1080</v>
      </c>
      <c r="BR22" s="249">
        <f>(BQ22)/$R$68</f>
        <v>0.0045854810084661564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">
      <c r="A23" s="537" t="s">
        <v>277</v>
      </c>
      <c r="B23" s="538" t="s">
        <v>32</v>
      </c>
      <c r="C23" s="538">
        <v>1</v>
      </c>
      <c r="D23" s="538" t="s">
        <v>32</v>
      </c>
      <c r="E23" s="538">
        <f>Sheet2!B57</f>
        <v>9000</v>
      </c>
      <c r="F23" s="538">
        <f>E23*C23</f>
        <v>9000</v>
      </c>
      <c r="G23" s="528"/>
      <c r="H23" s="528"/>
      <c r="I23" s="528"/>
      <c r="J23" s="528"/>
      <c r="L23" s="211">
        <v>3</v>
      </c>
      <c r="M23" s="219">
        <v>2</v>
      </c>
      <c r="N23" s="220" t="s">
        <v>283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168</v>
      </c>
      <c r="S23" s="250">
        <v>7</v>
      </c>
      <c r="T23" s="211"/>
      <c r="U23" s="243">
        <f>S23*$S$2/1000</f>
        <v>315</v>
      </c>
      <c r="V23" s="240">
        <f>M23*U23</f>
        <v>630</v>
      </c>
      <c r="W23" s="241">
        <f>(V23)/$R$68</f>
        <v>0.0026748639216052582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283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168</v>
      </c>
      <c r="BN23" s="250">
        <v>7</v>
      </c>
      <c r="BO23" s="211"/>
      <c r="BP23" s="243">
        <f>BN23*$S$2/1000</f>
        <v>315</v>
      </c>
      <c r="BQ23" s="240">
        <f>BH23*BP23</f>
        <v>630</v>
      </c>
      <c r="BR23" s="241">
        <f>(BQ23)/$R$68</f>
        <v>0.0026748639216052582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">
      <c r="A24" s="193" t="s">
        <v>92</v>
      </c>
      <c r="B24" s="199">
        <f>(Table80102114[[#Totals],[price]]*1.1)/(F1*D1/10000)</f>
        <v>8259.0156862745116</v>
      </c>
      <c r="C24" s="194"/>
      <c r="D24" s="194"/>
      <c r="E24" s="194"/>
      <c r="F24" s="194">
        <f>SUBTOTAL(109,Table80102114[price])</f>
        <v>153167.2</v>
      </c>
      <c r="L24" s="211">
        <v>8</v>
      </c>
      <c r="M24" s="212">
        <f>M22*4</f>
        <v>8</v>
      </c>
      <c r="N24" s="213" t="s">
        <v>186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168</v>
      </c>
      <c r="S24" s="211">
        <v>0.75</v>
      </c>
      <c r="T24" s="211"/>
      <c r="U24" s="243">
        <f>S24*$S$2/1000</f>
        <v>33.75</v>
      </c>
      <c r="V24" s="240">
        <f>M24*U24</f>
        <v>270</v>
      </c>
      <c r="W24" s="251">
        <f>(V24)/$R$68</f>
        <v>0.0011463702521165391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186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168</v>
      </c>
      <c r="BN24" s="211">
        <v>0.75</v>
      </c>
      <c r="BO24" s="211"/>
      <c r="BP24" s="243">
        <f>BN24*$S$2/1000</f>
        <v>33.75</v>
      </c>
      <c r="BQ24" s="240">
        <f>BH24*BP24</f>
        <v>270</v>
      </c>
      <c r="BR24" s="251">
        <f>(BQ24)/$R$68</f>
        <v>0.0011463702521165391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">
      <c r="A25" s="200"/>
      <c r="L25" s="211" t="s">
        <v>92</v>
      </c>
      <c r="M25" s="212">
        <f>SUBTOTAL(103,Table166273[عدد])</f>
        <v>3</v>
      </c>
      <c r="N25" s="213" t="s">
        <v>92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1980</v>
      </c>
      <c r="W25" s="244">
        <f>Table166273[[#Totals],[اجمالي]]/$R$68</f>
        <v>0.0084067151821879543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92</v>
      </c>
      <c r="BH25" s="212">
        <f>SUBTOTAL(103,Table16627383[عدد])</f>
        <v>3</v>
      </c>
      <c r="BI25" s="213" t="s">
        <v>92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1980</v>
      </c>
      <c r="BR25" s="244">
        <f>Table16627383[[#Totals],[اجمالي]]/$R$68</f>
        <v>0.0084067151821879543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">
      <c r="A26" s="200"/>
      <c r="L26" s="216"/>
      <c r="M26" s="216"/>
      <c r="N26" s="217"/>
      <c r="O26" s="681" t="s">
        <v>187</v>
      </c>
      <c r="P26" s="681"/>
      <c r="Q26" s="681"/>
      <c r="R26" s="681"/>
      <c r="S26" s="681"/>
      <c r="T26" s="681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681" t="s">
        <v>187</v>
      </c>
      <c r="BK26" s="681"/>
      <c r="BL26" s="681"/>
      <c r="BM26" s="681"/>
      <c r="BN26" s="681"/>
      <c r="BO26" s="681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">
      <c r="A27" s="200"/>
      <c r="L27" s="211" t="s">
        <v>19</v>
      </c>
      <c r="M27" s="211" t="s">
        <v>32</v>
      </c>
      <c r="N27" s="218" t="s">
        <v>120</v>
      </c>
      <c r="O27" s="211" t="s">
        <v>121</v>
      </c>
      <c r="P27" s="211" t="s">
        <v>102</v>
      </c>
      <c r="Q27" s="211" t="s">
        <v>149</v>
      </c>
      <c r="R27" s="211" t="s">
        <v>21</v>
      </c>
      <c r="S27" s="211" t="s">
        <v>12</v>
      </c>
      <c r="T27" s="211" t="s">
        <v>162</v>
      </c>
      <c r="U27" s="211" t="s">
        <v>124</v>
      </c>
      <c r="V27" s="245" t="s">
        <v>125</v>
      </c>
      <c r="W27" s="211" t="s">
        <v>126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19</v>
      </c>
      <c r="BH27" s="211" t="s">
        <v>32</v>
      </c>
      <c r="BI27" s="218" t="s">
        <v>120</v>
      </c>
      <c r="BJ27" s="211" t="s">
        <v>121</v>
      </c>
      <c r="BK27" s="211" t="s">
        <v>102</v>
      </c>
      <c r="BL27" s="211" t="s">
        <v>149</v>
      </c>
      <c r="BM27" s="211" t="s">
        <v>21</v>
      </c>
      <c r="BN27" s="211" t="s">
        <v>12</v>
      </c>
      <c r="BO27" s="211" t="s">
        <v>162</v>
      </c>
      <c r="BP27" s="211" t="s">
        <v>124</v>
      </c>
      <c r="BQ27" s="245" t="s">
        <v>125</v>
      </c>
      <c r="BR27" s="211" t="s">
        <v>126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">
      <c r="A28" s="200"/>
      <c r="L28" s="211">
        <v>3</v>
      </c>
      <c r="M28" s="222">
        <f>AM7/3</f>
        <v>2.58</v>
      </c>
      <c r="N28" s="213" t="s">
        <v>195</v>
      </c>
      <c r="O28" s="214"/>
      <c r="P28" s="214"/>
      <c r="Q28" s="214"/>
      <c r="R28" s="211" t="s">
        <v>196</v>
      </c>
      <c r="S28" s="211"/>
      <c r="T28" s="211"/>
      <c r="U28" s="248">
        <f>Sheet2!B24</f>
        <v>400</v>
      </c>
      <c r="V28" s="240">
        <f ref="V28:V33" t="shared" si="6">M28*U28</f>
        <v>1032</v>
      </c>
      <c r="W28" s="241">
        <f ref="W28:W42" t="shared" si="7" ca="1">(V28)/$R$68</f>
        <v>0.0043816818525343271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0</v>
      </c>
      <c r="BI28" s="213" t="s">
        <v>195</v>
      </c>
      <c r="BJ28" s="214"/>
      <c r="BK28" s="214"/>
      <c r="BL28" s="214"/>
      <c r="BM28" s="211" t="s">
        <v>196</v>
      </c>
      <c r="BN28" s="211"/>
      <c r="BO28" s="211"/>
      <c r="BP28" s="248">
        <f>Sheet2!B24</f>
        <v>400</v>
      </c>
      <c r="BQ28" s="240">
        <f ref="BQ28:BQ41" t="shared" si="8">BH28*BP28</f>
        <v>0</v>
      </c>
      <c r="BR28" s="241">
        <f ref="BR28:BR41" t="shared" si="9" ca="1">(BQ28)/$R$68</f>
        <v>0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">
      <c r="A29" s="200"/>
      <c r="L29" s="211">
        <v>4</v>
      </c>
      <c r="M29" s="219">
        <v>3</v>
      </c>
      <c r="N29" s="218" t="s">
        <v>188</v>
      </c>
      <c r="O29" s="211"/>
      <c r="P29" s="211"/>
      <c r="Q29" s="211"/>
      <c r="R29" s="211" t="s">
        <v>189</v>
      </c>
      <c r="S29" s="211"/>
      <c r="T29" s="211"/>
      <c r="U29" s="248">
        <f>Sheet2!B48</f>
        <v>25</v>
      </c>
      <c r="V29" s="240">
        <f t="shared" si="6"/>
        <v>75</v>
      </c>
      <c r="W29" s="241">
        <f t="shared" si="7" ca="1"/>
        <v>0.00031843618114348309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188</v>
      </c>
      <c r="BJ29" s="211"/>
      <c r="BK29" s="211"/>
      <c r="BL29" s="211"/>
      <c r="BM29" s="211" t="s">
        <v>189</v>
      </c>
      <c r="BN29" s="211"/>
      <c r="BO29" s="211"/>
      <c r="BP29" s="248">
        <v>18</v>
      </c>
      <c r="BQ29" s="240">
        <f t="shared" si="8"/>
        <v>54</v>
      </c>
      <c r="BR29" s="241">
        <f t="shared" si="9" ca="1"/>
        <v>0.00022927405042330782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">
      <c r="A30" s="200"/>
      <c r="L30" s="211">
        <v>5</v>
      </c>
      <c r="M30" s="212">
        <v>3</v>
      </c>
      <c r="N30" s="218" t="s">
        <v>190</v>
      </c>
      <c r="O30" s="211"/>
      <c r="P30" s="211"/>
      <c r="Q30" s="211"/>
      <c r="R30" s="211" t="s">
        <v>189</v>
      </c>
      <c r="S30" s="211"/>
      <c r="T30" s="211"/>
      <c r="U30" s="248">
        <f>Sheet2!B48</f>
        <v>25</v>
      </c>
      <c r="V30" s="240">
        <f t="shared" si="6"/>
        <v>75</v>
      </c>
      <c r="W30" s="241">
        <f t="shared" si="7" ca="1"/>
        <v>0.00031843618114348309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190</v>
      </c>
      <c r="BJ30" s="211"/>
      <c r="BK30" s="211"/>
      <c r="BL30" s="211"/>
      <c r="BM30" s="211" t="s">
        <v>189</v>
      </c>
      <c r="BN30" s="211"/>
      <c r="BO30" s="211"/>
      <c r="BP30" s="248">
        <v>18</v>
      </c>
      <c r="BQ30" s="240">
        <f t="shared" si="8"/>
        <v>54</v>
      </c>
      <c r="BR30" s="241">
        <f t="shared" si="9" ca="1"/>
        <v>0.00022927405042330782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">
      <c r="A31" s="200"/>
      <c r="L31" s="211">
        <v>6</v>
      </c>
      <c r="M31" s="219">
        <v>1</v>
      </c>
      <c r="N31" s="213" t="s">
        <v>191</v>
      </c>
      <c r="O31" s="214"/>
      <c r="P31" s="214"/>
      <c r="Q31" s="214"/>
      <c r="R31" s="211" t="s">
        <v>192</v>
      </c>
      <c r="S31" s="211"/>
      <c r="T31" s="211"/>
      <c r="U31" s="248">
        <v>40</v>
      </c>
      <c r="V31" s="240">
        <f t="shared" si="6"/>
        <v>40</v>
      </c>
      <c r="W31" s="241">
        <f t="shared" si="7" ca="1"/>
        <v>0.00016983262994319098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191</v>
      </c>
      <c r="BJ31" s="214"/>
      <c r="BK31" s="214"/>
      <c r="BL31" s="214"/>
      <c r="BM31" s="211" t="s">
        <v>192</v>
      </c>
      <c r="BN31" s="211"/>
      <c r="BO31" s="211"/>
      <c r="BP31" s="248">
        <v>25</v>
      </c>
      <c r="BQ31" s="240">
        <f t="shared" si="8"/>
        <v>25</v>
      </c>
      <c r="BR31" s="241">
        <f t="shared" si="9" ca="1"/>
        <v>0.00010614539371449436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">
      <c r="A32" s="200"/>
      <c r="L32" s="211">
        <v>7</v>
      </c>
      <c r="M32" s="212">
        <v>1</v>
      </c>
      <c r="N32" s="213" t="s">
        <v>193</v>
      </c>
      <c r="O32" s="214"/>
      <c r="P32" s="214"/>
      <c r="Q32" s="214"/>
      <c r="R32" s="211" t="s">
        <v>192</v>
      </c>
      <c r="S32" s="211"/>
      <c r="T32" s="211"/>
      <c r="U32" s="248">
        <v>150</v>
      </c>
      <c r="V32" s="240">
        <f t="shared" si="6"/>
        <v>150</v>
      </c>
      <c r="W32" s="241">
        <f t="shared" si="7" ca="1"/>
        <v>0.00063687236228696618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193</v>
      </c>
      <c r="BJ32" s="214"/>
      <c r="BK32" s="214"/>
      <c r="BL32" s="214"/>
      <c r="BM32" s="211" t="s">
        <v>192</v>
      </c>
      <c r="BN32" s="211"/>
      <c r="BO32" s="211"/>
      <c r="BP32" s="248">
        <v>150</v>
      </c>
      <c r="BQ32" s="240">
        <f t="shared" si="8"/>
        <v>150</v>
      </c>
      <c r="BR32" s="241">
        <f t="shared" si="9" ca="1"/>
        <v>0.00063687236228696618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">
      <c r="A33" s="200"/>
      <c r="L33" s="211">
        <v>8</v>
      </c>
      <c r="M33" s="219">
        <v>2</v>
      </c>
      <c r="N33" s="213" t="s">
        <v>194</v>
      </c>
      <c r="O33" s="214"/>
      <c r="P33" s="214"/>
      <c r="Q33" s="214"/>
      <c r="R33" s="211" t="s">
        <v>168</v>
      </c>
      <c r="S33" s="211"/>
      <c r="T33" s="211"/>
      <c r="U33" s="248">
        <v>40</v>
      </c>
      <c r="V33" s="240">
        <f t="shared" si="6"/>
        <v>80</v>
      </c>
      <c r="W33" s="241">
        <f t="shared" si="7" ca="1"/>
        <v>0.00033966525988638195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194</v>
      </c>
      <c r="BJ33" s="214"/>
      <c r="BK33" s="214"/>
      <c r="BL33" s="214"/>
      <c r="BM33" s="211" t="s">
        <v>168</v>
      </c>
      <c r="BN33" s="211"/>
      <c r="BO33" s="211"/>
      <c r="BP33" s="248">
        <v>40</v>
      </c>
      <c r="BQ33" s="240">
        <f t="shared" si="8"/>
        <v>80</v>
      </c>
      <c r="BR33" s="241">
        <f t="shared" si="9" ca="1"/>
        <v>0.00033966525988638195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">
      <c r="A34" s="200"/>
      <c r="L34" s="211"/>
      <c r="M34" s="219">
        <f>ROUNDUP(AM5,0)</f>
        <v>13</v>
      </c>
      <c r="N34" s="213" t="s">
        <v>129</v>
      </c>
      <c r="O34" s="214"/>
      <c r="P34" s="214"/>
      <c r="Q34" s="214"/>
      <c r="R34" s="211"/>
      <c r="S34" s="211"/>
      <c r="T34" s="211"/>
      <c r="U34" s="248">
        <f>Sheet2!B26</f>
        <v>220</v>
      </c>
      <c r="V34" s="240">
        <f ref="V34:V42" t="shared" si="10">M34*U34</f>
        <v>2860</v>
      </c>
      <c r="W34" s="251">
        <f t="shared" si="7" ca="1"/>
        <v>0.012143033040938155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0</v>
      </c>
      <c r="BI34" s="213" t="s">
        <v>129</v>
      </c>
      <c r="BJ34" s="214"/>
      <c r="BK34" s="214"/>
      <c r="BL34" s="214"/>
      <c r="BM34" s="211"/>
      <c r="BN34" s="211"/>
      <c r="BO34" s="211"/>
      <c r="BP34" s="248">
        <f>Sheet2!B26</f>
        <v>220</v>
      </c>
      <c r="BQ34" s="240">
        <f t="shared" si="8"/>
        <v>0</v>
      </c>
      <c r="BR34" s="251">
        <f t="shared" si="9" ca="1"/>
        <v>0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">
      <c r="A35" s="200"/>
      <c r="L35" s="211"/>
      <c r="M35" s="219">
        <f ref="M35:M36" t="shared" si="11">ROUNDUP(AM6,0)</f>
        <v>8</v>
      </c>
      <c r="N35" s="213" t="s">
        <v>134</v>
      </c>
      <c r="O35" s="214"/>
      <c r="P35" s="214"/>
      <c r="Q35" s="214"/>
      <c r="R35" s="211"/>
      <c r="S35" s="211"/>
      <c r="T35" s="211"/>
      <c r="U35" s="248">
        <f>Sheet2!B25</f>
        <v>95</v>
      </c>
      <c r="V35" s="240">
        <f t="shared" si="10"/>
        <v>760</v>
      </c>
      <c r="W35" s="251">
        <f t="shared" si="7" ca="1"/>
        <v>0.0032268199689206288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2">ROUNDUP(CH6,0)</f>
        <v>4</v>
      </c>
      <c r="BI35" s="213" t="s">
        <v>134</v>
      </c>
      <c r="BJ35" s="214"/>
      <c r="BK35" s="214"/>
      <c r="BL35" s="214"/>
      <c r="BM35" s="211"/>
      <c r="BN35" s="211"/>
      <c r="BO35" s="211"/>
      <c r="BP35" s="248">
        <f>Sheet2!B25</f>
        <v>95</v>
      </c>
      <c r="BQ35" s="240">
        <f t="shared" si="8"/>
        <v>380</v>
      </c>
      <c r="BR35" s="251">
        <f t="shared" si="9" ca="1"/>
        <v>0.0016134099844603144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">
      <c r="A36" s="200"/>
      <c r="L36" s="211"/>
      <c r="M36" s="219">
        <f t="shared" si="11"/>
        <v>8</v>
      </c>
      <c r="N36" s="213" t="s">
        <v>142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0"/>
        <v>4080</v>
      </c>
      <c r="W36" s="251">
        <f t="shared" si="7" ca="1"/>
        <v>0.017322928254205481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2"/>
        <v>0</v>
      </c>
      <c r="BI36" s="213" t="s">
        <v>142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8"/>
        <v>0</v>
      </c>
      <c r="BR36" s="251">
        <f t="shared" si="9" ca="1"/>
        <v>0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0"/>
        <v>0</v>
      </c>
      <c r="W37" s="251">
        <f t="shared" si="7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IF((تسعير!AT45="جلفنة و جوتن"),(Table1588090[[#Totals],[الوزن]]+Table16627383[[#Totals],[الوزن]]),0)</f>
        <v>0</v>
      </c>
      <c r="BI37" s="213" t="s">
        <v>200</v>
      </c>
      <c r="BJ37" s="214"/>
      <c r="BK37" s="214"/>
      <c r="BL37" s="214"/>
      <c r="BM37" s="211"/>
      <c r="BN37" s="211"/>
      <c r="BO37" s="211"/>
      <c r="BP37" s="248">
        <v>30</v>
      </c>
      <c r="BQ37" s="240">
        <f t="shared" si="8"/>
        <v>0</v>
      </c>
      <c r="BR37" s="251">
        <f t="shared" si="9" ca="1"/>
        <v>0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">
      <c r="A38" s="200"/>
      <c r="L38" s="211"/>
      <c r="M38" s="212">
        <f>IF((تسعير!AT25="جلفنة و جوتن"),(Table15880[[#Totals],[الوزن]]+Table166273[[#Totals],[الوزن]]),0)</f>
        <v>0</v>
      </c>
      <c r="N38" s="213" t="s">
        <v>200</v>
      </c>
      <c r="O38" s="214"/>
      <c r="P38" s="214"/>
      <c r="Q38" s="214"/>
      <c r="R38" s="211"/>
      <c r="S38" s="211"/>
      <c r="T38" s="211"/>
      <c r="U38" s="248">
        <v>30</v>
      </c>
      <c r="V38" s="240">
        <f t="shared" si="10"/>
        <v>0</v>
      </c>
      <c r="W38" s="251">
        <f t="shared" si="7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20</v>
      </c>
      <c r="BI38" s="213" t="s">
        <v>201</v>
      </c>
      <c r="BJ38" s="214"/>
      <c r="BK38" s="214"/>
      <c r="BL38" s="214"/>
      <c r="BM38" s="211" t="s">
        <v>202</v>
      </c>
      <c r="BN38" s="211"/>
      <c r="BO38" s="211"/>
      <c r="BP38" s="248">
        <f>Sheet2!B18</f>
        <v>360</v>
      </c>
      <c r="BQ38" s="240">
        <f t="shared" si="8"/>
        <v>7200</v>
      </c>
      <c r="BR38" s="251">
        <f t="shared" si="9" ca="1"/>
        <v>0.030569873389774377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39" s="213" t="s">
        <v>201</v>
      </c>
      <c r="O39" s="214"/>
      <c r="P39" s="214"/>
      <c r="Q39" s="214"/>
      <c r="R39" s="211" t="s">
        <v>202</v>
      </c>
      <c r="S39" s="211"/>
      <c r="T39" s="211"/>
      <c r="U39" s="248">
        <f>Sheet2!B18</f>
        <v>360</v>
      </c>
      <c r="V39" s="240">
        <f t="shared" si="10"/>
        <v>0</v>
      </c>
      <c r="W39" s="251">
        <f t="shared" si="7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20</v>
      </c>
      <c r="BI39" s="218" t="s">
        <v>203</v>
      </c>
      <c r="BJ39" s="214"/>
      <c r="BK39" s="214"/>
      <c r="BL39" s="214"/>
      <c r="BM39" s="218" t="s">
        <v>204</v>
      </c>
      <c r="BN39" s="211"/>
      <c r="BO39" s="211"/>
      <c r="BP39" s="248">
        <f>Sheet2!B20</f>
        <v>435</v>
      </c>
      <c r="BQ39" s="240">
        <f t="shared" si="8"/>
        <v>8700</v>
      </c>
      <c r="BR39" s="251">
        <f t="shared" si="9" ca="1"/>
        <v>0.036938597012644042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0" s="218" t="s">
        <v>203</v>
      </c>
      <c r="O40" s="214"/>
      <c r="P40" s="214"/>
      <c r="Q40" s="214"/>
      <c r="R40" s="218" t="s">
        <v>204</v>
      </c>
      <c r="S40" s="211"/>
      <c r="T40" s="211"/>
      <c r="U40" s="248">
        <f>Sheet2!B20</f>
        <v>435</v>
      </c>
      <c r="V40" s="240">
        <f t="shared" si="10"/>
        <v>0</v>
      </c>
      <c r="W40" s="251">
        <f t="shared" si="7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5</v>
      </c>
      <c r="BI40" s="218" t="s">
        <v>155</v>
      </c>
      <c r="BJ40" s="214"/>
      <c r="BK40" s="214"/>
      <c r="BL40" s="214"/>
      <c r="BM40" s="218" t="s">
        <v>205</v>
      </c>
      <c r="BN40" s="211"/>
      <c r="BO40" s="211"/>
      <c r="BP40" s="248">
        <f>Sheet2!B22</f>
        <v>190</v>
      </c>
      <c r="BQ40" s="240">
        <f t="shared" si="8"/>
        <v>950</v>
      </c>
      <c r="BR40" s="251">
        <f t="shared" si="9" ca="1"/>
        <v>0.0040335249611507858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1" s="218" t="s">
        <v>155</v>
      </c>
      <c r="O41" s="214"/>
      <c r="P41" s="214"/>
      <c r="Q41" s="214"/>
      <c r="R41" s="218" t="s">
        <v>205</v>
      </c>
      <c r="S41" s="211"/>
      <c r="T41" s="211"/>
      <c r="U41" s="248">
        <f>Sheet2!B22</f>
        <v>190</v>
      </c>
      <c r="V41" s="240">
        <f t="shared" si="10"/>
        <v>0</v>
      </c>
      <c r="W41" s="251">
        <f t="shared" si="7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5</v>
      </c>
      <c r="BI41" s="218" t="s">
        <v>158</v>
      </c>
      <c r="BJ41" s="214"/>
      <c r="BK41" s="214"/>
      <c r="BL41" s="214"/>
      <c r="BM41" s="218" t="s">
        <v>205</v>
      </c>
      <c r="BN41" s="211"/>
      <c r="BO41" s="211"/>
      <c r="BP41" s="248">
        <f>Sheet2!B23</f>
        <v>190</v>
      </c>
      <c r="BQ41" s="240">
        <f t="shared" si="8"/>
        <v>950</v>
      </c>
      <c r="BR41" s="251">
        <f t="shared" si="9" ca="1"/>
        <v>0.0040335249611507858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2" s="218" t="s">
        <v>158</v>
      </c>
      <c r="O42" s="214"/>
      <c r="P42" s="214"/>
      <c r="Q42" s="214"/>
      <c r="R42" s="218" t="s">
        <v>205</v>
      </c>
      <c r="S42" s="211"/>
      <c r="T42" s="211"/>
      <c r="U42" s="248">
        <f>Sheet2!B23</f>
        <v>190</v>
      </c>
      <c r="V42" s="240">
        <f t="shared" si="10"/>
        <v>0</v>
      </c>
      <c r="W42" s="251">
        <f t="shared" si="7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92</v>
      </c>
      <c r="BH42" s="212"/>
      <c r="BI42" s="213" t="s">
        <v>92</v>
      </c>
      <c r="BJ42" s="214"/>
      <c r="BK42" s="214"/>
      <c r="BL42" s="214"/>
      <c r="BM42" s="211" t="s">
        <v>206</v>
      </c>
      <c r="BN42" s="211"/>
      <c r="BO42" s="211"/>
      <c r="BP42" s="242"/>
      <c r="BQ42" s="240">
        <f>SUBTOTAL(109,Table13597166[اجمالي])</f>
        <v>18543</v>
      </c>
      <c r="BR42" s="244">
        <f>Table13597166[[#Totals],[اجمالي]]/$R$68</f>
        <v>0.078730161425914755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">
      <c r="A43" s="200"/>
      <c r="L43" s="211" t="s">
        <v>92</v>
      </c>
      <c r="M43" s="212"/>
      <c r="N43" s="213" t="s">
        <v>92</v>
      </c>
      <c r="O43" s="214"/>
      <c r="P43" s="214"/>
      <c r="Q43" s="214"/>
      <c r="R43" s="211" t="s">
        <v>206</v>
      </c>
      <c r="S43" s="211"/>
      <c r="T43" s="211"/>
      <c r="U43" s="242"/>
      <c r="V43" s="240">
        <f>SUBTOTAL(109,Table135971[اجمالي])</f>
        <v>9152</v>
      </c>
      <c r="W43" s="244">
        <f>Table135971[[#Totals],[اجمالي]]/$R$68</f>
        <v>0.0388577057310021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681" t="s">
        <v>250</v>
      </c>
      <c r="BK44" s="681"/>
      <c r="BL44" s="681"/>
      <c r="BM44" s="681"/>
      <c r="BN44" s="681"/>
      <c r="BO44" s="681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">
      <c r="A45" s="200"/>
      <c r="L45" s="216"/>
      <c r="M45" s="216"/>
      <c r="N45" s="217"/>
      <c r="O45" s="681" t="s">
        <v>250</v>
      </c>
      <c r="P45" s="681"/>
      <c r="Q45" s="681"/>
      <c r="R45" s="681"/>
      <c r="S45" s="681"/>
      <c r="T45" s="681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19</v>
      </c>
      <c r="BH45" s="211" t="s">
        <v>32</v>
      </c>
      <c r="BI45" s="218" t="s">
        <v>120</v>
      </c>
      <c r="BJ45" s="211" t="s">
        <v>121</v>
      </c>
      <c r="BK45" s="211" t="s">
        <v>102</v>
      </c>
      <c r="BL45" s="211" t="s">
        <v>149</v>
      </c>
      <c r="BM45" s="211" t="s">
        <v>21</v>
      </c>
      <c r="BN45" s="211" t="s">
        <v>12</v>
      </c>
      <c r="BO45" s="211" t="s">
        <v>162</v>
      </c>
      <c r="BP45" s="211" t="s">
        <v>124</v>
      </c>
      <c r="BQ45" s="245" t="s">
        <v>125</v>
      </c>
      <c r="BR45" s="211" t="s">
        <v>126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">
      <c r="A46" s="200"/>
      <c r="L46" s="211" t="s">
        <v>19</v>
      </c>
      <c r="M46" s="211" t="s">
        <v>32</v>
      </c>
      <c r="N46" s="218" t="s">
        <v>120</v>
      </c>
      <c r="O46" s="211" t="s">
        <v>121</v>
      </c>
      <c r="P46" s="211" t="s">
        <v>102</v>
      </c>
      <c r="Q46" s="211" t="s">
        <v>149</v>
      </c>
      <c r="R46" s="211" t="s">
        <v>21</v>
      </c>
      <c r="S46" s="211" t="s">
        <v>12</v>
      </c>
      <c r="T46" s="211" t="s">
        <v>162</v>
      </c>
      <c r="U46" s="211" t="s">
        <v>124</v>
      </c>
      <c r="V46" s="245" t="s">
        <v>125</v>
      </c>
      <c r="W46" s="211" t="s">
        <v>126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375</v>
      </c>
      <c r="BJ46" s="214"/>
      <c r="BK46" s="211"/>
      <c r="BL46" s="216"/>
      <c r="BM46" s="214"/>
      <c r="BN46" s="211"/>
      <c r="BO46" s="247"/>
      <c r="BP46" s="248">
        <f>Table8091[[#Totals],[price]]</f>
        <v>91204.7</v>
      </c>
      <c r="BQ46" s="252">
        <f>BH46*Table1613687787[[#This Row],[سعر الشبك ]]</f>
        <v>91204.7</v>
      </c>
      <c r="BR46" s="241">
        <f>(BQ46)/$R$68</f>
        <v>0.38723835160449377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">
      <c r="A47" s="200"/>
      <c r="L47" s="211">
        <v>5</v>
      </c>
      <c r="M47" s="219">
        <v>1</v>
      </c>
      <c r="N47" s="213" t="s">
        <v>375</v>
      </c>
      <c r="O47" s="214"/>
      <c r="P47" s="211"/>
      <c r="Q47" s="216"/>
      <c r="R47" s="214"/>
      <c r="S47" s="211"/>
      <c r="T47" s="247"/>
      <c r="U47" s="248">
        <f>Table80102114[[#Totals],[price]]</f>
        <v>153167.2</v>
      </c>
      <c r="V47" s="252">
        <f>M47*Table16136877[[#This Row],[سعر الشبك ]]</f>
        <v>153167.2</v>
      </c>
      <c r="W47" s="241">
        <f>(V47)/$R$68</f>
        <v>0.65031970992586807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219</v>
      </c>
      <c r="BJ47" s="214"/>
      <c r="BK47" s="211"/>
      <c r="BL47" s="216"/>
      <c r="BM47" s="214"/>
      <c r="BN47" s="211"/>
      <c r="BO47" s="247"/>
      <c r="BP47" s="248">
        <f>BQ46</f>
        <v>91204.7</v>
      </c>
      <c r="BQ47" s="240">
        <f>BH47*Table1613687787[[#This Row],[سعر الشبك ]]</f>
        <v>9120.47</v>
      </c>
      <c r="BR47" s="241">
        <f>(BQ47)/$R$68</f>
        <v>0.038723835160449374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">
      <c r="A48" s="200"/>
      <c r="L48" s="211">
        <v>4</v>
      </c>
      <c r="M48" s="212">
        <f>IF((Q64="الاسكندرية"),0.25,0.1)</f>
        <v>0.25</v>
      </c>
      <c r="N48" s="213" t="s">
        <v>219</v>
      </c>
      <c r="O48" s="214"/>
      <c r="P48" s="211"/>
      <c r="Q48" s="216"/>
      <c r="R48" s="214"/>
      <c r="S48" s="211"/>
      <c r="T48" s="247"/>
      <c r="U48" s="248">
        <f>Table80102114[[#Totals],[price]]</f>
        <v>153167.2</v>
      </c>
      <c r="V48" s="240">
        <f>M48*Table16136877[[#This Row],[سعر الشبك ]]</f>
        <v>38291.8</v>
      </c>
      <c r="W48" s="241">
        <f>(V48)/$R$68</f>
        <v>0.16257992748146702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92</v>
      </c>
      <c r="BH48" s="212"/>
      <c r="BI48" s="213" t="s">
        <v>92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100325.17</v>
      </c>
      <c r="BR48" s="244">
        <f>Table1613687787[[#Totals],[اجمالي]]/$R$68</f>
        <v>0.42596218676494313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">
      <c r="A49" s="200"/>
      <c r="L49" s="211" t="s">
        <v>92</v>
      </c>
      <c r="M49" s="212"/>
      <c r="N49" s="213" t="s">
        <v>92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191459</v>
      </c>
      <c r="W49" s="244">
        <f>Table16136877[[#Totals],[اجمالي]]/$R$68</f>
        <v>0.81289963740733506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681" t="s">
        <v>220</v>
      </c>
      <c r="BK49" s="681"/>
      <c r="BL49" s="681"/>
      <c r="BM49" s="681"/>
      <c r="BN49" s="681"/>
      <c r="BO49" s="681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">
      <c r="A50" s="200"/>
      <c r="L50" s="216"/>
      <c r="M50" s="216"/>
      <c r="N50" s="217"/>
      <c r="O50" s="681" t="s">
        <v>220</v>
      </c>
      <c r="P50" s="681"/>
      <c r="Q50" s="681"/>
      <c r="R50" s="681"/>
      <c r="S50" s="681"/>
      <c r="T50" s="681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19</v>
      </c>
      <c r="BH50" s="211" t="s">
        <v>32</v>
      </c>
      <c r="BI50" s="218" t="s">
        <v>120</v>
      </c>
      <c r="BJ50" s="211" t="s">
        <v>221</v>
      </c>
      <c r="BK50" s="211" t="s">
        <v>105</v>
      </c>
      <c r="BL50" s="211" t="s">
        <v>222</v>
      </c>
      <c r="BM50" s="211" t="s">
        <v>223</v>
      </c>
      <c r="BN50" s="211" t="s">
        <v>149</v>
      </c>
      <c r="BO50" s="211" t="s">
        <v>224</v>
      </c>
      <c r="BP50" s="211" t="s">
        <v>225</v>
      </c>
      <c r="BQ50" s="245" t="s">
        <v>125</v>
      </c>
      <c r="BR50" s="211" t="s">
        <v>126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">
      <c r="A51" s="200"/>
      <c r="L51" s="211" t="s">
        <v>19</v>
      </c>
      <c r="M51" s="211" t="s">
        <v>32</v>
      </c>
      <c r="N51" s="218" t="s">
        <v>120</v>
      </c>
      <c r="O51" s="211" t="s">
        <v>221</v>
      </c>
      <c r="P51" s="211" t="s">
        <v>105</v>
      </c>
      <c r="Q51" s="211" t="s">
        <v>222</v>
      </c>
      <c r="R51" s="211" t="s">
        <v>223</v>
      </c>
      <c r="S51" s="211" t="s">
        <v>149</v>
      </c>
      <c r="T51" s="211" t="s">
        <v>224</v>
      </c>
      <c r="U51" s="211" t="s">
        <v>225</v>
      </c>
      <c r="V51" s="245" t="s">
        <v>125</v>
      </c>
      <c r="W51" s="211" t="s">
        <v>126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226</v>
      </c>
      <c r="BJ51" s="211">
        <f>IF((Table1612677686[[#This Row],[موقع العمل]]="المصنع"),280,IF((Table1612677686[[#This Row],[موقع العمل]]="الاسكندرية"),320,400))</f>
        <v>280</v>
      </c>
      <c r="BK51" s="211">
        <f>SUMIF(Table17697888[Column1],Table1612677686[[#This Row],[موقع العمل]],$AB$2:$AB$20)</f>
        <v>0</v>
      </c>
      <c r="BL51" s="211" t="s">
        <v>227</v>
      </c>
      <c r="BM51" s="214" t="s">
        <v>128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280</v>
      </c>
      <c r="BQ51" s="240">
        <f ref="BQ51:BQ63" t="shared" si="13" ca="1">BH51*BP51</f>
        <v>560</v>
      </c>
      <c r="BR51" s="265">
        <f ref="BR51:BR63" t="shared" si="14" ca="1">(BQ51)/$R$68</f>
        <v>0.0023776568192046738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">
      <c r="A52" s="200"/>
      <c r="L52" s="211">
        <v>1</v>
      </c>
      <c r="M52" s="219">
        <v>2</v>
      </c>
      <c r="N52" s="220" t="s">
        <v>226</v>
      </c>
      <c r="O52" s="211">
        <f>IF((Table16126776[[#This Row],[موقع العمل]]="المصنع"),280,IF((Table16126776[[#This Row],[موقع العمل]]="الاسكندرية"),320,400))</f>
        <v>280</v>
      </c>
      <c r="P52" s="211">
        <f>SUMIF(Table176978[Column1],Table16126776[[#This Row],[موقع العمل]],$AB$2:$AB$20)</f>
        <v>0</v>
      </c>
      <c r="Q52" s="211" t="s">
        <v>227</v>
      </c>
      <c r="R52" s="214" t="s">
        <v>128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280</v>
      </c>
      <c r="V52" s="240">
        <f ref="V52:V64" t="shared" si="15" ca="1">M52*U52</f>
        <v>560</v>
      </c>
      <c r="W52" s="241">
        <f ref="W52:W64" t="shared" si="16" ca="1">(V52)/$R$68</f>
        <v>0.0023776568192046738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228</v>
      </c>
      <c r="BJ52" s="211">
        <f>IF((Table1612677686[[#This Row],[موقع العمل]]="المصنع"),280,IF((Table1612677686[[#This Row],[موقع العمل]]="الاسكندرية"),320,400))</f>
        <v>280</v>
      </c>
      <c r="BK52" s="211">
        <f>SUMIF(Table17697888[Column1],Table1612677686[[#This Row],[موقع العمل]],$AB$2:$AB$20)</f>
        <v>0</v>
      </c>
      <c r="BL52" s="211" t="s">
        <v>227</v>
      </c>
      <c r="BM52" s="214" t="s">
        <v>128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280</v>
      </c>
      <c r="BQ52" s="240">
        <f t="shared" si="13" ca="1"/>
        <v>560</v>
      </c>
      <c r="BR52" s="265">
        <f t="shared" si="14" ca="1"/>
        <v>0.0023776568192046738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">
      <c r="A53" s="200"/>
      <c r="L53" s="211">
        <v>2</v>
      </c>
      <c r="M53" s="219">
        <v>2</v>
      </c>
      <c r="N53" s="220" t="s">
        <v>228</v>
      </c>
      <c r="O53" s="211">
        <f>IF((Table16126776[[#This Row],[موقع العمل]]="المصنع"),280,IF((Table16126776[[#This Row],[موقع العمل]]="الاسكندرية"),320,400))</f>
        <v>280</v>
      </c>
      <c r="P53" s="211">
        <f>SUMIF(Table176978[Column1],Table16126776[[#This Row],[موقع العمل]],$AB$2:$AB$20)</f>
        <v>0</v>
      </c>
      <c r="Q53" s="211" t="s">
        <v>227</v>
      </c>
      <c r="R53" s="214" t="s">
        <v>128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280</v>
      </c>
      <c r="V53" s="240">
        <f t="shared" si="15" ca="1"/>
        <v>560</v>
      </c>
      <c r="W53" s="241">
        <f t="shared" si="16" ca="1"/>
        <v>0.0023776568192046738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229</v>
      </c>
      <c r="BJ53" s="211">
        <f>IF((Table1612677686[[#This Row],[موقع العمل]]="المصنع"),280,IF((Table1612677686[[#This Row],[موقع العمل]]="الاسكندرية"),320,400))</f>
        <v>280</v>
      </c>
      <c r="BK53" s="211">
        <f>SUMIF(Table17697888[Column1],Table1612677686[[#This Row],[موقع العمل]],$AB$2:$AB$20)</f>
        <v>0</v>
      </c>
      <c r="BL53" s="211" t="s">
        <v>227</v>
      </c>
      <c r="BM53" s="214" t="s">
        <v>128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3"/>
        <v>0</v>
      </c>
      <c r="BR53" s="265">
        <f t="shared" si="14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">
      <c r="A54" s="200"/>
      <c r="L54" s="211">
        <v>3</v>
      </c>
      <c r="M54" s="219">
        <v>3</v>
      </c>
      <c r="N54" s="220" t="s">
        <v>229</v>
      </c>
      <c r="O54" s="211">
        <f>IF((Table16126776[[#This Row],[موقع العمل]]="المصنع"),280,IF((Table16126776[[#This Row],[موقع العمل]]="الاسكندرية"),320,400))</f>
        <v>280</v>
      </c>
      <c r="P54" s="211">
        <f>SUMIF(Table176978[Column1],Table16126776[[#This Row],[موقع العمل]],$AB$2:$AB$20)</f>
        <v>0</v>
      </c>
      <c r="Q54" s="211" t="s">
        <v>227</v>
      </c>
      <c r="R54" s="214" t="s">
        <v>128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5"/>
        <v>0</v>
      </c>
      <c r="W54" s="241">
        <f t="shared" si="16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230</v>
      </c>
      <c r="BJ54" s="211">
        <f>IF((Table1612677686[[#This Row],[موقع العمل]]="المصنع"),280,IF((Table1612677686[[#This Row],[موقع العمل]]="الاسكندرية"),320,400))</f>
        <v>280</v>
      </c>
      <c r="BK54" s="211">
        <f>SUMIF(Table17697888[Column1],Table1612677686[[#This Row],[موقع العمل]],$AB$2:$AB$20)</f>
        <v>0</v>
      </c>
      <c r="BL54" s="211" t="s">
        <v>227</v>
      </c>
      <c r="BM54" s="214" t="s">
        <v>128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560</v>
      </c>
      <c r="BQ54" s="240">
        <f t="shared" si="13" ca="1"/>
        <v>1680</v>
      </c>
      <c r="BR54" s="265">
        <f t="shared" si="14" ca="1"/>
        <v>0.0071329704576140211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">
      <c r="A55" s="200"/>
      <c r="L55" s="211">
        <v>4</v>
      </c>
      <c r="M55" s="212">
        <v>3</v>
      </c>
      <c r="N55" s="220" t="s">
        <v>230</v>
      </c>
      <c r="O55" s="211">
        <f>IF((Table16126776[[#This Row],[موقع العمل]]="المصنع"),280,IF((Table16126776[[#This Row],[موقع العمل]]="الاسكندرية"),320,400))</f>
        <v>280</v>
      </c>
      <c r="P55" s="211">
        <f>SUMIF(Table176978[Column1],Table16126776[[#This Row],[موقع العمل]],$AB$2:$AB$20)</f>
        <v>0</v>
      </c>
      <c r="Q55" s="211" t="s">
        <v>227</v>
      </c>
      <c r="R55" s="214" t="s">
        <v>128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560</v>
      </c>
      <c r="V55" s="240">
        <f t="shared" si="15" ca="1"/>
        <v>1680</v>
      </c>
      <c r="W55" s="241">
        <f t="shared" si="16" ca="1"/>
        <v>0.0071329704576140211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231</v>
      </c>
      <c r="BJ55" s="211">
        <f>IF((Table1612677686[[#This Row],[موقع العمل]]="المصنع"),280,IF((Table1612677686[[#This Row],[موقع العمل]]="الاسكندرية"),320,400))</f>
        <v>400</v>
      </c>
      <c r="BK55" s="211">
        <f>SUMIF(Table17697888[Column1],Table1612677686[[#This Row],[موقع العمل]],$AB$2:$AB$20)</f>
        <v>100</v>
      </c>
      <c r="BL55" s="211" t="str">
        <f>تسعير!$AT$44</f>
        <v>المقطم</v>
      </c>
      <c r="BM55" s="214" t="s">
        <v>128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5" s="240">
        <f t="shared" si="13" ca="1"/>
        <v>4000</v>
      </c>
      <c r="BR55" s="265">
        <f t="shared" si="14" ca="1"/>
        <v>0.016983262994319098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">
      <c r="A56" s="200"/>
      <c r="L56" s="211">
        <v>5</v>
      </c>
      <c r="M56" s="212">
        <v>4</v>
      </c>
      <c r="N56" s="220" t="s">
        <v>231</v>
      </c>
      <c r="O56" s="211">
        <f>IF((Table16126776[[#This Row],[موقع العمل]]="المصنع"),280,IF((Table16126776[[#This Row],[موقع العمل]]="الاسكندرية"),320,400))</f>
        <v>320</v>
      </c>
      <c r="P56" s="211">
        <f>SUMIF(Table176978[Column1],Table16126776[[#This Row],[موقع العمل]],$AB$2:$AB$20)</f>
        <v>0</v>
      </c>
      <c r="Q56" s="211" t="str">
        <f>تسعير!$AT$24</f>
        <v>الاسكندرية</v>
      </c>
      <c r="R56" s="214" t="s">
        <v>128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640</v>
      </c>
      <c r="V56" s="240">
        <f t="shared" si="15" ca="1"/>
        <v>2560</v>
      </c>
      <c r="W56" s="241">
        <f t="shared" si="16" ca="1"/>
        <v>0.010869288316364223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232</v>
      </c>
      <c r="BJ56" s="211">
        <f>IF((Table1612677686[[#This Row],[موقع العمل]]="المصنع"),280,IF((Table1612677686[[#This Row],[موقع العمل]]="الاسكندرية"),320,400))</f>
        <v>400</v>
      </c>
      <c r="BK56" s="211">
        <f>SUMIF(Table17697888[Column1],Table1612677686[[#This Row],[موقع العمل]],$AB$2:$AB$20)</f>
        <v>100</v>
      </c>
      <c r="BL56" s="211" t="str">
        <f>تسعير!$AT$44</f>
        <v>المقطم</v>
      </c>
      <c r="BM56" s="214" t="s">
        <v>128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6" s="240">
        <f t="shared" si="13" ca="1"/>
        <v>3000</v>
      </c>
      <c r="BR56" s="265">
        <f t="shared" si="14" ca="1"/>
        <v>0.012737447245739324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">
      <c r="A57" s="200"/>
      <c r="L57" s="211">
        <v>6</v>
      </c>
      <c r="M57" s="212">
        <v>3</v>
      </c>
      <c r="N57" s="220" t="s">
        <v>232</v>
      </c>
      <c r="O57" s="211">
        <f>IF((Table16126776[[#This Row],[موقع العمل]]="المصنع"),280,IF((Table16126776[[#This Row],[موقع العمل]]="الاسكندرية"),320,400))</f>
        <v>320</v>
      </c>
      <c r="P57" s="211">
        <f>SUMIF(Table176978[Column1],Table16126776[[#This Row],[موقع العمل]],$AB$2:$AB$20)</f>
        <v>0</v>
      </c>
      <c r="Q57" s="211" t="str">
        <f>تسعير!$AT$24</f>
        <v>الاسكندرية</v>
      </c>
      <c r="R57" s="214" t="s">
        <v>128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640</v>
      </c>
      <c r="V57" s="240">
        <f t="shared" si="15" ca="1"/>
        <v>1920</v>
      </c>
      <c r="W57" s="241">
        <f t="shared" si="16" ca="1"/>
        <v>0.0081519662372731665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233</v>
      </c>
      <c r="BJ57" s="211">
        <f>IF((Table1612677686[[#This Row],[موقع العمل]]="المصنع"),280,IF((Table1612677686[[#This Row],[موقع العمل]]="الاسكندرية"),320,400))</f>
        <v>400</v>
      </c>
      <c r="BK57" s="211">
        <f>SUMIF(Table17697888[Column1],Table1612677686[[#This Row],[موقع العمل]],$AB$2:$AB$20)</f>
        <v>100</v>
      </c>
      <c r="BL57" s="211" t="str">
        <f>تسعير!$AT$44</f>
        <v>المقطم</v>
      </c>
      <c r="BM57" s="214" t="s">
        <v>128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3"/>
        <v>0</v>
      </c>
      <c r="BR57" s="265">
        <f t="shared" si="14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">
      <c r="A58" s="200"/>
      <c r="L58" s="211">
        <v>7</v>
      </c>
      <c r="M58" s="212">
        <v>0</v>
      </c>
      <c r="N58" s="220" t="s">
        <v>233</v>
      </c>
      <c r="O58" s="211">
        <f>IF((Table16126776[[#This Row],[موقع العمل]]="المصنع"),280,IF((Table16126776[[#This Row],[موقع العمل]]="الاسكندرية"),320,400))</f>
        <v>320</v>
      </c>
      <c r="P58" s="211">
        <f>SUMIF(Table176978[Column1],Table16126776[[#This Row],[موقع العمل]],$AB$2:$AB$20)</f>
        <v>0</v>
      </c>
      <c r="Q58" s="211" t="str">
        <f>تسعير!$AT$24</f>
        <v>الاسكندرية</v>
      </c>
      <c r="R58" s="214" t="s">
        <v>128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5"/>
        <v>0</v>
      </c>
      <c r="W58" s="241">
        <f t="shared" si="16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234</v>
      </c>
      <c r="BJ58" s="211">
        <f>IF((Table1612677686[[#This Row],[موقع العمل]]="المصنع"),280,IF((Table1612677686[[#This Row],[موقع العمل]]="الاسكندرية"),320,400))</f>
        <v>400</v>
      </c>
      <c r="BK58" s="211">
        <f>SUMIF(Table17697888[Column1],Table1612677686[[#This Row],[موقع العمل]],$AB$2:$AB$20)</f>
        <v>100</v>
      </c>
      <c r="BL58" s="211" t="str">
        <f>تسعير!$AT$44</f>
        <v>المقطم</v>
      </c>
      <c r="BM58" s="214" t="s">
        <v>128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8" s="240">
        <f t="shared" si="13" ca="1"/>
        <v>4000</v>
      </c>
      <c r="BR58" s="265">
        <f t="shared" si="14" ca="1"/>
        <v>0.016983262994319098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">
      <c r="A59" s="200"/>
      <c r="L59" s="211">
        <v>8</v>
      </c>
      <c r="M59" s="212">
        <v>4</v>
      </c>
      <c r="N59" s="220" t="s">
        <v>234</v>
      </c>
      <c r="O59" s="211">
        <f>IF((Table16126776[[#This Row],[موقع العمل]]="المصنع"),280,IF((Table16126776[[#This Row],[موقع العمل]]="الاسكندرية"),320,400))</f>
        <v>320</v>
      </c>
      <c r="P59" s="211">
        <f>SUMIF(Table176978[Column1],Table16126776[[#This Row],[موقع العمل]],$AB$2:$AB$20)</f>
        <v>0</v>
      </c>
      <c r="Q59" s="211" t="str">
        <f>تسعير!$AT$24</f>
        <v>الاسكندرية</v>
      </c>
      <c r="R59" s="214" t="s">
        <v>128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640</v>
      </c>
      <c r="V59" s="240">
        <f t="shared" si="15" ca="1"/>
        <v>2560</v>
      </c>
      <c r="W59" s="241">
        <f t="shared" si="16" ca="1"/>
        <v>0.010869288316364223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235</v>
      </c>
      <c r="BJ59" s="211"/>
      <c r="BK59" s="211"/>
      <c r="BL59" s="211" t="str">
        <f>تسعير!$AT$44</f>
        <v>المقطم</v>
      </c>
      <c r="BM59" s="214"/>
      <c r="BN59" s="247">
        <f>SUMIF(Table17697888[Column1],Table1612677686[[#This Row],[موقع العمل]],$Z$2:$Z$20)</f>
        <v>320</v>
      </c>
      <c r="BO59" s="247"/>
      <c r="BP59" s="243">
        <f>Table1612677686[[#This Row],[Column12]]</f>
        <v>320</v>
      </c>
      <c r="BQ59" s="240">
        <f t="shared" si="13" ca="1"/>
        <v>7040</v>
      </c>
      <c r="BR59" s="265">
        <f t="shared" si="14" ca="1"/>
        <v>0.029890542870001615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">
      <c r="A60" s="200"/>
      <c r="L60" s="211">
        <v>9</v>
      </c>
      <c r="M60" s="212">
        <f>(M56+M57+M58+M59)*2</f>
        <v>22</v>
      </c>
      <c r="N60" s="220" t="s">
        <v>235</v>
      </c>
      <c r="O60" s="211"/>
      <c r="P60" s="211"/>
      <c r="Q60" s="211" t="str">
        <f>تسعير!$AT$24</f>
        <v>الاسكندرية</v>
      </c>
      <c r="R60" s="214"/>
      <c r="S60" s="247">
        <f>SUMIF(Table176978[Column1],Table16126776[[#This Row],[موقع العمل]],$Z$2:$Z$20)</f>
        <v>0</v>
      </c>
      <c r="T60" s="247"/>
      <c r="U60" s="243">
        <f>Table16126776[[#This Row],[Column12]]</f>
        <v>0</v>
      </c>
      <c r="V60" s="240">
        <f t="shared" si="15" ca="1"/>
        <v>0</v>
      </c>
      <c r="W60" s="241">
        <f t="shared" si="16" ca="1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236</v>
      </c>
      <c r="BJ60" s="211"/>
      <c r="BK60" s="211"/>
      <c r="BL60" s="211" t="str">
        <f>تسعير!$AT$44</f>
        <v>المقطم</v>
      </c>
      <c r="BM60" s="214"/>
      <c r="BN60" s="247">
        <f>SUMIF(Table17697888[Column1],Table1612677686[[#This Row],[موقع العمل]],$AA$2:$AA$20)</f>
        <v>400</v>
      </c>
      <c r="BO60" s="247"/>
      <c r="BP60" s="243">
        <f>Table1612677686[[#This Row],[Column12]]</f>
        <v>400</v>
      </c>
      <c r="BQ60" s="240">
        <f t="shared" si="13" ca="1"/>
        <v>3600</v>
      </c>
      <c r="BR60" s="265">
        <f t="shared" si="14" ca="1"/>
        <v>0.015284936694887188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">
      <c r="A61" s="200"/>
      <c r="L61" s="211">
        <v>10</v>
      </c>
      <c r="M61" s="212">
        <f>((T56+T57+T58+T59)*2)-3</f>
        <v>9</v>
      </c>
      <c r="N61" s="220" t="s">
        <v>236</v>
      </c>
      <c r="O61" s="211"/>
      <c r="P61" s="211"/>
      <c r="Q61" s="211" t="str">
        <f>تسعير!$AT$24</f>
        <v>الاسكندرية</v>
      </c>
      <c r="R61" s="214"/>
      <c r="S61" s="247">
        <f>SUMIF(Table176978[Column1],Table16126776[[#This Row],[موقع العمل]],$AA$2:$AA$20)</f>
        <v>0</v>
      </c>
      <c r="T61" s="247"/>
      <c r="U61" s="243">
        <f>Table16126776[[#This Row],[Column12]]</f>
        <v>0</v>
      </c>
      <c r="V61" s="240">
        <f t="shared" si="15" ca="1"/>
        <v>0</v>
      </c>
      <c r="W61" s="241">
        <f t="shared" si="16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237</v>
      </c>
      <c r="BJ61" s="211"/>
      <c r="BK61" s="211"/>
      <c r="BL61" s="211" t="str">
        <f>تسعير!$AT$44</f>
        <v>المقطم</v>
      </c>
      <c r="BM61" s="214"/>
      <c r="BN61" s="247">
        <f>SUMIF(Table17697888[Column1],Table1612677686[[#This Row],[موقع العمل]],$AC$2:$AC$20)</f>
        <v>3500</v>
      </c>
      <c r="BO61" s="247"/>
      <c r="BP61" s="243">
        <f>Table1612677686[[#This Row],[Column12]]</f>
        <v>3500</v>
      </c>
      <c r="BQ61" s="240">
        <f t="shared" si="13" ca="1"/>
        <v>0</v>
      </c>
      <c r="BR61" s="265">
        <f t="shared" si="14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">
      <c r="A62" s="200"/>
      <c r="L62" s="211">
        <v>11</v>
      </c>
      <c r="M62" s="212">
        <v>0</v>
      </c>
      <c r="N62" s="220" t="s">
        <v>237</v>
      </c>
      <c r="O62" s="211"/>
      <c r="P62" s="211"/>
      <c r="Q62" s="211" t="str">
        <f>تسعير!$AT$24</f>
        <v>الاسكندرية</v>
      </c>
      <c r="R62" s="214"/>
      <c r="S62" s="247">
        <f>SUMIF(Table176978[Column1],Table16126776[[#This Row],[موقع العمل]],$AC$2:$AC$20)</f>
        <v>1000</v>
      </c>
      <c r="T62" s="247"/>
      <c r="U62" s="243">
        <f>Table16126776[[#This Row],[Column12]]</f>
        <v>1000</v>
      </c>
      <c r="V62" s="240">
        <f t="shared" si="15" ca="1"/>
        <v>0</v>
      </c>
      <c r="W62" s="241">
        <f t="shared" si="16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238</v>
      </c>
      <c r="BJ62" s="211"/>
      <c r="BK62" s="211"/>
      <c r="BL62" s="211" t="str">
        <f>تسعير!$AT$44</f>
        <v>المقطم</v>
      </c>
      <c r="BM62" s="214"/>
      <c r="BN62" s="247">
        <f>SUMIF(Table17697888[Column1],Table1612677686[[#This Row],[موقع العمل]],$AD$2:$AD$20)</f>
        <v>6000</v>
      </c>
      <c r="BO62" s="247"/>
      <c r="BP62" s="243">
        <f>Table1612677686[[#This Row],[Column12]]</f>
        <v>6000</v>
      </c>
      <c r="BQ62" s="240">
        <f t="shared" si="13" ca="1"/>
        <v>12000</v>
      </c>
      <c r="BR62" s="265">
        <f t="shared" si="14" ca="1"/>
        <v>0.050949788982957295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">
      <c r="A63" s="200"/>
      <c r="L63" s="211">
        <v>12</v>
      </c>
      <c r="M63" s="212">
        <f>IF((تسعير!$AU$14="بالتات"),1,2)</f>
        <v>2</v>
      </c>
      <c r="N63" s="220" t="s">
        <v>238</v>
      </c>
      <c r="O63" s="211"/>
      <c r="P63" s="211"/>
      <c r="Q63" s="211" t="str">
        <f>تسعير!$AT$24</f>
        <v>الاسكندرية</v>
      </c>
      <c r="R63" s="214"/>
      <c r="S63" s="247">
        <f>SUMIF(Table176978[Column1],Table16126776[[#This Row],[موقع العمل]],$AD$2:$AD$20)</f>
        <v>2000</v>
      </c>
      <c r="T63" s="247"/>
      <c r="U63" s="243">
        <f>Table16126776[[#This Row],[Column12]]</f>
        <v>2000</v>
      </c>
      <c r="V63" s="240">
        <f t="shared" si="15" ca="1"/>
        <v>4000</v>
      </c>
      <c r="W63" s="241">
        <f t="shared" si="16" ca="1"/>
        <v>0.016983262994319098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108</v>
      </c>
      <c r="BJ63" s="211"/>
      <c r="BK63" s="211"/>
      <c r="BL63" s="211" t="str">
        <f>تسعير!$AT$44</f>
        <v>المقطم</v>
      </c>
      <c r="BM63" s="214"/>
      <c r="BN63" s="247">
        <f>SUMIF(Table17697888[Column1],Table1612677686[[#This Row],[موقع العمل]],$AE$2:$AE$8)</f>
        <v>150</v>
      </c>
      <c r="BO63" s="247"/>
      <c r="BP63" s="243">
        <f>Table1612677686[[#This Row],[Column12]]</f>
        <v>150</v>
      </c>
      <c r="BQ63" s="240">
        <f t="shared" si="13" ca="1"/>
        <v>1050</v>
      </c>
      <c r="BR63" s="265">
        <f t="shared" si="14" ca="1"/>
        <v>0.0044581065360087633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">
      <c r="A64" s="200"/>
      <c r="L64" s="211">
        <v>13</v>
      </c>
      <c r="M64" s="212">
        <f>IF((تسعير!$AU$14="بالتات"),0,M61-2)</f>
        <v>7</v>
      </c>
      <c r="N64" s="220" t="s">
        <v>108</v>
      </c>
      <c r="O64" s="211"/>
      <c r="P64" s="211"/>
      <c r="Q64" s="211" t="str">
        <f>تسعير!$AT$24</f>
        <v>الاسكندرية</v>
      </c>
      <c r="R64" s="214"/>
      <c r="S64" s="247">
        <f>SUMIF(Table176978[Column1],Table16126776[[#This Row],[موقع العمل]],$AE$2:$AE$8)</f>
        <v>0</v>
      </c>
      <c r="T64" s="247"/>
      <c r="U64" s="243">
        <f>Table16126776[[#This Row],[Column12]]</f>
        <v>0</v>
      </c>
      <c r="V64" s="240">
        <f t="shared" si="15" ca="1"/>
        <v>0</v>
      </c>
      <c r="W64" s="241">
        <f t="shared" si="16" ca="1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572" t="s">
        <v>92</v>
      </c>
      <c r="BH64" s="571"/>
      <c r="BI64" s="550" t="s">
        <v>92</v>
      </c>
      <c r="BJ64" s="572"/>
      <c r="BK64" s="572"/>
      <c r="BL64" s="573"/>
      <c r="BM64" s="573"/>
      <c r="BN64" s="574">
        <f>SUBTOTAL(109,Table1612677686[Column12])</f>
        <v>10370</v>
      </c>
      <c r="BO64" s="572"/>
      <c r="BP64" s="242"/>
      <c r="BQ64" s="575">
        <f>SUBTOTAL(109,Table1612677686[اجمالي])</f>
        <v>37490</v>
      </c>
      <c r="BR64" s="576">
        <f>Table1612677686[[#Totals],[اجمالي]]/$R$68</f>
        <v>0.15917563241425575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">
      <c r="A65" s="200"/>
      <c r="L65" s="572" t="s">
        <v>92</v>
      </c>
      <c r="M65" s="571"/>
      <c r="N65" s="550" t="s">
        <v>92</v>
      </c>
      <c r="O65" s="572"/>
      <c r="P65" s="572"/>
      <c r="Q65" s="573"/>
      <c r="R65" s="573"/>
      <c r="S65" s="574">
        <f>SUBTOTAL(109,Table16126776[Column12])</f>
        <v>3000</v>
      </c>
      <c r="T65" s="572"/>
      <c r="U65" s="242"/>
      <c r="V65" s="575">
        <f>SUBTOTAL(109,Table16126776[اجمالي])</f>
        <v>13840</v>
      </c>
      <c r="W65" s="576">
        <f>Table16126776[[#Totals],[اجمالي]]/$R$68</f>
        <v>0.058762089960344079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692"/>
      <c r="BK65" s="692"/>
      <c r="BL65" s="692"/>
      <c r="BM65" s="692"/>
      <c r="BN65" s="692"/>
      <c r="BO65" s="692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">
      <c r="A66" s="200"/>
      <c r="L66" s="216"/>
      <c r="M66" s="216"/>
      <c r="N66" s="217"/>
      <c r="O66" s="692"/>
      <c r="P66" s="692"/>
      <c r="Q66" s="692"/>
      <c r="R66" s="692"/>
      <c r="S66" s="692"/>
      <c r="T66" s="692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102</v>
      </c>
      <c r="BJ66" s="211" t="s">
        <v>239</v>
      </c>
      <c r="BK66" s="211" t="s">
        <v>240</v>
      </c>
      <c r="BL66" s="211" t="s">
        <v>184</v>
      </c>
      <c r="BM66" s="211" t="s">
        <v>121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">
      <c r="A67" s="200"/>
      <c r="L67" s="211"/>
      <c r="M67" s="211"/>
      <c r="N67" s="218" t="s">
        <v>102</v>
      </c>
      <c r="O67" s="211" t="s">
        <v>239</v>
      </c>
      <c r="P67" s="211" t="s">
        <v>240</v>
      </c>
      <c r="Q67" s="211" t="s">
        <v>184</v>
      </c>
      <c r="R67" s="211" t="s">
        <v>121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241</v>
      </c>
      <c r="BJ67" s="214"/>
      <c r="BK67" s="211"/>
      <c r="BL67" s="280"/>
      <c r="BM67" s="281">
        <f>Table1612677686[[#Totals],[اجمالي]]+Table1613687787[[#Totals],[اجمالي]]+Table13597166[[#Totals],[اجمالي]]+Table16627383[[#Totals],[اجمالي]]+Table15617282[[#Totals],[اجمالي]]+Table1588090[[#Totals],[اجمالي]]</f>
        <v>177433.16999999998</v>
      </c>
      <c r="BN67" s="211"/>
      <c r="BO67" s="211"/>
      <c r="BP67" s="243"/>
      <c r="BQ67" s="282"/>
      <c r="BR67" s="283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">
      <c r="A68" s="200"/>
      <c r="L68" s="211"/>
      <c r="M68" s="219"/>
      <c r="N68" s="213" t="s">
        <v>241</v>
      </c>
      <c r="O68" s="214"/>
      <c r="P68" s="211"/>
      <c r="Q68" s="280"/>
      <c r="R68" s="281">
        <f>Table16126776[[#Totals],[اجمالي]]+Table16136877[[#Totals],[اجمالي]]+Table135971[[#Totals],[اجمالي]]+Table166273[[#Totals],[اجمالي]]+Table156172[[#Totals],[اجمالي]]+Table15880[[#Totals],[اجمالي]]</f>
        <v>235526</v>
      </c>
      <c r="S68" s="211"/>
      <c r="T68" s="211"/>
      <c r="U68" s="243"/>
      <c r="V68" s="282"/>
      <c r="W68" s="283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2"/>
      <c r="BH68" s="273"/>
      <c r="BI68" s="274" t="s">
        <v>242</v>
      </c>
      <c r="BJ68" s="275"/>
      <c r="BK68" s="272"/>
      <c r="BL68" s="284">
        <f>IF((BL63="المقطم"),0.3,IF((BL63="التجمع"),0.3,IF((BL63="الشيخ زايد"),0.3,IF((BL63="الاسكندرية"),0.5,0.35))))</f>
        <v>0.3</v>
      </c>
      <c r="BM68" s="285">
        <f>BM67*(1+Table18707989[[#This Row],[Column3]])</f>
        <v>230663.12099999999</v>
      </c>
      <c r="BN68" s="272"/>
      <c r="BO68" s="272"/>
      <c r="BP68" s="286"/>
      <c r="BQ68" s="287"/>
      <c r="BR68" s="288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">
      <c r="A69" s="200"/>
      <c r="L69" s="272"/>
      <c r="M69" s="273"/>
      <c r="N69" s="274" t="s">
        <v>242</v>
      </c>
      <c r="O69" s="275"/>
      <c r="P69" s="272"/>
      <c r="Q69" s="284">
        <f>IF((Q64="المقطم"),0.3,IF((Q64="التجمع"),0.3,IF((Q64="الشيخ زايد"),0.3,IF((Q64="الاسكندرية"),0.5,0.35))))</f>
        <v>0.5</v>
      </c>
      <c r="R69" s="285">
        <f>R68*(1+Table187079[[#This Row],[Column3]])</f>
        <v>353289</v>
      </c>
      <c r="S69" s="272"/>
      <c r="T69" s="272"/>
      <c r="U69" s="286"/>
      <c r="V69" s="287"/>
      <c r="W69" s="288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90"/>
      <c r="AO69" s="290"/>
      <c r="AP69" s="290"/>
      <c r="AQ69" s="290"/>
      <c r="AR69" s="290"/>
      <c r="AS69" s="290"/>
      <c r="AT69" s="295"/>
      <c r="AU69" s="216"/>
      <c r="AV69" s="296"/>
      <c r="AW69" s="267"/>
      <c r="AX69" s="267"/>
      <c r="AY69" s="267"/>
      <c r="AZ69" s="267"/>
      <c r="BA69" s="267"/>
      <c r="BB69" s="267"/>
      <c r="BC69" s="267"/>
      <c r="BD69" s="267"/>
      <c r="BE69" s="267"/>
      <c r="BF69" s="267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">
      <c r="A70" s="266"/>
      <c r="B70" s="267"/>
      <c r="C70" s="267"/>
      <c r="D70" s="267"/>
      <c r="E70" s="267"/>
      <c r="F70" s="267"/>
      <c r="G70" s="267"/>
      <c r="H70" s="267"/>
      <c r="I70" s="267"/>
      <c r="J70" s="267"/>
      <c r="K70" s="267"/>
      <c r="X70" s="290"/>
      <c r="Y70" s="290"/>
      <c r="Z70" s="290"/>
      <c r="AA70" s="290"/>
      <c r="AB70" s="290"/>
      <c r="AC70" s="290"/>
      <c r="AD70" s="290"/>
      <c r="AE70" s="290"/>
      <c r="AF70" s="290"/>
      <c r="AG70" s="290"/>
      <c r="AH70" s="290"/>
      <c r="AI70" s="290"/>
      <c r="AJ70" s="290"/>
      <c r="AK70" s="290"/>
      <c r="AL70" s="290"/>
      <c r="AM70" s="290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687" t="s">
        <v>93</v>
      </c>
      <c r="BH71" s="687"/>
      <c r="BI71" s="687"/>
      <c r="BJ71" s="301" t="s">
        <v>94</v>
      </c>
      <c r="BK71" s="301" t="s">
        <v>95</v>
      </c>
      <c r="BL71" s="302" t="s">
        <v>96</v>
      </c>
      <c r="BM71" s="306" t="s">
        <v>97</v>
      </c>
      <c r="BN71" s="306" t="s">
        <v>98</v>
      </c>
      <c r="BO71" s="306" t="s">
        <v>99</v>
      </c>
      <c r="BP71" s="306" t="s">
        <v>100</v>
      </c>
      <c r="BQ71" s="306" t="s">
        <v>101</v>
      </c>
      <c r="BR71" s="226"/>
      <c r="BS71" s="290"/>
      <c r="BT71" s="290"/>
      <c r="BU71" s="290"/>
      <c r="BV71" s="290"/>
      <c r="BW71" s="290"/>
      <c r="BX71" s="290"/>
      <c r="BY71" s="290"/>
      <c r="BZ71" s="290"/>
      <c r="CA71" s="290"/>
      <c r="CB71" s="290"/>
      <c r="CC71" s="290"/>
      <c r="CD71" s="290"/>
      <c r="CE71" s="290"/>
      <c r="CF71" s="290"/>
      <c r="CG71" s="290"/>
      <c r="CH71" s="290"/>
      <c r="CI71" s="290"/>
      <c r="CJ71" s="290"/>
      <c r="CK71" s="290"/>
      <c r="CL71" s="290"/>
      <c r="CM71" s="290"/>
      <c r="CN71" s="290"/>
      <c r="CO71" s="295"/>
    </row>
    <row r="72" ht="21">
      <c r="A72" s="200"/>
      <c r="L72" s="687" t="s">
        <v>93</v>
      </c>
      <c r="M72" s="687"/>
      <c r="N72" s="687"/>
      <c r="O72" s="276" t="s">
        <v>94</v>
      </c>
      <c r="P72" s="276" t="s">
        <v>95</v>
      </c>
      <c r="Q72" s="289" t="s">
        <v>96</v>
      </c>
      <c r="R72" s="225" t="s">
        <v>97</v>
      </c>
      <c r="S72" s="225" t="s">
        <v>98</v>
      </c>
      <c r="T72" s="225" t="s">
        <v>99</v>
      </c>
      <c r="U72" s="225" t="s">
        <v>100</v>
      </c>
      <c r="V72" s="225" t="s">
        <v>101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68" t="s">
        <v>413</v>
      </c>
      <c r="AW72" s="269">
        <f>(BA72*AY72)/10000</f>
        <v>20</v>
      </c>
      <c r="AX72" s="270" t="s">
        <v>252</v>
      </c>
      <c r="AY72" s="271">
        <f>تسعير!BE54</f>
        <v>400</v>
      </c>
      <c r="AZ72" s="270" t="s">
        <v>213</v>
      </c>
      <c r="BA72" s="271">
        <f>تسعير!BE53</f>
        <v>500</v>
      </c>
      <c r="BC72" s="167"/>
      <c r="BD72" s="167" t="str">
        <f>تسعير!BE52</f>
        <v>بالتات</v>
      </c>
      <c r="BE72" s="167"/>
      <c r="BG72" s="694"/>
      <c r="BH72" s="694"/>
      <c r="BI72" s="694"/>
      <c r="BJ72" s="303"/>
      <c r="BK72" s="303"/>
      <c r="BL72" s="304">
        <f>BJ72*BK72</f>
        <v>0</v>
      </c>
      <c r="BM72" s="307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694"/>
      <c r="M73" s="694"/>
      <c r="N73" s="694"/>
      <c r="O73" s="277"/>
      <c r="P73" s="277"/>
      <c r="Q73" s="291">
        <f>O73*P73</f>
        <v>0</v>
      </c>
      <c r="R73" s="292" t="e">
        <f>R140/Q73</f>
        <v>#DIV/0!</v>
      </c>
      <c r="S73" s="293">
        <f>Sheet2!B12</f>
        <v>45000</v>
      </c>
      <c r="T73" s="293">
        <f>Sheet2!B13</f>
        <v>50000</v>
      </c>
      <c r="U73" s="293">
        <f>Sheet2!B14</f>
        <v>202000</v>
      </c>
      <c r="V73" s="293">
        <f>Sheet2!B15</f>
        <v>70000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102</v>
      </c>
      <c r="AW73" s="194" t="s">
        <v>32</v>
      </c>
      <c r="AX73" s="194" t="s">
        <v>378</v>
      </c>
      <c r="AY73" s="194" t="s">
        <v>121</v>
      </c>
      <c r="AZ73" s="194" t="s">
        <v>379</v>
      </c>
      <c r="BA73" s="194" t="s">
        <v>380</v>
      </c>
      <c r="BB73" s="167"/>
      <c r="BC73" s="198" t="s">
        <v>8</v>
      </c>
      <c r="BD73" s="198"/>
      <c r="BE73" s="198" t="s">
        <v>381</v>
      </c>
      <c r="BF73" s="167"/>
      <c r="BG73" s="696" t="s">
        <v>110</v>
      </c>
      <c r="BH73" s="696"/>
      <c r="BI73" s="305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294" t="s">
        <v>111</v>
      </c>
      <c r="BM73" s="685">
        <f>NOW()</f>
        <v>46060.582549618055</v>
      </c>
      <c r="BN73" s="685"/>
      <c r="BO73" s="685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32" t="s">
        <v>375</v>
      </c>
      <c r="B74" s="533">
        <f>(F74*D74)/10000</f>
        <v>8.64</v>
      </c>
      <c r="C74" s="534" t="s">
        <v>252</v>
      </c>
      <c r="D74" s="535">
        <f>تسعير!BE34</f>
        <v>270</v>
      </c>
      <c r="E74" s="534" t="s">
        <v>213</v>
      </c>
      <c r="F74" s="535">
        <f>تسعير!BE33</f>
        <v>320</v>
      </c>
      <c r="G74" s="534" t="s">
        <v>376</v>
      </c>
      <c r="H74" s="535" t="str">
        <f>تسعير!BE26</f>
        <v>سادة</v>
      </c>
      <c r="I74" s="549" t="str">
        <f>تسعير!BE32</f>
        <v>قواعد عادية</v>
      </c>
      <c r="J74" s="536"/>
      <c r="K74" s="167"/>
      <c r="L74" s="695" t="s">
        <v>110</v>
      </c>
      <c r="M74" s="695"/>
      <c r="N74" s="278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B12</v>
      </c>
      <c r="O74" s="207"/>
      <c r="P74" s="207"/>
      <c r="Q74" s="294" t="s">
        <v>111</v>
      </c>
      <c r="R74" s="685">
        <f>NOW()</f>
        <v>46060.582549618055</v>
      </c>
      <c r="S74" s="685"/>
      <c r="T74" s="685"/>
      <c r="U74" s="235"/>
      <c r="V74" s="235"/>
      <c r="W74" s="235"/>
      <c r="X74" s="207"/>
      <c r="Y74" s="207" t="s">
        <v>102</v>
      </c>
      <c r="Z74" s="207" t="s">
        <v>103</v>
      </c>
      <c r="AA74" s="207" t="s">
        <v>104</v>
      </c>
      <c r="AB74" s="207" t="s">
        <v>105</v>
      </c>
      <c r="AC74" s="207" t="s">
        <v>106</v>
      </c>
      <c r="AD74" s="207" t="s">
        <v>107</v>
      </c>
      <c r="AE74" s="207" t="s">
        <v>108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382</v>
      </c>
      <c r="AW74" s="196">
        <f>ROUNDUP((12+((ROUNDUP((AY72-210),18))/18)),0)</f>
        <v>23</v>
      </c>
      <c r="AX74" s="197">
        <f>BA72-16.5</f>
        <v>483.5</v>
      </c>
      <c r="AY74" s="194" t="s">
        <v>84</v>
      </c>
      <c r="AZ74" s="194">
        <v>2</v>
      </c>
      <c r="BA74" s="194">
        <f>IF((تسعير!$BE$46="سادة"),(BE74*BC74*AZ74*(Sheet2!$B$14+(Sheet2!B41*1000))/1000),(BE74*BC74*AZ74*(Sheet2!$B$14+Sheet2!$B$15)/1000))</f>
        <v>62560</v>
      </c>
      <c r="BC74" s="198">
        <f>CEILING(Table80102113[[#This Row],[طول]]/100,0.5)</f>
        <v>5</v>
      </c>
      <c r="BD74" s="298">
        <f>(BC74*100)/AX74</f>
        <v>1.0341261633919339</v>
      </c>
      <c r="BE74" s="185">
        <f>AW74/(ROUNDDOWN(BD74,0))</f>
        <v>23</v>
      </c>
      <c r="BG74" s="208"/>
      <c r="BH74" s="208"/>
      <c r="BI74" s="209"/>
      <c r="BJ74" s="681" t="s">
        <v>113</v>
      </c>
      <c r="BK74" s="681"/>
      <c r="BL74" s="681"/>
      <c r="BM74" s="681"/>
      <c r="BN74" s="681"/>
      <c r="BO74" s="681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">
      <c r="A75" s="537" t="s">
        <v>102</v>
      </c>
      <c r="B75" s="538" t="s">
        <v>32</v>
      </c>
      <c r="C75" s="538" t="s">
        <v>378</v>
      </c>
      <c r="D75" s="538" t="s">
        <v>121</v>
      </c>
      <c r="E75" s="538" t="s">
        <v>379</v>
      </c>
      <c r="F75" s="538" t="s">
        <v>380</v>
      </c>
      <c r="G75" s="528"/>
      <c r="H75" s="539" t="s">
        <v>8</v>
      </c>
      <c r="I75" s="539"/>
      <c r="J75" s="539" t="s">
        <v>381</v>
      </c>
      <c r="L75" s="208"/>
      <c r="M75" s="208"/>
      <c r="N75" s="209"/>
      <c r="O75" s="681" t="s">
        <v>113</v>
      </c>
      <c r="P75" s="681"/>
      <c r="Q75" s="681"/>
      <c r="R75" s="681"/>
      <c r="S75" s="681"/>
      <c r="T75" s="681"/>
      <c r="U75" s="236"/>
      <c r="V75" s="236"/>
      <c r="W75" s="236"/>
      <c r="X75" s="207"/>
      <c r="Y75" s="216" t="s">
        <v>109</v>
      </c>
      <c r="Z75" s="216">
        <v>0</v>
      </c>
      <c r="AA75" s="216">
        <v>0</v>
      </c>
      <c r="AB75" s="216">
        <v>0</v>
      </c>
      <c r="AC75" s="216">
        <v>1000</v>
      </c>
      <c r="AD75" s="216">
        <v>2000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383</v>
      </c>
      <c r="AW75" s="194">
        <v>2</v>
      </c>
      <c r="AX75" s="196">
        <f>BA72</f>
        <v>500</v>
      </c>
      <c r="AY75" s="194" t="s">
        <v>84</v>
      </c>
      <c r="AZ75" s="194">
        <v>1.7</v>
      </c>
      <c r="BA75" s="194">
        <f>IF((تسعير!$BE$46="سادة"),(BE75*BC75*AZ75*(Sheet2!$B$14+(Sheet2!B41*1000))/1000),(BE75*BC75*AZ75*(Sheet2!$B$14+Sheet2!$B$15)/1000))</f>
        <v>4624</v>
      </c>
      <c r="BC75" s="198">
        <f>CEILING(Table80102113[[#This Row],[طول]]/100,0.5)</f>
        <v>5</v>
      </c>
      <c r="BD75" s="298">
        <f>(BC75*100)/AX75</f>
        <v>1</v>
      </c>
      <c r="BE75" s="185">
        <f>AW75/(ROUNDDOWN(BD75,0))</f>
        <v>2</v>
      </c>
      <c r="BG75" s="208" t="s">
        <v>19</v>
      </c>
      <c r="BH75" s="208" t="s">
        <v>32</v>
      </c>
      <c r="BI75" s="210" t="s">
        <v>120</v>
      </c>
      <c r="BJ75" s="208" t="s">
        <v>121</v>
      </c>
      <c r="BK75" s="208" t="s">
        <v>102</v>
      </c>
      <c r="BL75" s="208" t="s">
        <v>122</v>
      </c>
      <c r="BM75" s="237" t="s">
        <v>21</v>
      </c>
      <c r="BN75" s="237" t="s">
        <v>12</v>
      </c>
      <c r="BO75" s="237" t="s">
        <v>386</v>
      </c>
      <c r="BP75" s="237" t="s">
        <v>124</v>
      </c>
      <c r="BQ75" s="238" t="s">
        <v>125</v>
      </c>
      <c r="BR75" s="237" t="s">
        <v>126</v>
      </c>
      <c r="BS75" s="207"/>
      <c r="BT75" s="207" t="s">
        <v>102</v>
      </c>
      <c r="BU75" s="207" t="s">
        <v>103</v>
      </c>
      <c r="BV75" s="207" t="s">
        <v>104</v>
      </c>
      <c r="BW75" s="207" t="s">
        <v>105</v>
      </c>
      <c r="BX75" s="207" t="s">
        <v>106</v>
      </c>
      <c r="BY75" s="207" t="s">
        <v>107</v>
      </c>
      <c r="BZ75" s="207" t="s">
        <v>108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">
      <c r="A76" s="537" t="s">
        <v>382</v>
      </c>
      <c r="B76" s="540">
        <f>ROUNDUP((12+((ROUNDUP((D74-210),15))/15)),0)</f>
        <v>16</v>
      </c>
      <c r="C76" s="541">
        <f>F74-16.5</f>
        <v>303.5</v>
      </c>
      <c r="D76" s="538" t="s">
        <v>84</v>
      </c>
      <c r="E76" s="538">
        <v>2.3</v>
      </c>
      <c r="F76" s="538">
        <f>IF(($H$74="سادة"),(J76*H76*E76*($U$73+(Sheet2!B41*1000))/1000),(J76*H76*E76*($U$73+(Sheet2!B15))/1000))</f>
        <v>29237.599999999995</v>
      </c>
      <c r="G76" s="528"/>
      <c r="H76" s="539">
        <f>CEILING(Table80102114115[[#This Row],[طول]]/100,0.5)</f>
        <v>3.5</v>
      </c>
      <c r="I76" s="279">
        <f ref="I76:I81" t="shared" si="19">(H76*100)/C76</f>
        <v>1.1532125205930808</v>
      </c>
      <c r="J76" s="542">
        <f ref="J76:J81" t="shared" si="20">B76/(ROUNDDOWN(I76,0))</f>
        <v>16</v>
      </c>
      <c r="L76" s="208" t="s">
        <v>19</v>
      </c>
      <c r="M76" s="208" t="s">
        <v>32</v>
      </c>
      <c r="N76" s="210" t="s">
        <v>120</v>
      </c>
      <c r="O76" s="208" t="s">
        <v>121</v>
      </c>
      <c r="P76" s="208" t="s">
        <v>102</v>
      </c>
      <c r="Q76" s="208" t="s">
        <v>122</v>
      </c>
      <c r="R76" s="237" t="s">
        <v>21</v>
      </c>
      <c r="S76" s="237" t="s">
        <v>12</v>
      </c>
      <c r="T76" s="237" t="s">
        <v>386</v>
      </c>
      <c r="U76" s="237" t="s">
        <v>124</v>
      </c>
      <c r="V76" s="238" t="s">
        <v>125</v>
      </c>
      <c r="W76" s="237" t="s">
        <v>126</v>
      </c>
      <c r="X76" s="207"/>
      <c r="Y76" s="216" t="s">
        <v>112</v>
      </c>
      <c r="Z76" s="216">
        <v>180</v>
      </c>
      <c r="AA76" s="216">
        <v>300</v>
      </c>
      <c r="AB76" s="216">
        <v>125</v>
      </c>
      <c r="AC76" s="216">
        <v>3000</v>
      </c>
      <c r="AD76" s="216">
        <v>5000</v>
      </c>
      <c r="AE76" s="216">
        <v>1000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102</v>
      </c>
      <c r="AP76" s="207" t="s">
        <v>121</v>
      </c>
      <c r="AQ76" s="207" t="s">
        <v>184</v>
      </c>
      <c r="AR76" s="207" t="s">
        <v>119</v>
      </c>
      <c r="AS76" s="207" t="s">
        <v>259</v>
      </c>
      <c r="AT76" s="255"/>
      <c r="AU76" s="216"/>
      <c r="AV76" s="193" t="s">
        <v>385</v>
      </c>
      <c r="AW76" s="194">
        <v>2</v>
      </c>
      <c r="AX76" s="196">
        <f>AY72</f>
        <v>400</v>
      </c>
      <c r="AY76" s="194" t="s">
        <v>84</v>
      </c>
      <c r="AZ76" s="194">
        <v>1.7</v>
      </c>
      <c r="BA76" s="194">
        <f>IF((تسعير!$BE$46="سادة"),(BE76*BC76*AZ76*(Sheet2!$B$14+(Sheet2!B41*1000))/1000),(BE76*BC76*AZ76*(Sheet2!$B$14+Sheet2!$B$15)/1000))</f>
        <v>3699.2</v>
      </c>
      <c r="BB76" s="187"/>
      <c r="BC76" s="198">
        <f>CEILING(Table80102113[[#This Row],[طول]]/100,0.5)</f>
        <v>4</v>
      </c>
      <c r="BD76" s="298">
        <f>(BC76*100)/AX76</f>
        <v>1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390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3780</v>
      </c>
      <c r="BQ76" s="240">
        <f>BH76*BP76</f>
        <v>7560</v>
      </c>
      <c r="BR76" s="241">
        <f>(BQ76)/$R$68</f>
        <v>0.0320983670592631</v>
      </c>
      <c r="BS76" s="207"/>
      <c r="BT76" s="216" t="s">
        <v>109</v>
      </c>
      <c r="BU76" s="216">
        <v>0</v>
      </c>
      <c r="BV76" s="216">
        <v>0</v>
      </c>
      <c r="BW76" s="216">
        <v>0</v>
      </c>
      <c r="BX76" s="216">
        <v>1000</v>
      </c>
      <c r="BY76" s="216">
        <v>2000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">
      <c r="A77" s="537" t="s">
        <v>383</v>
      </c>
      <c r="B77" s="538">
        <v>2</v>
      </c>
      <c r="C77" s="540">
        <f>F74</f>
        <v>320</v>
      </c>
      <c r="D77" s="538" t="s">
        <v>84</v>
      </c>
      <c r="E77" s="538">
        <v>3.8</v>
      </c>
      <c r="F77" s="538">
        <f>IF(($H$74="سادة"),(J77*H77*E77*($U$73+(Sheet2!B41*1000))/1000),(J77*H77*E77*($U$73+(Sheet2!B15))/1000))</f>
        <v>6038.1999999999989</v>
      </c>
      <c r="G77" s="543"/>
      <c r="H77" s="539">
        <f>CEILING(Table80102114115[[#This Row],[طول]]/100,0.5)</f>
        <v>3.5</v>
      </c>
      <c r="I77" s="279">
        <f t="shared" si="19"/>
        <v>1.09375</v>
      </c>
      <c r="J77" s="542">
        <f t="shared" si="20"/>
        <v>2</v>
      </c>
      <c r="K77" s="187"/>
      <c r="L77" s="211">
        <v>1</v>
      </c>
      <c r="M77" s="212">
        <f>IF(OR((N74="a11"),(N74="a112"),(N74="a21"),(N74="a22"),(N74="a31"),(N74="a32")),2,4)</f>
        <v>4</v>
      </c>
      <c r="N77" s="213" t="s">
        <v>390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14.399999999999999</v>
      </c>
      <c r="R77" s="211"/>
      <c r="S77" s="211">
        <v>84</v>
      </c>
      <c r="T77" s="211">
        <f>Table15880101[[#This Row],[المسطح]]*Table15880101[[#This Row],[عدد]]</f>
        <v>57.599999999999994</v>
      </c>
      <c r="U77" s="239">
        <f>S77*$S$2/1000</f>
        <v>3780</v>
      </c>
      <c r="V77" s="240">
        <f>M77*U77</f>
        <v>15120</v>
      </c>
      <c r="W77" s="241">
        <f>(V77)/$R$68</f>
        <v>0.0641967341185262</v>
      </c>
      <c r="X77" s="207"/>
      <c r="Y77" s="216" t="s">
        <v>114</v>
      </c>
      <c r="Z77" s="216">
        <v>400</v>
      </c>
      <c r="AA77" s="216">
        <v>400</v>
      </c>
      <c r="AB77" s="216">
        <v>100</v>
      </c>
      <c r="AC77" s="216">
        <v>3500</v>
      </c>
      <c r="AD77" s="216">
        <v>6000</v>
      </c>
      <c r="AE77" s="216">
        <v>150</v>
      </c>
      <c r="AF77" s="207" t="s">
        <v>115</v>
      </c>
      <c r="AG77" s="207"/>
      <c r="AH77" s="207"/>
      <c r="AI77" s="207"/>
      <c r="AJ77" s="207" t="s">
        <v>116</v>
      </c>
      <c r="AK77" s="207" t="s">
        <v>117</v>
      </c>
      <c r="AL77" s="207" t="s">
        <v>118</v>
      </c>
      <c r="AM77" s="207" t="s">
        <v>119</v>
      </c>
      <c r="AN77" s="207"/>
      <c r="AO77" s="207" t="s">
        <v>261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389</v>
      </c>
      <c r="AW77" s="194">
        <v>1</v>
      </c>
      <c r="AX77" s="194">
        <f>(15.6*(AW74-1)+4)</f>
        <v>347.2</v>
      </c>
      <c r="AY77" s="194" t="s">
        <v>84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392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1665</v>
      </c>
      <c r="BQ77" s="240">
        <f>BH77*BP77</f>
        <v>6660</v>
      </c>
      <c r="BR77" s="241">
        <f>(BQ77)/$R$68</f>
        <v>0.0282771328855413</v>
      </c>
      <c r="BS77" s="207"/>
      <c r="BT77" s="216" t="s">
        <v>112</v>
      </c>
      <c r="BU77" s="216">
        <v>180</v>
      </c>
      <c r="BV77" s="216">
        <v>300</v>
      </c>
      <c r="BW77" s="216">
        <v>125</v>
      </c>
      <c r="BX77" s="216">
        <v>3000</v>
      </c>
      <c r="BY77" s="216">
        <v>5000</v>
      </c>
      <c r="BZ77" s="216">
        <v>1000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">
      <c r="A78" s="537" t="s">
        <v>385</v>
      </c>
      <c r="B78" s="538">
        <v>2</v>
      </c>
      <c r="C78" s="540">
        <f>D74</f>
        <v>270</v>
      </c>
      <c r="D78" s="538" t="s">
        <v>84</v>
      </c>
      <c r="E78" s="538">
        <v>3.8</v>
      </c>
      <c r="F78" s="538">
        <f>IF(($H$74="سادة"),(J78*H78*E78*($U$73+(Sheet2!B41*1000))/1000),(J78*H78*E78*($U$73+(Sheet2!B15))/1000))</f>
        <v>5175.5999999999995</v>
      </c>
      <c r="G78" s="543"/>
      <c r="H78" s="539">
        <f>CEILING(Table80102114115[[#This Row],[طول]]/100,0.5)</f>
        <v>3</v>
      </c>
      <c r="I78" s="279">
        <f t="shared" si="19"/>
        <v>1.1111111111111112</v>
      </c>
      <c r="J78" s="542">
        <f t="shared" si="20"/>
        <v>2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8" s="213" t="s">
        <v>392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7.2000000000000011</v>
      </c>
      <c r="R78" s="211"/>
      <c r="S78" s="211">
        <v>37</v>
      </c>
      <c r="T78" s="211">
        <f>Table15880101[[#This Row],[المسطح]]*Table15880101[[#This Row],[عدد]]</f>
        <v>21.6</v>
      </c>
      <c r="U78" s="239">
        <f>S78*$S$2/1000</f>
        <v>1665</v>
      </c>
      <c r="V78" s="240">
        <f>M78*U78</f>
        <v>4995</v>
      </c>
      <c r="W78" s="241">
        <f>(V78)/$R$68</f>
        <v>0.021207849664155974</v>
      </c>
      <c r="X78" s="207"/>
      <c r="Y78" s="216" t="s">
        <v>127</v>
      </c>
      <c r="Z78" s="216">
        <v>400</v>
      </c>
      <c r="AA78" s="216">
        <v>400</v>
      </c>
      <c r="AB78" s="216">
        <v>100</v>
      </c>
      <c r="AC78" s="216">
        <v>3500</v>
      </c>
      <c r="AD78" s="216">
        <v>6000</v>
      </c>
      <c r="AE78" s="216">
        <v>150</v>
      </c>
      <c r="AF78" s="207" t="s">
        <v>128</v>
      </c>
      <c r="AG78" s="207"/>
      <c r="AH78" s="207"/>
      <c r="AI78" s="207"/>
      <c r="AJ78" s="233" t="s">
        <v>129</v>
      </c>
      <c r="AK78" s="233">
        <v>0.4</v>
      </c>
      <c r="AL78" s="237" t="s">
        <v>130</v>
      </c>
      <c r="AM78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78" s="216"/>
      <c r="AO78" s="216" t="s">
        <v>263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393</v>
      </c>
      <c r="AW78" s="194"/>
      <c r="AX78" s="194">
        <f>AW74*2</f>
        <v>46</v>
      </c>
      <c r="AY78" s="194" t="s">
        <v>32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414</v>
      </c>
      <c r="BJ78" s="214">
        <v>0.07</v>
      </c>
      <c r="BK78" s="214">
        <v>0.07</v>
      </c>
      <c r="BL78" s="211">
        <f>(Table15880101112[[#This Row],[Column1]]+Table15880101112[[#This Row],[Column2]])*12*Table15880101112[[#This Row],[عدد]]</f>
        <v>6.7200000000000006</v>
      </c>
      <c r="BM78" s="211"/>
      <c r="BN78" s="211">
        <v>44</v>
      </c>
      <c r="BO78" s="211">
        <f>Table15880101112[[#This Row],[المسطح]]*Table15880101112[[#This Row],[عدد]]</f>
        <v>26.880000000000003</v>
      </c>
      <c r="BP78" s="239">
        <f>BN78*$S$2/1000</f>
        <v>1980</v>
      </c>
      <c r="BQ78" s="240">
        <f>BH78*BP78</f>
        <v>7920</v>
      </c>
      <c r="BR78" s="241">
        <f>(BQ78)/$R$68</f>
        <v>0.033626860728751817</v>
      </c>
      <c r="BS78" s="207"/>
      <c r="BT78" s="216" t="s">
        <v>114</v>
      </c>
      <c r="BU78" s="216">
        <v>400</v>
      </c>
      <c r="BV78" s="216">
        <v>400</v>
      </c>
      <c r="BW78" s="216">
        <v>100</v>
      </c>
      <c r="BX78" s="216">
        <v>3500</v>
      </c>
      <c r="BY78" s="216">
        <v>6000</v>
      </c>
      <c r="BZ78" s="216">
        <v>150</v>
      </c>
      <c r="CA78" s="207" t="s">
        <v>115</v>
      </c>
      <c r="CB78" s="207"/>
      <c r="CC78" s="207"/>
      <c r="CD78" s="207"/>
      <c r="CE78" s="207" t="s">
        <v>116</v>
      </c>
      <c r="CF78" s="207" t="s">
        <v>117</v>
      </c>
      <c r="CG78" s="207" t="s">
        <v>118</v>
      </c>
      <c r="CH78" s="207" t="s">
        <v>119</v>
      </c>
      <c r="CI78" s="207"/>
      <c r="CJ78" s="207" t="s">
        <v>102</v>
      </c>
      <c r="CK78" s="207" t="s">
        <v>121</v>
      </c>
      <c r="CL78" s="207" t="s">
        <v>184</v>
      </c>
      <c r="CM78" s="207" t="s">
        <v>119</v>
      </c>
      <c r="CN78" s="207" t="s">
        <v>259</v>
      </c>
      <c r="CO78" s="255"/>
    </row>
    <row r="79" ht="18">
      <c r="A79" s="537" t="s">
        <v>387</v>
      </c>
      <c r="B79" s="538">
        <v>2</v>
      </c>
      <c r="C79" s="540">
        <f>F74</f>
        <v>320</v>
      </c>
      <c r="D79" s="538" t="s">
        <v>84</v>
      </c>
      <c r="E79" s="538">
        <v>1.7</v>
      </c>
      <c r="F79" s="538">
        <f>IF(($H$74="سادة"),(J79*H79*E79*($U$73+(Sheet2!B41*1000))/1000),(J79*H79*E79*($U$73+(Sheet2!B15))/1000))</f>
        <v>2701.3</v>
      </c>
      <c r="G79" s="543"/>
      <c r="H79" s="539">
        <f>CEILING(Table80102114115[[#This Row],[طول]]/100,0.5)</f>
        <v>3.5</v>
      </c>
      <c r="I79" s="279">
        <f t="shared" si="19"/>
        <v>1.09375</v>
      </c>
      <c r="J79" s="542">
        <f t="shared" si="20"/>
        <v>2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9" s="213" t="s">
        <v>414</v>
      </c>
      <c r="O79" s="214">
        <v>0.07</v>
      </c>
      <c r="P79" s="214">
        <v>0.07</v>
      </c>
      <c r="Q79" s="211">
        <f>(Table15880101[[#This Row],[Column1]]+Table15880101[[#This Row],[Column2]])*12*Table15880101[[#This Row],[عدد]]</f>
        <v>5.0400000000000009</v>
      </c>
      <c r="R79" s="211"/>
      <c r="S79" s="211">
        <v>44</v>
      </c>
      <c r="T79" s="211">
        <f>Table15880101[[#This Row],[المسطح]]*Table15880101[[#This Row],[عدد]]</f>
        <v>15.120000000000003</v>
      </c>
      <c r="U79" s="239">
        <f>S79*$S$2/1000</f>
        <v>1980</v>
      </c>
      <c r="V79" s="240">
        <f>M79*U79</f>
        <v>5940</v>
      </c>
      <c r="W79" s="241">
        <f>(V79)/$R$68</f>
        <v>0.025220145546563863</v>
      </c>
      <c r="X79" s="216"/>
      <c r="Y79" s="216" t="s">
        <v>133</v>
      </c>
      <c r="Z79" s="216">
        <v>320</v>
      </c>
      <c r="AA79" s="216">
        <v>400</v>
      </c>
      <c r="AB79" s="216">
        <v>100</v>
      </c>
      <c r="AC79" s="216">
        <v>3500</v>
      </c>
      <c r="AD79" s="216">
        <v>6000</v>
      </c>
      <c r="AE79" s="216">
        <v>150</v>
      </c>
      <c r="AF79" s="216"/>
      <c r="AG79" s="216"/>
      <c r="AH79" s="216"/>
      <c r="AI79" s="216"/>
      <c r="AJ79" s="216" t="s">
        <v>134</v>
      </c>
      <c r="AK79" s="216">
        <v>0.25</v>
      </c>
      <c r="AL79" s="216" t="s">
        <v>135</v>
      </c>
      <c r="AM79" s="216">
        <f>AM78*Table6637495[[#This Row],[المعدل]]+4</f>
        <v>4</v>
      </c>
      <c r="AN79" s="216"/>
      <c r="AO79" s="216" t="s">
        <v>265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396</v>
      </c>
      <c r="AW79" s="194"/>
      <c r="AX79" s="194">
        <f>AW74*2</f>
        <v>46</v>
      </c>
      <c r="AY79" s="194" t="s">
        <v>32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390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3780</v>
      </c>
      <c r="BQ79" s="240">
        <f>BH79*BP79</f>
        <v>0</v>
      </c>
      <c r="BR79" s="241">
        <f>(BQ79)/$R$68</f>
        <v>0</v>
      </c>
      <c r="BS79" s="207"/>
      <c r="BT79" s="216" t="s">
        <v>127</v>
      </c>
      <c r="BU79" s="216">
        <v>400</v>
      </c>
      <c r="BV79" s="216">
        <v>400</v>
      </c>
      <c r="BW79" s="216">
        <v>100</v>
      </c>
      <c r="BX79" s="216">
        <v>3500</v>
      </c>
      <c r="BY79" s="216">
        <v>6000</v>
      </c>
      <c r="BZ79" s="216">
        <v>150</v>
      </c>
      <c r="CA79" s="207" t="s">
        <v>128</v>
      </c>
      <c r="CB79" s="207"/>
      <c r="CC79" s="207"/>
      <c r="CD79" s="207"/>
      <c r="CE79" s="233" t="s">
        <v>129</v>
      </c>
      <c r="CF79" s="233">
        <v>0.4</v>
      </c>
      <c r="CG79" s="237" t="s">
        <v>130</v>
      </c>
      <c r="CH79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79" s="207"/>
      <c r="CJ79" s="207" t="s">
        <v>261</v>
      </c>
      <c r="CK79" s="207">
        <v>0.03</v>
      </c>
      <c r="CL79" s="207">
        <v>0.03</v>
      </c>
      <c r="CM79" s="207"/>
      <c r="CN79" s="207"/>
      <c r="CO79" s="255"/>
    </row>
    <row r="80" ht="18">
      <c r="A80" s="537" t="s">
        <v>391</v>
      </c>
      <c r="B80" s="538">
        <v>2</v>
      </c>
      <c r="C80" s="540">
        <f>D74</f>
        <v>270</v>
      </c>
      <c r="D80" s="538" t="s">
        <v>84</v>
      </c>
      <c r="E80" s="538">
        <v>1.7</v>
      </c>
      <c r="F80" s="538">
        <f>IF(($H$74="سادة"),(J80*H80*E80*($U$73+(Sheet2!B41*1000))/1000),(J80*H80*E80*($U$73+(Sheet2!B15))/1000))</f>
        <v>2315.4</v>
      </c>
      <c r="G80" s="543"/>
      <c r="H80" s="539">
        <f>CEILING(Table80102114115[[#This Row],[طول]]/100,0.5)</f>
        <v>3</v>
      </c>
      <c r="I80" s="279">
        <f t="shared" si="19"/>
        <v>1.1111111111111112</v>
      </c>
      <c r="J80" s="542">
        <f t="shared" si="20"/>
        <v>2</v>
      </c>
      <c r="K80" s="187"/>
      <c r="L80" s="211">
        <v>4</v>
      </c>
      <c r="M80" s="212">
        <v>0</v>
      </c>
      <c r="N80" s="213" t="s">
        <v>390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3780</v>
      </c>
      <c r="V80" s="240">
        <f>M80*U80</f>
        <v>0</v>
      </c>
      <c r="W80" s="241">
        <f>(V80)/$R$68</f>
        <v>0</v>
      </c>
      <c r="X80" s="216"/>
      <c r="Y80" s="216" t="s">
        <v>137</v>
      </c>
      <c r="Z80" s="216">
        <v>250</v>
      </c>
      <c r="AA80" s="216">
        <v>400</v>
      </c>
      <c r="AB80" s="216">
        <v>100</v>
      </c>
      <c r="AC80" s="216">
        <v>5000</v>
      </c>
      <c r="AD80" s="216">
        <v>8000</v>
      </c>
      <c r="AE80" s="216">
        <v>400</v>
      </c>
      <c r="AF80" s="216"/>
      <c r="AG80" s="216"/>
      <c r="AH80" s="216"/>
      <c r="AI80" s="216"/>
      <c r="AJ80" s="216" t="s">
        <v>138</v>
      </c>
      <c r="AK80" s="216">
        <v>0.25</v>
      </c>
      <c r="AL80" s="211" t="s">
        <v>139</v>
      </c>
      <c r="AM80" s="216">
        <f>IF((تسعير!BE25="A"),IF(((Table15880101[[#Totals],[المسطح]]+Table16627394[[#Totals],[Column12]])&gt;0),(Table15880101[[#Totals],[المسطح]]+Table16627394[[#Totals],[Column12]]+1)*Table6637495[[#This Row],[المعدل]]),0)</f>
        <v>0</v>
      </c>
      <c r="AN80" s="216"/>
      <c r="AO80" s="216" t="s">
        <v>267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397</v>
      </c>
      <c r="AW80" s="194">
        <v>1</v>
      </c>
      <c r="AX80" s="196">
        <v>100</v>
      </c>
      <c r="AY80" s="194" t="s">
        <v>84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398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132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133</v>
      </c>
      <c r="BU80" s="216">
        <v>320</v>
      </c>
      <c r="BV80" s="216">
        <v>400</v>
      </c>
      <c r="BW80" s="216">
        <v>100</v>
      </c>
      <c r="BX80" s="216">
        <v>3500</v>
      </c>
      <c r="BY80" s="216">
        <v>6000</v>
      </c>
      <c r="BZ80" s="216">
        <v>150</v>
      </c>
      <c r="CA80" s="216"/>
      <c r="CB80" s="216"/>
      <c r="CC80" s="216"/>
      <c r="CD80" s="216"/>
      <c r="CE80" s="216" t="s">
        <v>134</v>
      </c>
      <c r="CF80" s="216">
        <v>0.25</v>
      </c>
      <c r="CG80" s="216" t="s">
        <v>135</v>
      </c>
      <c r="CH80" s="216">
        <f>CH79*Table6637495106[[#This Row],[المعدل]]+4</f>
        <v>4</v>
      </c>
      <c r="CI80" s="216"/>
      <c r="CJ80" s="216" t="s">
        <v>263</v>
      </c>
      <c r="CK80" s="216">
        <v>0.05</v>
      </c>
      <c r="CL80" s="216">
        <v>0.05</v>
      </c>
      <c r="CM80" s="216"/>
      <c r="CN80" s="216"/>
      <c r="CO80" s="256"/>
    </row>
    <row r="81" ht="18">
      <c r="A81" s="537" t="s">
        <v>394</v>
      </c>
      <c r="B81" s="538">
        <v>2</v>
      </c>
      <c r="C81" s="538">
        <f>C76</f>
        <v>303.5</v>
      </c>
      <c r="D81" s="538" t="s">
        <v>84</v>
      </c>
      <c r="E81" s="538">
        <v>0.65</v>
      </c>
      <c r="F81" s="538">
        <f>IF(($H$74="سادة"),(J81*H81*E81*($U$73+(Sheet2!B41*1000))/1000),(J81*H81*E81*($U$73+(Sheet2!B15))/1000))</f>
        <v>1032.85</v>
      </c>
      <c r="G81" s="543"/>
      <c r="H81" s="539">
        <f>CEILING(Table80102114115[[#This Row],[طول]]/100,0.5)</f>
        <v>3.5</v>
      </c>
      <c r="I81" s="279">
        <f t="shared" si="19"/>
        <v>1.1532125205930808</v>
      </c>
      <c r="J81" s="542">
        <f t="shared" si="20"/>
        <v>2</v>
      </c>
      <c r="K81" s="187"/>
      <c r="L81" s="211">
        <v>5</v>
      </c>
      <c r="M81" s="212">
        <f>IF(OR((N74="B11"),(N74="B12"),(N74="B21"),(N74="B22"),(N74="B31"),(N74="B32")),3,0)</f>
        <v>3</v>
      </c>
      <c r="N81" s="215" t="s">
        <v>398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2.16</v>
      </c>
      <c r="R81" s="242" t="s">
        <v>132</v>
      </c>
      <c r="S81" s="211"/>
      <c r="T81" s="211">
        <f>Table15880101[[#This Row],[المسطح]]*Table15880101[[#This Row],[عدد]]</f>
        <v>6.48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141</v>
      </c>
      <c r="Z81" s="216">
        <v>75</v>
      </c>
      <c r="AA81" s="216">
        <v>200</v>
      </c>
      <c r="AB81" s="216">
        <v>100</v>
      </c>
      <c r="AC81" s="216">
        <v>3000</v>
      </c>
      <c r="AD81" s="216">
        <v>5000</v>
      </c>
      <c r="AE81" s="216">
        <v>250</v>
      </c>
      <c r="AF81" s="216"/>
      <c r="AG81" s="216"/>
      <c r="AH81" s="216"/>
      <c r="AI81" s="216"/>
      <c r="AJ81" s="216" t="s">
        <v>142</v>
      </c>
      <c r="AK81" s="216">
        <v>0.4</v>
      </c>
      <c r="AL81" s="211" t="s">
        <v>139</v>
      </c>
      <c r="AM81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81" s="216"/>
      <c r="AO81" s="216" t="s">
        <v>269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402</v>
      </c>
      <c r="AW81" s="194"/>
      <c r="AX81" s="194">
        <v>100</v>
      </c>
      <c r="AY81" s="194" t="s">
        <v>403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92</v>
      </c>
      <c r="BJ81" s="214"/>
      <c r="BK81" s="214"/>
      <c r="BL81" s="216">
        <f>SUBTOTAL(109,Table15880101112[المسطح])</f>
        <v>23.520000000000003</v>
      </c>
      <c r="BM81" s="211"/>
      <c r="BN81" s="211">
        <f>(BN76*BH76)+(BN77*BH77)+(BN78*BH78)+(BN79*BH79)</f>
        <v>492</v>
      </c>
      <c r="BO81" s="211">
        <f>SUBTOTAL(109,Table15880101112[اجمالي المسطح])</f>
        <v>79.68</v>
      </c>
      <c r="BP81" s="242"/>
      <c r="BQ81" s="240">
        <f>SUBTOTAL(109,Table15880101112[اجمالي])</f>
        <v>22140</v>
      </c>
      <c r="BR81" s="244">
        <f>Table15880101112[[#Totals],[اجمالي]]/$R$68</f>
        <v>0.0940023606735562</v>
      </c>
      <c r="BS81" s="216"/>
      <c r="BT81" s="216" t="s">
        <v>137</v>
      </c>
      <c r="BU81" s="216">
        <v>250</v>
      </c>
      <c r="BV81" s="216">
        <v>400</v>
      </c>
      <c r="BW81" s="216">
        <v>100</v>
      </c>
      <c r="BX81" s="216">
        <v>5000</v>
      </c>
      <c r="BY81" s="216">
        <v>8000</v>
      </c>
      <c r="BZ81" s="216">
        <v>400</v>
      </c>
      <c r="CA81" s="216"/>
      <c r="CB81" s="216"/>
      <c r="CC81" s="216"/>
      <c r="CD81" s="216"/>
      <c r="CE81" s="216" t="s">
        <v>138</v>
      </c>
      <c r="CF81" s="216">
        <v>0.25</v>
      </c>
      <c r="CG81" s="211" t="s">
        <v>139</v>
      </c>
      <c r="CH81" s="216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0</v>
      </c>
      <c r="CI81" s="216"/>
      <c r="CJ81" s="216" t="s">
        <v>265</v>
      </c>
      <c r="CK81" s="216">
        <v>0.07</v>
      </c>
      <c r="CL81" s="216">
        <v>0.07</v>
      </c>
      <c r="CM81" s="216"/>
      <c r="CN81" s="216"/>
      <c r="CO81" s="256"/>
    </row>
    <row r="82" ht="18">
      <c r="A82" s="537" t="s">
        <v>389</v>
      </c>
      <c r="B82" s="538">
        <v>2</v>
      </c>
      <c r="C82" s="538">
        <f>(15.6*(B76-1)+4)</f>
        <v>238</v>
      </c>
      <c r="D82" s="538" t="s">
        <v>84</v>
      </c>
      <c r="E82" s="538">
        <v>1000</v>
      </c>
      <c r="F82" s="538">
        <f>E82*B82</f>
        <v>2000</v>
      </c>
      <c r="G82" s="543"/>
      <c r="H82" s="544"/>
      <c r="I82" s="528"/>
      <c r="J82" s="528"/>
      <c r="K82" s="187"/>
      <c r="L82" s="211"/>
      <c r="M82" s="212"/>
      <c r="N82" s="213" t="s">
        <v>92</v>
      </c>
      <c r="O82" s="214"/>
      <c r="P82" s="214"/>
      <c r="Q82" s="216">
        <f>SUBTOTAL(109,Table15880101[المسطح])</f>
        <v>28.8</v>
      </c>
      <c r="R82" s="211"/>
      <c r="S82" s="211">
        <f>(S77*M77)+(S78*M78)+(M79*S79)+(S80*M80)</f>
        <v>579</v>
      </c>
      <c r="T82" s="211">
        <f>SUBTOTAL(109,Table15880101[اجمالي المسطح])</f>
        <v>100.8</v>
      </c>
      <c r="U82" s="242"/>
      <c r="V82" s="240">
        <f>SUBTOTAL(109,Table15880101[اجمالي])</f>
        <v>26055</v>
      </c>
      <c r="W82" s="244">
        <f>Table15880101[[#Totals],[اجمالي]]/$R$68</f>
        <v>0.11062472932924602</v>
      </c>
      <c r="X82" s="216"/>
      <c r="Y82" s="216" t="s">
        <v>143</v>
      </c>
      <c r="Z82" s="216">
        <v>75</v>
      </c>
      <c r="AA82" s="216">
        <v>200</v>
      </c>
      <c r="AB82" s="216">
        <v>100</v>
      </c>
      <c r="AC82" s="216">
        <v>3000</v>
      </c>
      <c r="AD82" s="216">
        <v>6000</v>
      </c>
      <c r="AE82" s="216">
        <v>250</v>
      </c>
      <c r="AF82" s="216"/>
      <c r="AG82" s="216"/>
      <c r="AH82" s="216"/>
      <c r="AI82" s="216"/>
      <c r="AJ82" s="216" t="s">
        <v>144</v>
      </c>
      <c r="AK82" s="216"/>
      <c r="AL82" s="216" t="s">
        <v>145</v>
      </c>
      <c r="AM82" s="216"/>
      <c r="AN82" s="216"/>
      <c r="AO82" s="216" t="s">
        <v>271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400</v>
      </c>
      <c r="AW82" s="194"/>
      <c r="AX82" s="194">
        <f>AW74*2</f>
        <v>46</v>
      </c>
      <c r="AY82" s="194" t="s">
        <v>32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681" t="s">
        <v>160</v>
      </c>
      <c r="BK82" s="681"/>
      <c r="BL82" s="681"/>
      <c r="BM82" s="681"/>
      <c r="BN82" s="681"/>
      <c r="BO82" s="681"/>
      <c r="BP82" s="216"/>
      <c r="BQ82" s="216"/>
      <c r="BR82" s="216"/>
      <c r="BS82" s="216"/>
      <c r="BT82" s="216" t="s">
        <v>141</v>
      </c>
      <c r="BU82" s="216">
        <v>75</v>
      </c>
      <c r="BV82" s="216">
        <v>200</v>
      </c>
      <c r="BW82" s="216">
        <v>100</v>
      </c>
      <c r="BX82" s="216">
        <v>3000</v>
      </c>
      <c r="BY82" s="216">
        <v>5000</v>
      </c>
      <c r="BZ82" s="216">
        <v>250</v>
      </c>
      <c r="CA82" s="216"/>
      <c r="CB82" s="216"/>
      <c r="CC82" s="216"/>
      <c r="CD82" s="216"/>
      <c r="CE82" s="216" t="s">
        <v>142</v>
      </c>
      <c r="CF82" s="216">
        <v>0.4</v>
      </c>
      <c r="CG82" s="211" t="s">
        <v>139</v>
      </c>
      <c r="CH82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82" s="216"/>
      <c r="CJ82" s="216" t="s">
        <v>267</v>
      </c>
      <c r="CK82" s="216">
        <v>0.1</v>
      </c>
      <c r="CL82" s="216">
        <v>0.1</v>
      </c>
      <c r="CM82" s="216"/>
      <c r="CN82" s="216"/>
      <c r="CO82" s="256"/>
    </row>
    <row r="83" ht="18">
      <c r="A83" s="537" t="s">
        <v>393</v>
      </c>
      <c r="B83" s="538"/>
      <c r="C83" s="538">
        <f>B76*2</f>
        <v>32</v>
      </c>
      <c r="D83" s="538" t="s">
        <v>32</v>
      </c>
      <c r="E83" s="194">
        <v>20</v>
      </c>
      <c r="F83" s="538">
        <f>E83*C83</f>
        <v>640</v>
      </c>
      <c r="G83" s="543"/>
      <c r="H83" s="544"/>
      <c r="I83" s="528"/>
      <c r="J83" s="528"/>
      <c r="K83" s="187"/>
      <c r="L83" s="216"/>
      <c r="M83" s="216"/>
      <c r="N83" s="217"/>
      <c r="O83" s="681" t="s">
        <v>160</v>
      </c>
      <c r="P83" s="681"/>
      <c r="Q83" s="681"/>
      <c r="R83" s="681"/>
      <c r="S83" s="681"/>
      <c r="T83" s="681"/>
      <c r="U83" s="216"/>
      <c r="V83" s="216"/>
      <c r="W83" s="216"/>
      <c r="X83" s="216"/>
      <c r="Y83" s="216" t="s">
        <v>147</v>
      </c>
      <c r="Z83" s="216">
        <v>75</v>
      </c>
      <c r="AA83" s="216">
        <v>200</v>
      </c>
      <c r="AB83" s="216">
        <v>100</v>
      </c>
      <c r="AC83" s="216">
        <v>3000</v>
      </c>
      <c r="AD83" s="216">
        <v>6000</v>
      </c>
      <c r="AE83" s="216">
        <v>250</v>
      </c>
      <c r="AF83" s="216"/>
      <c r="AG83" s="216"/>
      <c r="AH83" s="216"/>
      <c r="AI83" s="216"/>
      <c r="AJ83" s="213" t="s">
        <v>201</v>
      </c>
      <c r="AK83" s="216">
        <v>0.6</v>
      </c>
      <c r="AL83" s="216"/>
      <c r="AM83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3" s="216"/>
      <c r="AO83" s="216" t="s">
        <v>273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401</v>
      </c>
      <c r="AW83" s="194"/>
      <c r="AX83" s="194">
        <f>AW74*2</f>
        <v>46</v>
      </c>
      <c r="AY83" s="194" t="s">
        <v>32</v>
      </c>
      <c r="AZ83" s="194">
        <v>100</v>
      </c>
      <c r="BA83" s="194">
        <f>AX83*AZ83</f>
        <v>4600</v>
      </c>
      <c r="BB83" s="187"/>
      <c r="BC83" s="195"/>
      <c r="BE83" s="264"/>
      <c r="BF83" s="187"/>
      <c r="BG83" s="211" t="s">
        <v>19</v>
      </c>
      <c r="BH83" s="211" t="s">
        <v>32</v>
      </c>
      <c r="BI83" s="218" t="s">
        <v>120</v>
      </c>
      <c r="BJ83" s="211" t="s">
        <v>121</v>
      </c>
      <c r="BK83" s="211" t="s">
        <v>102</v>
      </c>
      <c r="BL83" s="211" t="s">
        <v>149</v>
      </c>
      <c r="BM83" s="211" t="s">
        <v>21</v>
      </c>
      <c r="BN83" s="211" t="s">
        <v>12</v>
      </c>
      <c r="BO83" s="211" t="s">
        <v>162</v>
      </c>
      <c r="BP83" s="211" t="s">
        <v>124</v>
      </c>
      <c r="BQ83" s="245" t="s">
        <v>125</v>
      </c>
      <c r="BR83" s="211" t="s">
        <v>126</v>
      </c>
      <c r="BS83" s="216"/>
      <c r="BT83" s="216" t="s">
        <v>143</v>
      </c>
      <c r="BU83" s="216">
        <v>75</v>
      </c>
      <c r="BV83" s="216">
        <v>200</v>
      </c>
      <c r="BW83" s="216">
        <v>100</v>
      </c>
      <c r="BX83" s="216">
        <v>3000</v>
      </c>
      <c r="BY83" s="216">
        <v>6000</v>
      </c>
      <c r="BZ83" s="216">
        <v>250</v>
      </c>
      <c r="CA83" s="216"/>
      <c r="CB83" s="216"/>
      <c r="CC83" s="216"/>
      <c r="CD83" s="216"/>
      <c r="CE83" s="216" t="s">
        <v>144</v>
      </c>
      <c r="CF83" s="216"/>
      <c r="CG83" s="216" t="s">
        <v>145</v>
      </c>
      <c r="CH83" s="216"/>
      <c r="CI83" s="216"/>
      <c r="CJ83" s="216" t="s">
        <v>269</v>
      </c>
      <c r="CK83" s="216">
        <v>0.15</v>
      </c>
      <c r="CL83" s="216">
        <v>0.15</v>
      </c>
      <c r="CM83" s="216"/>
      <c r="CN83" s="216"/>
      <c r="CO83" s="256"/>
    </row>
    <row r="84" ht="18">
      <c r="A84" s="537" t="s">
        <v>396</v>
      </c>
      <c r="B84" s="538"/>
      <c r="C84" s="538">
        <f>B76*2</f>
        <v>32</v>
      </c>
      <c r="D84" s="538" t="s">
        <v>32</v>
      </c>
      <c r="E84" s="194">
        <v>18</v>
      </c>
      <c r="F84" s="538">
        <f>E84*C84</f>
        <v>576</v>
      </c>
      <c r="G84" s="543"/>
      <c r="H84" s="544"/>
      <c r="I84" s="528"/>
      <c r="J84" s="528"/>
      <c r="K84" s="187"/>
      <c r="L84" s="211" t="s">
        <v>19</v>
      </c>
      <c r="M84" s="211" t="s">
        <v>32</v>
      </c>
      <c r="N84" s="218" t="s">
        <v>120</v>
      </c>
      <c r="O84" s="211" t="s">
        <v>121</v>
      </c>
      <c r="P84" s="211" t="s">
        <v>102</v>
      </c>
      <c r="Q84" s="211" t="s">
        <v>149</v>
      </c>
      <c r="R84" s="211" t="s">
        <v>21</v>
      </c>
      <c r="S84" s="211" t="s">
        <v>12</v>
      </c>
      <c r="T84" s="211" t="s">
        <v>162</v>
      </c>
      <c r="U84" s="211" t="s">
        <v>124</v>
      </c>
      <c r="V84" s="245" t="s">
        <v>125</v>
      </c>
      <c r="W84" s="211" t="s">
        <v>126</v>
      </c>
      <c r="X84" s="216"/>
      <c r="Y84" s="216" t="s">
        <v>150</v>
      </c>
      <c r="Z84" s="216">
        <v>150</v>
      </c>
      <c r="AA84" s="216">
        <v>200</v>
      </c>
      <c r="AB84" s="216">
        <v>100</v>
      </c>
      <c r="AC84" s="216">
        <v>3000</v>
      </c>
      <c r="AD84" s="216">
        <v>8000</v>
      </c>
      <c r="AE84" s="216">
        <v>250</v>
      </c>
      <c r="AF84" s="216"/>
      <c r="AG84" s="216"/>
      <c r="AH84" s="216"/>
      <c r="AI84" s="216"/>
      <c r="AJ84" s="218" t="s">
        <v>203</v>
      </c>
      <c r="AK84" s="216">
        <v>0.6</v>
      </c>
      <c r="AL84" s="216"/>
      <c r="AM84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4" s="216"/>
      <c r="AO84" s="216" t="s">
        <v>275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277</v>
      </c>
      <c r="AW84" s="194" t="s">
        <v>32</v>
      </c>
      <c r="AX84" s="194">
        <v>1</v>
      </c>
      <c r="AY84" s="194" t="s">
        <v>32</v>
      </c>
      <c r="AZ84" s="194">
        <f>E23</f>
        <v>9000</v>
      </c>
      <c r="BA84" s="194">
        <f>AZ84*AX84</f>
        <v>9000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164</v>
      </c>
      <c r="BJ84" s="214"/>
      <c r="BK84" s="214"/>
      <c r="BL84" s="214"/>
      <c r="BM84" s="211" t="s">
        <v>165</v>
      </c>
      <c r="BN84" s="211"/>
      <c r="BO84" s="242"/>
      <c r="BP84" s="247">
        <f>Sheet2!B28</f>
        <v>400</v>
      </c>
      <c r="BQ84" s="240">
        <f ref="BQ84:BQ88" t="shared" si="21">BH84*BP84</f>
        <v>1200</v>
      </c>
      <c r="BR84" s="241">
        <f>(BQ84)/$R$68</f>
        <v>0.0050949788982957295</v>
      </c>
      <c r="BS84" s="216"/>
      <c r="BT84" s="216" t="s">
        <v>147</v>
      </c>
      <c r="BU84" s="216">
        <v>75</v>
      </c>
      <c r="BV84" s="216">
        <v>200</v>
      </c>
      <c r="BW84" s="216">
        <v>100</v>
      </c>
      <c r="BX84" s="216">
        <v>3000</v>
      </c>
      <c r="BY84" s="216">
        <v>6000</v>
      </c>
      <c r="BZ84" s="216">
        <v>250</v>
      </c>
      <c r="CA84" s="216"/>
      <c r="CB84" s="216"/>
      <c r="CC84" s="216"/>
      <c r="CD84" s="216"/>
      <c r="CE84" s="213" t="s">
        <v>201</v>
      </c>
      <c r="CF84" s="216">
        <v>0.6</v>
      </c>
      <c r="CG84" s="216"/>
      <c r="CH84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4" s="216"/>
      <c r="CJ84" s="216" t="s">
        <v>271</v>
      </c>
      <c r="CK84" s="216">
        <v>0.05</v>
      </c>
      <c r="CL84" s="216">
        <v>0.1</v>
      </c>
      <c r="CM84" s="216"/>
      <c r="CN84" s="216"/>
      <c r="CO84" s="256"/>
    </row>
    <row r="85" ht="18">
      <c r="A85" s="537" t="s">
        <v>397</v>
      </c>
      <c r="B85" s="538">
        <v>1</v>
      </c>
      <c r="C85" s="540">
        <v>100</v>
      </c>
      <c r="D85" s="538" t="s">
        <v>84</v>
      </c>
      <c r="E85" s="194">
        <v>250</v>
      </c>
      <c r="F85" s="538">
        <f>Table80102114115[[#This Row],[wt/m]]*Table80102114115[[#This Row],[عدد]]</f>
        <v>250</v>
      </c>
      <c r="G85" s="543"/>
      <c r="H85" s="544"/>
      <c r="I85" s="528"/>
      <c r="J85" s="545"/>
      <c r="K85" s="187"/>
      <c r="L85" s="211">
        <v>1</v>
      </c>
      <c r="M85" s="212">
        <v>2</v>
      </c>
      <c r="N85" s="213" t="s">
        <v>164</v>
      </c>
      <c r="O85" s="214"/>
      <c r="P85" s="214"/>
      <c r="Q85" s="214"/>
      <c r="R85" s="211" t="s">
        <v>165</v>
      </c>
      <c r="S85" s="211"/>
      <c r="T85" s="242"/>
      <c r="U85" s="246">
        <f>Sheet2!B28</f>
        <v>400</v>
      </c>
      <c r="V85" s="240">
        <f ref="V85:V89" t="shared" si="22">M85*U85</f>
        <v>800</v>
      </c>
      <c r="W85" s="241">
        <f>(V85)/$R$68</f>
        <v>0.0033966525988638196</v>
      </c>
      <c r="X85" s="216"/>
      <c r="Y85" s="216" t="s">
        <v>154</v>
      </c>
      <c r="Z85" s="216">
        <v>150</v>
      </c>
      <c r="AA85" s="216">
        <v>200</v>
      </c>
      <c r="AB85" s="216">
        <v>100</v>
      </c>
      <c r="AC85" s="216">
        <v>4000</v>
      </c>
      <c r="AD85" s="216">
        <v>8000</v>
      </c>
      <c r="AE85" s="216">
        <v>250</v>
      </c>
      <c r="AF85" s="216"/>
      <c r="AG85" s="216"/>
      <c r="AH85" s="216"/>
      <c r="AI85" s="216"/>
      <c r="AJ85" s="218" t="s">
        <v>155</v>
      </c>
      <c r="AK85" s="216">
        <v>0.1</v>
      </c>
      <c r="AL85" s="216"/>
      <c r="AM85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5" s="216"/>
      <c r="AO85" s="216"/>
      <c r="AP85" s="216"/>
      <c r="AQ85" s="216"/>
      <c r="AR85" s="216"/>
      <c r="AS85" s="216"/>
      <c r="AT85" s="256"/>
      <c r="AU85" s="216"/>
      <c r="AV85" s="297" t="s">
        <v>92</v>
      </c>
      <c r="AW85" s="299">
        <f>(Table80102113[[#Totals],[price]]*1.1)/(BA72*AY72/10000)</f>
        <v>5016.2585</v>
      </c>
      <c r="AX85" s="300"/>
      <c r="AY85" s="300"/>
      <c r="AZ85" s="300"/>
      <c r="BA85" s="300">
        <f>SUBTOTAL(109,Table80102113[price])</f>
        <v>91204.7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170</v>
      </c>
      <c r="BJ85" s="214"/>
      <c r="BK85" s="214"/>
      <c r="BL85" s="214"/>
      <c r="BM85" s="211" t="s">
        <v>32</v>
      </c>
      <c r="BN85" s="211"/>
      <c r="BO85" s="242"/>
      <c r="BP85" s="247">
        <v>110</v>
      </c>
      <c r="BQ85" s="240">
        <f t="shared" si="21"/>
        <v>220</v>
      </c>
      <c r="BR85" s="241">
        <f>(BQ85)/$R$68</f>
        <v>0.00093407946468755047</v>
      </c>
      <c r="BS85" s="216"/>
      <c r="BT85" s="216" t="s">
        <v>150</v>
      </c>
      <c r="BU85" s="216">
        <v>150</v>
      </c>
      <c r="BV85" s="216">
        <v>200</v>
      </c>
      <c r="BW85" s="216">
        <v>100</v>
      </c>
      <c r="BX85" s="216">
        <v>3000</v>
      </c>
      <c r="BY85" s="216">
        <v>8000</v>
      </c>
      <c r="BZ85" s="216">
        <v>250</v>
      </c>
      <c r="CA85" s="216"/>
      <c r="CB85" s="216"/>
      <c r="CC85" s="216"/>
      <c r="CD85" s="216"/>
      <c r="CE85" s="218" t="s">
        <v>203</v>
      </c>
      <c r="CF85" s="216">
        <v>0.6</v>
      </c>
      <c r="CG85" s="216"/>
      <c r="CH85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5" s="216"/>
      <c r="CJ85" s="216" t="s">
        <v>273</v>
      </c>
      <c r="CK85" s="216">
        <v>0.05</v>
      </c>
      <c r="CL85" s="216">
        <v>0.15</v>
      </c>
      <c r="CM85" s="216"/>
      <c r="CN85" s="216"/>
      <c r="CO85" s="256"/>
    </row>
    <row r="86" ht="18">
      <c r="A86" s="537" t="s">
        <v>402</v>
      </c>
      <c r="B86" s="538"/>
      <c r="C86" s="538">
        <v>4</v>
      </c>
      <c r="D86" s="538" t="s">
        <v>403</v>
      </c>
      <c r="E86" s="194">
        <v>250</v>
      </c>
      <c r="F86" s="538">
        <f>C86*E86</f>
        <v>1000</v>
      </c>
      <c r="G86" s="543"/>
      <c r="H86" s="528"/>
      <c r="I86" s="543"/>
      <c r="J86" s="543"/>
      <c r="K86" s="187"/>
      <c r="L86" s="211">
        <v>2</v>
      </c>
      <c r="M86" s="212">
        <v>2</v>
      </c>
      <c r="N86" s="213" t="s">
        <v>170</v>
      </c>
      <c r="O86" s="214"/>
      <c r="P86" s="214"/>
      <c r="Q86" s="214"/>
      <c r="R86" s="211" t="s">
        <v>32</v>
      </c>
      <c r="S86" s="211"/>
      <c r="T86" s="242"/>
      <c r="U86" s="246">
        <v>110</v>
      </c>
      <c r="V86" s="240">
        <f t="shared" si="22"/>
        <v>220</v>
      </c>
      <c r="W86" s="241">
        <f>(V86)/$R$68</f>
        <v>0.00093407946468755047</v>
      </c>
      <c r="X86" s="216"/>
      <c r="Y86" s="216" t="s">
        <v>157</v>
      </c>
      <c r="Z86" s="216">
        <v>150</v>
      </c>
      <c r="AA86" s="216">
        <v>200</v>
      </c>
      <c r="AB86" s="216">
        <v>100</v>
      </c>
      <c r="AC86" s="216">
        <v>4000</v>
      </c>
      <c r="AD86" s="216">
        <v>8000</v>
      </c>
      <c r="AE86" s="216">
        <v>250</v>
      </c>
      <c r="AF86" s="216"/>
      <c r="AG86" s="216"/>
      <c r="AH86" s="216"/>
      <c r="AI86" s="216"/>
      <c r="AJ86" s="218" t="s">
        <v>158</v>
      </c>
      <c r="AK86" s="216">
        <v>0.1</v>
      </c>
      <c r="AL86" s="216"/>
      <c r="AM86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172</v>
      </c>
      <c r="BJ86" s="214"/>
      <c r="BK86" s="214"/>
      <c r="BL86" s="214"/>
      <c r="BM86" s="211" t="s">
        <v>32</v>
      </c>
      <c r="BN86" s="211"/>
      <c r="BO86" s="242"/>
      <c r="BP86" s="247">
        <v>130</v>
      </c>
      <c r="BQ86" s="240">
        <f t="shared" si="21"/>
        <v>130</v>
      </c>
      <c r="BR86" s="241">
        <f>(BQ86)/$R$68</f>
        <v>0.00055195604731537074</v>
      </c>
      <c r="BS86" s="216"/>
      <c r="BT86" s="216" t="s">
        <v>154</v>
      </c>
      <c r="BU86" s="216">
        <v>150</v>
      </c>
      <c r="BV86" s="216">
        <v>200</v>
      </c>
      <c r="BW86" s="216">
        <v>100</v>
      </c>
      <c r="BX86" s="216">
        <v>4000</v>
      </c>
      <c r="BY86" s="216">
        <v>8000</v>
      </c>
      <c r="BZ86" s="216">
        <v>250</v>
      </c>
      <c r="CA86" s="216"/>
      <c r="CB86" s="216"/>
      <c r="CC86" s="216"/>
      <c r="CD86" s="216"/>
      <c r="CE86" s="218" t="s">
        <v>155</v>
      </c>
      <c r="CF86" s="216">
        <v>0.1</v>
      </c>
      <c r="CG86" s="216"/>
      <c r="CH86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6" s="216"/>
      <c r="CJ86" s="216" t="s">
        <v>275</v>
      </c>
      <c r="CK86" s="216">
        <v>0.1</v>
      </c>
      <c r="CL86" s="216">
        <v>0.15</v>
      </c>
      <c r="CM86" s="216"/>
      <c r="CN86" s="216"/>
      <c r="CO86" s="256"/>
    </row>
    <row r="87" ht="18">
      <c r="A87" s="537" t="s">
        <v>404</v>
      </c>
      <c r="B87" s="538"/>
      <c r="C87" s="538">
        <v>8</v>
      </c>
      <c r="D87" s="538" t="s">
        <v>32</v>
      </c>
      <c r="E87" s="194">
        <v>300</v>
      </c>
      <c r="F87" s="538">
        <f>C87*E87</f>
        <v>2400</v>
      </c>
      <c r="G87" s="543"/>
      <c r="H87" s="528"/>
      <c r="I87" s="543"/>
      <c r="J87" s="543"/>
      <c r="K87" s="187"/>
      <c r="L87" s="211">
        <v>3</v>
      </c>
      <c r="M87" s="219">
        <v>1</v>
      </c>
      <c r="N87" s="213" t="s">
        <v>172</v>
      </c>
      <c r="O87" s="214"/>
      <c r="P87" s="214"/>
      <c r="Q87" s="214"/>
      <c r="R87" s="211" t="s">
        <v>32</v>
      </c>
      <c r="S87" s="211"/>
      <c r="T87" s="242"/>
      <c r="U87" s="246">
        <v>130</v>
      </c>
      <c r="V87" s="240">
        <f t="shared" si="22"/>
        <v>130</v>
      </c>
      <c r="W87" s="241">
        <f>(V87)/$R$68</f>
        <v>0.00055195604731537074</v>
      </c>
      <c r="X87" s="216"/>
      <c r="Y87" s="216" t="s">
        <v>159</v>
      </c>
      <c r="Z87" s="216">
        <v>200</v>
      </c>
      <c r="AA87" s="216">
        <v>200</v>
      </c>
      <c r="AB87" s="216">
        <v>100</v>
      </c>
      <c r="AC87" s="216">
        <v>4000</v>
      </c>
      <c r="AD87" s="216">
        <v>8000</v>
      </c>
      <c r="AE87" s="216">
        <v>250</v>
      </c>
      <c r="AF87" s="216"/>
      <c r="AG87" s="216"/>
      <c r="AH87" s="216"/>
      <c r="AI87" s="216"/>
      <c r="AJ87" s="216"/>
      <c r="AK87" s="216"/>
      <c r="AL87" s="216"/>
      <c r="AM87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174</v>
      </c>
      <c r="BJ87" s="214"/>
      <c r="BK87" s="214"/>
      <c r="BL87" s="214"/>
      <c r="BM87" s="247" t="s">
        <v>175</v>
      </c>
      <c r="BN87" s="247"/>
      <c r="BO87" s="242"/>
      <c r="BP87" s="247">
        <v>30</v>
      </c>
      <c r="BQ87" s="240">
        <f t="shared" si="21"/>
        <v>480</v>
      </c>
      <c r="BR87" s="241">
        <f>(BQ87)/$R$68</f>
        <v>0.0020379915593182916</v>
      </c>
      <c r="BS87" s="216"/>
      <c r="BT87" s="216" t="s">
        <v>157</v>
      </c>
      <c r="BU87" s="216">
        <v>150</v>
      </c>
      <c r="BV87" s="216">
        <v>200</v>
      </c>
      <c r="BW87" s="216">
        <v>100</v>
      </c>
      <c r="BX87" s="216">
        <v>4000</v>
      </c>
      <c r="BY87" s="216">
        <v>8000</v>
      </c>
      <c r="BZ87" s="216">
        <v>250</v>
      </c>
      <c r="CA87" s="216"/>
      <c r="CB87" s="216"/>
      <c r="CC87" s="216"/>
      <c r="CD87" s="216"/>
      <c r="CE87" s="218" t="s">
        <v>158</v>
      </c>
      <c r="CF87" s="216">
        <v>0.1</v>
      </c>
      <c r="CG87" s="216"/>
      <c r="CH87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7" s="216"/>
      <c r="CJ87" s="216"/>
      <c r="CK87" s="216"/>
      <c r="CL87" s="216"/>
      <c r="CM87" s="216"/>
      <c r="CN87" s="216"/>
      <c r="CO87" s="256"/>
    </row>
    <row r="88" ht="18">
      <c r="A88" s="537" t="s">
        <v>400</v>
      </c>
      <c r="B88" s="538"/>
      <c r="C88" s="538">
        <f>B76*2</f>
        <v>32</v>
      </c>
      <c r="D88" s="538" t="s">
        <v>32</v>
      </c>
      <c r="E88" s="194">
        <v>120</v>
      </c>
      <c r="F88" s="538">
        <f>C88*E88</f>
        <v>3840</v>
      </c>
      <c r="G88" s="543"/>
      <c r="H88" s="528"/>
      <c r="I88" s="528"/>
      <c r="J88" s="528"/>
      <c r="K88" s="187"/>
      <c r="L88" s="211">
        <v>4</v>
      </c>
      <c r="M88" s="212">
        <f>M95</f>
        <v>0</v>
      </c>
      <c r="N88" s="213" t="s">
        <v>174</v>
      </c>
      <c r="O88" s="214"/>
      <c r="P88" s="214"/>
      <c r="Q88" s="214"/>
      <c r="R88" s="247" t="s">
        <v>175</v>
      </c>
      <c r="S88" s="247"/>
      <c r="T88" s="242"/>
      <c r="U88" s="246">
        <v>50</v>
      </c>
      <c r="V88" s="240">
        <f t="shared" si="22"/>
        <v>0</v>
      </c>
      <c r="W88" s="241">
        <f>(V88)/$R$68</f>
        <v>0</v>
      </c>
      <c r="X88" s="216"/>
      <c r="Y88" s="216" t="s">
        <v>161</v>
      </c>
      <c r="Z88" s="216">
        <v>250</v>
      </c>
      <c r="AA88" s="216">
        <v>200</v>
      </c>
      <c r="AB88" s="216">
        <v>100</v>
      </c>
      <c r="AC88" s="216">
        <v>3000</v>
      </c>
      <c r="AD88" s="216">
        <v>10000</v>
      </c>
      <c r="AE88" s="216">
        <v>300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181</v>
      </c>
      <c r="BJ88" s="214"/>
      <c r="BK88" s="214"/>
      <c r="BL88" s="214"/>
      <c r="BM88" s="211" t="s">
        <v>175</v>
      </c>
      <c r="BN88" s="211"/>
      <c r="BO88" s="242"/>
      <c r="BP88" s="243">
        <f>Sheet2!AW30</f>
        <v>0</v>
      </c>
      <c r="BQ88" s="240">
        <f t="shared" si="21"/>
        <v>0</v>
      </c>
      <c r="BR88" s="241">
        <f>(BQ88)/$R$68</f>
        <v>0</v>
      </c>
      <c r="BS88" s="216"/>
      <c r="BT88" s="216" t="s">
        <v>159</v>
      </c>
      <c r="BU88" s="216">
        <v>200</v>
      </c>
      <c r="BV88" s="216">
        <v>200</v>
      </c>
      <c r="BW88" s="216">
        <v>100</v>
      </c>
      <c r="BX88" s="216">
        <v>4000</v>
      </c>
      <c r="BY88" s="216">
        <v>8000</v>
      </c>
      <c r="BZ88" s="216">
        <v>250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">
      <c r="A89" s="537" t="s">
        <v>401</v>
      </c>
      <c r="B89" s="538"/>
      <c r="C89" s="538">
        <f>B76*2</f>
        <v>32</v>
      </c>
      <c r="D89" s="538" t="s">
        <v>32</v>
      </c>
      <c r="E89" s="194">
        <v>120</v>
      </c>
      <c r="F89" s="538">
        <f>C89*E89</f>
        <v>3840</v>
      </c>
      <c r="G89" s="543"/>
      <c r="H89" s="528"/>
      <c r="I89" s="528"/>
      <c r="J89" s="528"/>
      <c r="K89" s="187"/>
      <c r="L89" s="211">
        <v>5</v>
      </c>
      <c r="M89" s="212">
        <f>IF((I74="بالتات"),0,4)</f>
        <v>4</v>
      </c>
      <c r="N89" s="213" t="s">
        <v>181</v>
      </c>
      <c r="O89" s="214"/>
      <c r="P89" s="214"/>
      <c r="Q89" s="214"/>
      <c r="R89" s="211" t="s">
        <v>175</v>
      </c>
      <c r="S89" s="211"/>
      <c r="T89" s="242"/>
      <c r="U89" s="243">
        <f>Sheet2!B30</f>
        <v>1200</v>
      </c>
      <c r="V89" s="240">
        <f t="shared" si="22"/>
        <v>4800</v>
      </c>
      <c r="W89" s="241">
        <f>(V89)/$R$68</f>
        <v>0.020379915593182918</v>
      </c>
      <c r="X89" s="216"/>
      <c r="Y89" s="216" t="s">
        <v>163</v>
      </c>
      <c r="Z89" s="216">
        <v>250</v>
      </c>
      <c r="AA89" s="216">
        <v>200</v>
      </c>
      <c r="AB89" s="216">
        <v>100</v>
      </c>
      <c r="AC89" s="216">
        <v>3000</v>
      </c>
      <c r="AD89" s="216">
        <v>10000</v>
      </c>
      <c r="AE89" s="216">
        <v>300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92</v>
      </c>
      <c r="BH89" s="212"/>
      <c r="BI89" s="213" t="s">
        <v>92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2030</v>
      </c>
      <c r="BR89" s="244">
        <f>Table15617293104[[#Totals],[اجمالي]]/$R$68</f>
        <v>0.0086190059696169431</v>
      </c>
      <c r="BS89" s="216"/>
      <c r="BT89" s="216" t="s">
        <v>161</v>
      </c>
      <c r="BU89" s="216">
        <v>250</v>
      </c>
      <c r="BV89" s="216">
        <v>200</v>
      </c>
      <c r="BW89" s="216">
        <v>100</v>
      </c>
      <c r="BX89" s="216">
        <v>3000</v>
      </c>
      <c r="BY89" s="216">
        <v>10000</v>
      </c>
      <c r="BZ89" s="216">
        <v>300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">
      <c r="A90" s="537" t="s">
        <v>405</v>
      </c>
      <c r="B90" s="538">
        <v>2</v>
      </c>
      <c r="C90" s="538"/>
      <c r="D90" s="538" t="s">
        <v>84</v>
      </c>
      <c r="E90" s="194">
        <v>1000</v>
      </c>
      <c r="F90" s="538">
        <f>B90*E90</f>
        <v>2000</v>
      </c>
      <c r="G90" s="543"/>
      <c r="H90" s="528"/>
      <c r="I90" s="528"/>
      <c r="J90" s="528"/>
      <c r="K90" s="187"/>
      <c r="L90" s="211" t="s">
        <v>92</v>
      </c>
      <c r="M90" s="212"/>
      <c r="N90" s="213" t="s">
        <v>92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5950</v>
      </c>
      <c r="W90" s="244">
        <f>Table15617293[[#Totals],[اجمالي]]/$R$68</f>
        <v>0.02526260370404966</v>
      </c>
      <c r="X90" s="216"/>
      <c r="Y90" s="216" t="s">
        <v>166</v>
      </c>
      <c r="Z90" s="216">
        <v>250</v>
      </c>
      <c r="AA90" s="216">
        <v>200</v>
      </c>
      <c r="AB90" s="216">
        <v>100</v>
      </c>
      <c r="AC90" s="216">
        <v>3000</v>
      </c>
      <c r="AD90" s="216">
        <v>10000</v>
      </c>
      <c r="AE90" s="216">
        <v>300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681" t="s">
        <v>183</v>
      </c>
      <c r="BK90" s="681"/>
      <c r="BL90" s="681"/>
      <c r="BM90" s="681"/>
      <c r="BN90" s="681"/>
      <c r="BO90" s="681"/>
      <c r="BP90" s="216"/>
      <c r="BQ90" s="216"/>
      <c r="BR90" s="216"/>
      <c r="BS90" s="216"/>
      <c r="BT90" s="216" t="s">
        <v>163</v>
      </c>
      <c r="BU90" s="216">
        <v>250</v>
      </c>
      <c r="BV90" s="216">
        <v>200</v>
      </c>
      <c r="BW90" s="216">
        <v>100</v>
      </c>
      <c r="BX90" s="216">
        <v>3000</v>
      </c>
      <c r="BY90" s="216">
        <v>10000</v>
      </c>
      <c r="BZ90" s="216">
        <v>300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">
      <c r="A91" s="537" t="s">
        <v>407</v>
      </c>
      <c r="B91" s="538"/>
      <c r="C91" s="538">
        <f>ROUNDUP(((C76*B76)/100),0)</f>
        <v>49</v>
      </c>
      <c r="D91" s="538" t="s">
        <v>84</v>
      </c>
      <c r="E91" s="194">
        <v>10</v>
      </c>
      <c r="F91" s="538">
        <f>C91*E91</f>
        <v>490</v>
      </c>
      <c r="G91" s="543"/>
      <c r="H91" s="528"/>
      <c r="I91" s="528"/>
      <c r="J91" s="528"/>
      <c r="K91" s="187"/>
      <c r="L91" s="216"/>
      <c r="M91" s="216"/>
      <c r="N91" s="217"/>
      <c r="O91" s="681" t="s">
        <v>183</v>
      </c>
      <c r="P91" s="681"/>
      <c r="Q91" s="681"/>
      <c r="R91" s="681"/>
      <c r="S91" s="681"/>
      <c r="T91" s="681"/>
      <c r="U91" s="216"/>
      <c r="V91" s="216"/>
      <c r="W91" s="216"/>
      <c r="X91" s="216"/>
      <c r="Y91" s="216" t="s">
        <v>169</v>
      </c>
      <c r="Z91" s="216">
        <v>800</v>
      </c>
      <c r="AA91" s="216">
        <v>600</v>
      </c>
      <c r="AB91" s="216">
        <v>150</v>
      </c>
      <c r="AC91" s="216">
        <v>12000</v>
      </c>
      <c r="AD91" s="216">
        <v>22000</v>
      </c>
      <c r="AE91" s="216">
        <v>600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19</v>
      </c>
      <c r="BH91" s="211" t="s">
        <v>32</v>
      </c>
      <c r="BI91" s="218" t="s">
        <v>120</v>
      </c>
      <c r="BJ91" s="211" t="s">
        <v>121</v>
      </c>
      <c r="BK91" s="211" t="s">
        <v>102</v>
      </c>
      <c r="BL91" s="211" t="s">
        <v>149</v>
      </c>
      <c r="BM91" s="211" t="s">
        <v>21</v>
      </c>
      <c r="BN91" s="211" t="s">
        <v>12</v>
      </c>
      <c r="BO91" s="211" t="s">
        <v>162</v>
      </c>
      <c r="BP91" s="211" t="s">
        <v>124</v>
      </c>
      <c r="BQ91" s="245" t="s">
        <v>125</v>
      </c>
      <c r="BR91" s="211" t="s">
        <v>126</v>
      </c>
      <c r="BS91" s="216"/>
      <c r="BT91" s="216" t="s">
        <v>166</v>
      </c>
      <c r="BU91" s="216">
        <v>250</v>
      </c>
      <c r="BV91" s="216">
        <v>200</v>
      </c>
      <c r="BW91" s="216">
        <v>100</v>
      </c>
      <c r="BX91" s="216">
        <v>3000</v>
      </c>
      <c r="BY91" s="216">
        <v>10000</v>
      </c>
      <c r="BZ91" s="216">
        <v>300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">
      <c r="A92" s="193" t="s">
        <v>406</v>
      </c>
      <c r="B92" s="194"/>
      <c r="C92" s="194">
        <f>C91</f>
        <v>49</v>
      </c>
      <c r="D92" s="538" t="s">
        <v>84</v>
      </c>
      <c r="E92" s="194">
        <v>20</v>
      </c>
      <c r="F92" s="538">
        <f ref="F92:F93" t="shared" si="23">C92*E92</f>
        <v>980</v>
      </c>
      <c r="G92" s="528"/>
      <c r="H92" s="528"/>
      <c r="I92" s="528"/>
      <c r="J92" s="528"/>
      <c r="L92" s="211" t="s">
        <v>19</v>
      </c>
      <c r="M92" s="211" t="s">
        <v>32</v>
      </c>
      <c r="N92" s="218" t="s">
        <v>120</v>
      </c>
      <c r="O92" s="211" t="s">
        <v>121</v>
      </c>
      <c r="P92" s="211" t="s">
        <v>102</v>
      </c>
      <c r="Q92" s="211" t="s">
        <v>149</v>
      </c>
      <c r="R92" s="211" t="s">
        <v>21</v>
      </c>
      <c r="S92" s="211" t="s">
        <v>12</v>
      </c>
      <c r="T92" s="211" t="s">
        <v>162</v>
      </c>
      <c r="U92" s="211" t="s">
        <v>124</v>
      </c>
      <c r="V92" s="245" t="s">
        <v>125</v>
      </c>
      <c r="W92" s="211" t="s">
        <v>126</v>
      </c>
      <c r="X92" s="216"/>
      <c r="Y92" s="216" t="s">
        <v>171</v>
      </c>
      <c r="Z92" s="216">
        <v>800</v>
      </c>
      <c r="AA92" s="216">
        <v>750</v>
      </c>
      <c r="AB92" s="216">
        <v>150</v>
      </c>
      <c r="AC92" s="216">
        <v>12000</v>
      </c>
      <c r="AD92" s="216">
        <v>22000</v>
      </c>
      <c r="AE92" s="216">
        <v>600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185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540</v>
      </c>
      <c r="BQ92" s="240">
        <f>BH92*BP92</f>
        <v>2160</v>
      </c>
      <c r="BR92" s="249">
        <f>(BQ92)/$R$68</f>
        <v>0.0091709620169323127</v>
      </c>
      <c r="BS92" s="216"/>
      <c r="BT92" s="216" t="s">
        <v>169</v>
      </c>
      <c r="BU92" s="216">
        <v>800</v>
      </c>
      <c r="BV92" s="216">
        <v>600</v>
      </c>
      <c r="BW92" s="216">
        <v>150</v>
      </c>
      <c r="BX92" s="216">
        <v>12000</v>
      </c>
      <c r="BY92" s="216">
        <v>22000</v>
      </c>
      <c r="BZ92" s="216">
        <v>600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">
      <c r="A93" s="537" t="s">
        <v>408</v>
      </c>
      <c r="B93" s="538" t="s">
        <v>409</v>
      </c>
      <c r="C93" s="538">
        <f>ROUNDUP((B76/3),0)</f>
        <v>6</v>
      </c>
      <c r="D93" s="538" t="s">
        <v>32</v>
      </c>
      <c r="E93" s="194">
        <v>275</v>
      </c>
      <c r="F93" s="538">
        <f t="shared" si="23"/>
        <v>1650</v>
      </c>
      <c r="G93" s="528"/>
      <c r="H93" s="528"/>
      <c r="I93" s="528"/>
      <c r="J93" s="528"/>
      <c r="L93" s="211">
        <v>1</v>
      </c>
      <c r="M93" s="212">
        <f>IF((I74="بالتات"),4,0)</f>
        <v>0</v>
      </c>
      <c r="N93" s="220" t="s">
        <v>185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540</v>
      </c>
      <c r="V93" s="240">
        <f>M93*U93</f>
        <v>0</v>
      </c>
      <c r="W93" s="249">
        <f>(V93)/$R$68</f>
        <v>0</v>
      </c>
      <c r="X93" s="216"/>
      <c r="Y93" s="216" t="s">
        <v>173</v>
      </c>
      <c r="Z93" s="216">
        <v>800</v>
      </c>
      <c r="AA93" s="216">
        <v>750</v>
      </c>
      <c r="AB93" s="216">
        <v>150</v>
      </c>
      <c r="AC93" s="216">
        <v>12000</v>
      </c>
      <c r="AD93" s="216">
        <v>22000</v>
      </c>
      <c r="AE93" s="216">
        <v>600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283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168</v>
      </c>
      <c r="BN93" s="250">
        <v>7</v>
      </c>
      <c r="BO93" s="211"/>
      <c r="BP93" s="243">
        <f>BN93*$S$2/1000</f>
        <v>315</v>
      </c>
      <c r="BQ93" s="240">
        <f>BH93*BP93</f>
        <v>0</v>
      </c>
      <c r="BR93" s="241">
        <f>(BQ93)/$R$68</f>
        <v>0</v>
      </c>
      <c r="BS93" s="216"/>
      <c r="BT93" s="216" t="s">
        <v>171</v>
      </c>
      <c r="BU93" s="216">
        <v>800</v>
      </c>
      <c r="BV93" s="216">
        <v>750</v>
      </c>
      <c r="BW93" s="216">
        <v>150</v>
      </c>
      <c r="BX93" s="216">
        <v>12000</v>
      </c>
      <c r="BY93" s="216">
        <v>22000</v>
      </c>
      <c r="BZ93" s="216">
        <v>600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">
      <c r="A94" s="537" t="s">
        <v>410</v>
      </c>
      <c r="B94" s="538" t="s">
        <v>411</v>
      </c>
      <c r="C94" s="538">
        <f>C93</f>
        <v>6</v>
      </c>
      <c r="D94" s="538" t="s">
        <v>32</v>
      </c>
      <c r="E94" s="194">
        <v>45</v>
      </c>
      <c r="F94" s="538">
        <f>E94*C94</f>
        <v>270</v>
      </c>
      <c r="G94" s="528"/>
      <c r="H94" s="528"/>
      <c r="I94" s="528"/>
      <c r="J94" s="528"/>
      <c r="L94" s="211">
        <v>2</v>
      </c>
      <c r="M94" s="219">
        <v>0</v>
      </c>
      <c r="N94" s="220" t="s">
        <v>283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168</v>
      </c>
      <c r="S94" s="250">
        <v>7</v>
      </c>
      <c r="T94" s="211"/>
      <c r="U94" s="243">
        <f>S94*$S$2/1000</f>
        <v>315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186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168</v>
      </c>
      <c r="BN94" s="211">
        <v>0.75</v>
      </c>
      <c r="BO94" s="211"/>
      <c r="BP94" s="243">
        <f>BN94*$S$2/1000</f>
        <v>33.75</v>
      </c>
      <c r="BQ94" s="240">
        <f>BH94*BP94</f>
        <v>540</v>
      </c>
      <c r="BR94" s="251">
        <f>(BQ94)/$R$68</f>
        <v>0.0022927405042330782</v>
      </c>
      <c r="BS94" s="216"/>
      <c r="BT94" s="216" t="s">
        <v>173</v>
      </c>
      <c r="BU94" s="216">
        <v>800</v>
      </c>
      <c r="BV94" s="216">
        <v>750</v>
      </c>
      <c r="BW94" s="216">
        <v>150</v>
      </c>
      <c r="BX94" s="216">
        <v>12000</v>
      </c>
      <c r="BY94" s="216">
        <v>22000</v>
      </c>
      <c r="BZ94" s="216">
        <v>600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">
      <c r="A95" s="537" t="s">
        <v>412</v>
      </c>
      <c r="B95" s="538" t="s">
        <v>32</v>
      </c>
      <c r="C95" s="538">
        <v>2</v>
      </c>
      <c r="D95" s="538" t="s">
        <v>32</v>
      </c>
      <c r="E95" s="194">
        <v>800</v>
      </c>
      <c r="F95" s="538">
        <f>E95*C95</f>
        <v>1600</v>
      </c>
      <c r="G95" s="528"/>
      <c r="H95" s="528"/>
      <c r="I95" s="528"/>
      <c r="J95" s="528"/>
      <c r="L95" s="211">
        <v>3</v>
      </c>
      <c r="M95" s="212">
        <f>M93*4</f>
        <v>0</v>
      </c>
      <c r="N95" s="213" t="s">
        <v>186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</v>
      </c>
      <c r="R95" s="211" t="s">
        <v>168</v>
      </c>
      <c r="S95" s="211">
        <v>0.75</v>
      </c>
      <c r="T95" s="211"/>
      <c r="U95" s="243">
        <f>S95*$S$2/1000</f>
        <v>33.75</v>
      </c>
      <c r="V95" s="240">
        <f>M95*U95</f>
        <v>0</v>
      </c>
      <c r="W95" s="251">
        <f>(V95)/$R$68</f>
        <v>0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92</v>
      </c>
      <c r="BH95" s="212">
        <f>SUBTOTAL(109,Table16627394105[عدد])</f>
        <v>20</v>
      </c>
      <c r="BI95" s="213" t="s">
        <v>92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2700</v>
      </c>
      <c r="BR95" s="244">
        <f>Table16627394105[[#Totals],[اجمالي]]/$R$68</f>
        <v>0.011463702521165391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">
      <c r="A96" s="537" t="s">
        <v>277</v>
      </c>
      <c r="B96" s="538" t="s">
        <v>32</v>
      </c>
      <c r="C96" s="538">
        <v>1</v>
      </c>
      <c r="D96" s="538" t="s">
        <v>32</v>
      </c>
      <c r="E96" s="538">
        <f>Sheet2!B57</f>
        <v>9000</v>
      </c>
      <c r="F96" s="538">
        <f>E96*C96</f>
        <v>9000</v>
      </c>
      <c r="G96" s="528"/>
      <c r="H96" s="528"/>
      <c r="I96" s="528"/>
      <c r="J96" s="528"/>
      <c r="L96" s="211" t="s">
        <v>92</v>
      </c>
      <c r="M96" s="212">
        <f>SUBTOTAL(109,Table16627394[عدد])</f>
        <v>0</v>
      </c>
      <c r="N96" s="213" t="s">
        <v>92</v>
      </c>
      <c r="O96" s="214"/>
      <c r="P96" s="214"/>
      <c r="Q96" s="216">
        <f>SUBTOTAL(109,Table16627394[Column12])</f>
        <v>9.6000000000000014</v>
      </c>
      <c r="R96" s="211"/>
      <c r="S96" s="211">
        <f>(S94*M94)+(M95*S95)</f>
        <v>0</v>
      </c>
      <c r="T96" s="211"/>
      <c r="U96" s="242"/>
      <c r="V96" s="240">
        <f>SUBTOTAL(109,Table16627394[اجمالي])</f>
        <v>0</v>
      </c>
      <c r="W96" s="244">
        <f>Table16627394[[#Totals],[اجمالي]]/$R$68</f>
        <v>0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681" t="s">
        <v>187</v>
      </c>
      <c r="BK96" s="681"/>
      <c r="BL96" s="681"/>
      <c r="BM96" s="681"/>
      <c r="BN96" s="681"/>
      <c r="BO96" s="681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">
      <c r="A97" s="193" t="s">
        <v>92</v>
      </c>
      <c r="B97" s="199">
        <f>(Table80102114115[[#Totals],[price]]*1.1)/(F74*D74/10000)</f>
        <v>9807.9450231481478</v>
      </c>
      <c r="C97" s="194"/>
      <c r="D97" s="194"/>
      <c r="E97" s="194"/>
      <c r="F97" s="194">
        <f>SUBTOTAL(109,Table80102114115[price])</f>
        <v>77036.95</v>
      </c>
      <c r="L97" s="216"/>
      <c r="M97" s="216"/>
      <c r="N97" s="217"/>
      <c r="O97" s="681" t="s">
        <v>187</v>
      </c>
      <c r="P97" s="681"/>
      <c r="Q97" s="681"/>
      <c r="R97" s="681"/>
      <c r="S97" s="681"/>
      <c r="T97" s="681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19</v>
      </c>
      <c r="BH97" s="211" t="s">
        <v>32</v>
      </c>
      <c r="BI97" s="218" t="s">
        <v>120</v>
      </c>
      <c r="BJ97" s="211" t="s">
        <v>121</v>
      </c>
      <c r="BK97" s="211" t="s">
        <v>102</v>
      </c>
      <c r="BL97" s="211" t="s">
        <v>149</v>
      </c>
      <c r="BM97" s="211" t="s">
        <v>21</v>
      </c>
      <c r="BN97" s="211" t="s">
        <v>12</v>
      </c>
      <c r="BO97" s="211" t="s">
        <v>162</v>
      </c>
      <c r="BP97" s="211" t="s">
        <v>124</v>
      </c>
      <c r="BQ97" s="245" t="s">
        <v>125</v>
      </c>
      <c r="BR97" s="211" t="s">
        <v>126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">
      <c r="A98" s="200"/>
      <c r="L98" s="211" t="s">
        <v>19</v>
      </c>
      <c r="M98" s="211" t="s">
        <v>32</v>
      </c>
      <c r="N98" s="218" t="s">
        <v>120</v>
      </c>
      <c r="O98" s="211" t="s">
        <v>121</v>
      </c>
      <c r="P98" s="211" t="s">
        <v>102</v>
      </c>
      <c r="Q98" s="211" t="s">
        <v>149</v>
      </c>
      <c r="R98" s="211" t="s">
        <v>21</v>
      </c>
      <c r="S98" s="211" t="s">
        <v>12</v>
      </c>
      <c r="T98" s="211" t="s">
        <v>162</v>
      </c>
      <c r="U98" s="211" t="s">
        <v>124</v>
      </c>
      <c r="V98" s="245" t="s">
        <v>125</v>
      </c>
      <c r="W98" s="211" t="s">
        <v>126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0</v>
      </c>
      <c r="BI98" s="213" t="s">
        <v>195</v>
      </c>
      <c r="BJ98" s="214"/>
      <c r="BK98" s="214"/>
      <c r="BL98" s="214"/>
      <c r="BM98" s="211" t="s">
        <v>196</v>
      </c>
      <c r="BN98" s="211"/>
      <c r="BO98" s="211"/>
      <c r="BP98" s="248">
        <f>BP28</f>
        <v>400</v>
      </c>
      <c r="BQ98" s="240">
        <f ref="BQ98:BQ112" t="shared" si="24">BH98*BP98</f>
        <v>0</v>
      </c>
      <c r="BR98" s="241">
        <f ref="BR98:BR112" t="shared" si="25" ca="1">(BQ98)/$R$68</f>
        <v>0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">
      <c r="A99" s="200"/>
      <c r="L99" s="211">
        <v>1</v>
      </c>
      <c r="M99" s="222">
        <f>AM80/3</f>
        <v>0</v>
      </c>
      <c r="N99" s="213" t="s">
        <v>195</v>
      </c>
      <c r="O99" s="214"/>
      <c r="P99" s="214"/>
      <c r="Q99" s="214"/>
      <c r="R99" s="211" t="s">
        <v>196</v>
      </c>
      <c r="S99" s="211"/>
      <c r="T99" s="211"/>
      <c r="U99" s="248">
        <f>Sheet2!B24</f>
        <v>400</v>
      </c>
      <c r="V99" s="240">
        <f ref="V99:V104" t="shared" si="26">M99*U99</f>
        <v>0</v>
      </c>
      <c r="W99" s="241">
        <f ref="W99:W113" t="shared" si="27" ca="1">(V99)/$R$68</f>
        <v>0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188</v>
      </c>
      <c r="BJ99" s="211"/>
      <c r="BK99" s="211"/>
      <c r="BL99" s="211"/>
      <c r="BM99" s="211" t="s">
        <v>189</v>
      </c>
      <c r="BN99" s="211"/>
      <c r="BO99" s="211"/>
      <c r="BP99" s="248">
        <f ref="BP99:BP112" t="shared" si="28">BP29</f>
        <v>18</v>
      </c>
      <c r="BQ99" s="240">
        <f t="shared" si="24"/>
        <v>54</v>
      </c>
      <c r="BR99" s="241">
        <f t="shared" si="25" ca="1"/>
        <v>0.00022927405042330782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">
      <c r="A100" s="200"/>
      <c r="L100" s="211">
        <v>2</v>
      </c>
      <c r="M100" s="219">
        <v>3</v>
      </c>
      <c r="N100" s="218" t="s">
        <v>188</v>
      </c>
      <c r="O100" s="211"/>
      <c r="P100" s="211"/>
      <c r="Q100" s="211"/>
      <c r="R100" s="211" t="s">
        <v>189</v>
      </c>
      <c r="S100" s="211"/>
      <c r="T100" s="211"/>
      <c r="U100" s="248">
        <f>Sheet2!B48</f>
        <v>25</v>
      </c>
      <c r="V100" s="240">
        <f t="shared" si="26"/>
        <v>75</v>
      </c>
      <c r="W100" s="241">
        <f t="shared" si="27" ca="1"/>
        <v>0.00031843618114348309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190</v>
      </c>
      <c r="BJ100" s="211"/>
      <c r="BK100" s="211"/>
      <c r="BL100" s="211"/>
      <c r="BM100" s="211" t="s">
        <v>189</v>
      </c>
      <c r="BN100" s="211"/>
      <c r="BO100" s="211"/>
      <c r="BP100" s="248">
        <f t="shared" si="28"/>
        <v>18</v>
      </c>
      <c r="BQ100" s="240">
        <f t="shared" si="24"/>
        <v>54</v>
      </c>
      <c r="BR100" s="241">
        <f t="shared" si="25" ca="1"/>
        <v>0.00022927405042330782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">
      <c r="A101" s="200"/>
      <c r="L101" s="211">
        <v>3</v>
      </c>
      <c r="M101" s="212">
        <v>3</v>
      </c>
      <c r="N101" s="218" t="s">
        <v>190</v>
      </c>
      <c r="O101" s="211"/>
      <c r="P101" s="211"/>
      <c r="Q101" s="211"/>
      <c r="R101" s="211" t="s">
        <v>189</v>
      </c>
      <c r="S101" s="211"/>
      <c r="T101" s="211"/>
      <c r="U101" s="248">
        <f>Sheet2!B48</f>
        <v>25</v>
      </c>
      <c r="V101" s="240">
        <f t="shared" si="26"/>
        <v>75</v>
      </c>
      <c r="W101" s="241">
        <f t="shared" si="27" ca="1"/>
        <v>0.00031843618114348309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191</v>
      </c>
      <c r="BJ101" s="214"/>
      <c r="BK101" s="214"/>
      <c r="BL101" s="214"/>
      <c r="BM101" s="211" t="s">
        <v>192</v>
      </c>
      <c r="BN101" s="211"/>
      <c r="BO101" s="211"/>
      <c r="BP101" s="248">
        <f t="shared" si="28"/>
        <v>25</v>
      </c>
      <c r="BQ101" s="240">
        <f t="shared" si="24"/>
        <v>25</v>
      </c>
      <c r="BR101" s="241">
        <f t="shared" si="25" ca="1"/>
        <v>0.00010614539371449436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">
      <c r="A102" s="200"/>
      <c r="L102" s="211">
        <v>4</v>
      </c>
      <c r="M102" s="219">
        <v>1</v>
      </c>
      <c r="N102" s="213" t="s">
        <v>191</v>
      </c>
      <c r="O102" s="214"/>
      <c r="P102" s="214"/>
      <c r="Q102" s="214"/>
      <c r="R102" s="211" t="s">
        <v>192</v>
      </c>
      <c r="S102" s="211"/>
      <c r="T102" s="211"/>
      <c r="U102" s="248">
        <v>40</v>
      </c>
      <c r="V102" s="240">
        <f t="shared" si="26"/>
        <v>40</v>
      </c>
      <c r="W102" s="241">
        <f t="shared" si="27" ca="1"/>
        <v>0.00016983262994319098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193</v>
      </c>
      <c r="BJ102" s="214"/>
      <c r="BK102" s="214"/>
      <c r="BL102" s="214"/>
      <c r="BM102" s="211" t="s">
        <v>192</v>
      </c>
      <c r="BN102" s="211"/>
      <c r="BO102" s="211"/>
      <c r="BP102" s="248">
        <f t="shared" si="28"/>
        <v>150</v>
      </c>
      <c r="BQ102" s="240">
        <f t="shared" si="24"/>
        <v>150</v>
      </c>
      <c r="BR102" s="241">
        <f t="shared" si="25" ca="1"/>
        <v>0.00063687236228696618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">
      <c r="A103" s="200"/>
      <c r="L103" s="211">
        <v>5</v>
      </c>
      <c r="M103" s="212">
        <v>1</v>
      </c>
      <c r="N103" s="213" t="s">
        <v>193</v>
      </c>
      <c r="O103" s="214"/>
      <c r="P103" s="214"/>
      <c r="Q103" s="214"/>
      <c r="R103" s="211" t="s">
        <v>192</v>
      </c>
      <c r="S103" s="211"/>
      <c r="T103" s="211"/>
      <c r="U103" s="248">
        <v>150</v>
      </c>
      <c r="V103" s="240">
        <f t="shared" si="26"/>
        <v>150</v>
      </c>
      <c r="W103" s="241">
        <f t="shared" si="27" ca="1"/>
        <v>0.00063687236228696618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194</v>
      </c>
      <c r="BJ103" s="214"/>
      <c r="BK103" s="214"/>
      <c r="BL103" s="214"/>
      <c r="BM103" s="211" t="s">
        <v>168</v>
      </c>
      <c r="BN103" s="211"/>
      <c r="BO103" s="211"/>
      <c r="BP103" s="248">
        <f t="shared" si="28"/>
        <v>40</v>
      </c>
      <c r="BQ103" s="240">
        <f t="shared" si="24"/>
        <v>80</v>
      </c>
      <c r="BR103" s="241">
        <f t="shared" si="25" ca="1"/>
        <v>0.00033966525988638195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">
      <c r="A104" s="200"/>
      <c r="L104" s="211">
        <v>6</v>
      </c>
      <c r="M104" s="219">
        <v>2</v>
      </c>
      <c r="N104" s="213" t="s">
        <v>194</v>
      </c>
      <c r="O104" s="214"/>
      <c r="P104" s="214"/>
      <c r="Q104" s="214"/>
      <c r="R104" s="211" t="s">
        <v>168</v>
      </c>
      <c r="S104" s="211"/>
      <c r="T104" s="211"/>
      <c r="U104" s="248">
        <v>40</v>
      </c>
      <c r="V104" s="240">
        <f t="shared" si="26"/>
        <v>80</v>
      </c>
      <c r="W104" s="241">
        <f t="shared" si="27" ca="1"/>
        <v>0.00033966525988638195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0</v>
      </c>
      <c r="BI104" s="213" t="s">
        <v>129</v>
      </c>
      <c r="BJ104" s="214"/>
      <c r="BK104" s="214"/>
      <c r="BL104" s="214"/>
      <c r="BM104" s="211"/>
      <c r="BN104" s="211"/>
      <c r="BO104" s="211"/>
      <c r="BP104" s="248">
        <f t="shared" si="28"/>
        <v>220</v>
      </c>
      <c r="BQ104" s="240">
        <f t="shared" si="24"/>
        <v>0</v>
      </c>
      <c r="BR104" s="251">
        <f t="shared" si="25" ca="1"/>
        <v>0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">
      <c r="A105" s="200"/>
      <c r="L105" s="211">
        <v>7</v>
      </c>
      <c r="M105" s="212">
        <f>ROUNDUP(AM78,0)</f>
        <v>0</v>
      </c>
      <c r="N105" s="213" t="s">
        <v>129</v>
      </c>
      <c r="O105" s="214"/>
      <c r="P105" s="214"/>
      <c r="Q105" s="214"/>
      <c r="R105" s="211"/>
      <c r="S105" s="211"/>
      <c r="T105" s="211"/>
      <c r="U105" s="248">
        <f>Sheet2!B26</f>
        <v>220</v>
      </c>
      <c r="V105" s="240">
        <f ref="V105:V111" t="shared" si="29">M105*U105</f>
        <v>0</v>
      </c>
      <c r="W105" s="251">
        <f t="shared" si="27" ca="1"/>
        <v>0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30">ROUNDUP(CH80,0)</f>
        <v>4</v>
      </c>
      <c r="BI105" s="213" t="s">
        <v>134</v>
      </c>
      <c r="BJ105" s="214"/>
      <c r="BK105" s="214"/>
      <c r="BL105" s="214"/>
      <c r="BM105" s="211"/>
      <c r="BN105" s="211"/>
      <c r="BO105" s="211"/>
      <c r="BP105" s="248">
        <f t="shared" si="28"/>
        <v>95</v>
      </c>
      <c r="BQ105" s="240">
        <f t="shared" si="24"/>
        <v>380</v>
      </c>
      <c r="BR105" s="251">
        <f t="shared" si="25" ca="1"/>
        <v>0.0016134099844603144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">
      <c r="A106" s="200"/>
      <c r="L106" s="211">
        <v>8</v>
      </c>
      <c r="M106" s="212">
        <f>ROUNDUP(AM79,0)</f>
        <v>4</v>
      </c>
      <c r="N106" s="213" t="s">
        <v>134</v>
      </c>
      <c r="O106" s="214"/>
      <c r="P106" s="214"/>
      <c r="Q106" s="214"/>
      <c r="R106" s="211"/>
      <c r="S106" s="211"/>
      <c r="T106" s="211"/>
      <c r="U106" s="248">
        <f>Sheet2!B25</f>
        <v>95</v>
      </c>
      <c r="V106" s="240">
        <f t="shared" si="29"/>
        <v>380</v>
      </c>
      <c r="W106" s="251">
        <f t="shared" si="27" ca="1"/>
        <v>0.0016134099844603144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30"/>
        <v>0</v>
      </c>
      <c r="BI106" s="213" t="s">
        <v>142</v>
      </c>
      <c r="BJ106" s="214"/>
      <c r="BK106" s="214"/>
      <c r="BL106" s="214"/>
      <c r="BM106" s="211"/>
      <c r="BN106" s="211"/>
      <c r="BO106" s="211"/>
      <c r="BP106" s="248">
        <f t="shared" si="28"/>
        <v>510</v>
      </c>
      <c r="BQ106" s="240">
        <f t="shared" si="24"/>
        <v>0</v>
      </c>
      <c r="BR106" s="251">
        <f t="shared" si="25" ca="1"/>
        <v>0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">
      <c r="A107" s="200"/>
      <c r="L107" s="211">
        <v>9</v>
      </c>
      <c r="M107" s="212">
        <f>ROUNDUP(AM80,0)</f>
        <v>0</v>
      </c>
      <c r="N107" s="213" t="s">
        <v>142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29"/>
        <v>0</v>
      </c>
      <c r="W107" s="251">
        <f t="shared" si="27" ca="1"/>
        <v>0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>
        <f>IF((تسعير!BE45="جلفنة و جوتن"),(Table15880101112[[#Totals],[الوزن]]+Table16627394105[[#Totals],[الوزن]]),0)</f>
        <v>0</v>
      </c>
      <c r="BI107" s="213" t="s">
        <v>200</v>
      </c>
      <c r="BJ107" s="214"/>
      <c r="BK107" s="214"/>
      <c r="BL107" s="214"/>
      <c r="BM107" s="211"/>
      <c r="BN107" s="211"/>
      <c r="BO107" s="211"/>
      <c r="BP107" s="248">
        <f t="shared" si="28"/>
        <v>30</v>
      </c>
      <c r="BQ107" s="240">
        <f t="shared" si="24"/>
        <v>0</v>
      </c>
      <c r="BR107" s="251">
        <f t="shared" si="25" ca="1"/>
        <v>0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29"/>
        <v>0</v>
      </c>
      <c r="W108" s="251">
        <f t="shared" si="27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212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25</v>
      </c>
      <c r="BI108" s="213" t="s">
        <v>201</v>
      </c>
      <c r="BJ108" s="214"/>
      <c r="BK108" s="214"/>
      <c r="BL108" s="214"/>
      <c r="BM108" s="211" t="s">
        <v>202</v>
      </c>
      <c r="BN108" s="211"/>
      <c r="BO108" s="211"/>
      <c r="BP108" s="248">
        <f t="shared" si="28"/>
        <v>360</v>
      </c>
      <c r="BQ108" s="240">
        <f t="shared" si="24"/>
        <v>9000</v>
      </c>
      <c r="BR108" s="251">
        <f t="shared" si="25" ca="1"/>
        <v>0.038212341737217971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">
      <c r="A109" s="200"/>
      <c r="L109" s="211">
        <v>11</v>
      </c>
      <c r="M109" s="212">
        <f>IF((تسعير!BE25="جلفنة و جوتن"),(Table15880101[[#Totals],[الوزن]]+Table16627394[[#Totals],[الوزن]]),0)</f>
        <v>0</v>
      </c>
      <c r="N109" s="213" t="s">
        <v>200</v>
      </c>
      <c r="O109" s="214"/>
      <c r="P109" s="214"/>
      <c r="Q109" s="214"/>
      <c r="R109" s="211"/>
      <c r="S109" s="211"/>
      <c r="T109" s="211"/>
      <c r="U109" s="248">
        <v>30</v>
      </c>
      <c r="V109" s="240">
        <f t="shared" si="29"/>
        <v>0</v>
      </c>
      <c r="W109" s="251">
        <f t="shared" si="27" ca="1"/>
        <v>0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563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25</v>
      </c>
      <c r="BI109" s="560" t="s">
        <v>203</v>
      </c>
      <c r="BJ109" s="214"/>
      <c r="BK109" s="214"/>
      <c r="BL109" s="214"/>
      <c r="BM109" s="561" t="s">
        <v>204</v>
      </c>
      <c r="BN109" s="211"/>
      <c r="BO109" s="211"/>
      <c r="BP109" s="248">
        <f t="shared" si="28"/>
        <v>435</v>
      </c>
      <c r="BQ109" s="240">
        <f t="shared" si="24"/>
        <v>10875</v>
      </c>
      <c r="BR109" s="251">
        <f t="shared" si="25" ca="1"/>
        <v>0.046173246265805046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25</v>
      </c>
      <c r="N110" s="213" t="s">
        <v>201</v>
      </c>
      <c r="O110" s="214"/>
      <c r="P110" s="214"/>
      <c r="Q110" s="214"/>
      <c r="R110" s="211" t="s">
        <v>202</v>
      </c>
      <c r="S110" s="211"/>
      <c r="T110" s="211"/>
      <c r="U110" s="248">
        <f>Sheet2!B18</f>
        <v>360</v>
      </c>
      <c r="V110" s="240">
        <f t="shared" si="29"/>
        <v>9000</v>
      </c>
      <c r="W110" s="251">
        <f t="shared" si="27" ca="1"/>
        <v>0.038212341737217971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563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5</v>
      </c>
      <c r="BI110" s="560" t="s">
        <v>155</v>
      </c>
      <c r="BJ110" s="214"/>
      <c r="BK110" s="214"/>
      <c r="BL110" s="214"/>
      <c r="BM110" s="561" t="s">
        <v>205</v>
      </c>
      <c r="BN110" s="211"/>
      <c r="BO110" s="211"/>
      <c r="BP110" s="248">
        <f t="shared" si="28"/>
        <v>190</v>
      </c>
      <c r="BQ110" s="240">
        <f t="shared" si="24"/>
        <v>950</v>
      </c>
      <c r="BR110" s="251">
        <f t="shared" si="25" ca="1"/>
        <v>0.0040335249611507858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25</v>
      </c>
      <c r="N111" s="218" t="s">
        <v>203</v>
      </c>
      <c r="O111" s="214"/>
      <c r="P111" s="214"/>
      <c r="Q111" s="214"/>
      <c r="R111" s="218" t="s">
        <v>204</v>
      </c>
      <c r="S111" s="211"/>
      <c r="T111" s="211"/>
      <c r="U111" s="248">
        <f>Sheet2!B20</f>
        <v>435</v>
      </c>
      <c r="V111" s="240">
        <f t="shared" si="29"/>
        <v>10875</v>
      </c>
      <c r="W111" s="251">
        <f t="shared" si="27" ca="1"/>
        <v>0.046173246265805046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563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5</v>
      </c>
      <c r="BI111" s="560" t="s">
        <v>158</v>
      </c>
      <c r="BJ111" s="214"/>
      <c r="BK111" s="214"/>
      <c r="BL111" s="214"/>
      <c r="BM111" s="561" t="s">
        <v>205</v>
      </c>
      <c r="BN111" s="211"/>
      <c r="BO111" s="211"/>
      <c r="BP111" s="248">
        <f t="shared" si="28"/>
        <v>190</v>
      </c>
      <c r="BQ111" s="240">
        <f t="shared" si="24"/>
        <v>950</v>
      </c>
      <c r="BR111" s="251">
        <f t="shared" si="25" ca="1"/>
        <v>0.0040335249611507858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5</v>
      </c>
      <c r="N112" s="218" t="s">
        <v>155</v>
      </c>
      <c r="O112" s="214"/>
      <c r="P112" s="214"/>
      <c r="Q112" s="214"/>
      <c r="R112" s="218" t="s">
        <v>205</v>
      </c>
      <c r="S112" s="211"/>
      <c r="T112" s="211"/>
      <c r="U112" s="248">
        <f>Sheet2!B22</f>
        <v>190</v>
      </c>
      <c r="V112" s="240">
        <f>M112*U113</f>
        <v>950</v>
      </c>
      <c r="W112" s="251">
        <f t="shared" si="27" ca="1"/>
        <v>0.0040335249611507858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551"/>
      <c r="BI112" s="552"/>
      <c r="BJ112" s="214"/>
      <c r="BK112" s="214"/>
      <c r="BL112" s="214"/>
      <c r="BM112" s="562"/>
      <c r="BN112" s="211"/>
      <c r="BO112" s="211"/>
      <c r="BP112" s="248">
        <f t="shared" si="28"/>
        <v>0</v>
      </c>
      <c r="BQ112" s="240">
        <f t="shared" si="24"/>
        <v>0</v>
      </c>
      <c r="BR112" s="251">
        <f t="shared" si="25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5</v>
      </c>
      <c r="N113" s="218" t="s">
        <v>158</v>
      </c>
      <c r="O113" s="214"/>
      <c r="P113" s="214"/>
      <c r="Q113" s="214"/>
      <c r="R113" s="218" t="s">
        <v>205</v>
      </c>
      <c r="S113" s="211"/>
      <c r="T113" s="211"/>
      <c r="U113" s="248">
        <f>Sheet2!B23</f>
        <v>190</v>
      </c>
      <c r="V113" s="240">
        <f>M113*U114</f>
        <v>0</v>
      </c>
      <c r="W113" s="251">
        <f t="shared" si="27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53" t="s">
        <v>92</v>
      </c>
      <c r="BH113" s="554"/>
      <c r="BI113" s="555" t="s">
        <v>92</v>
      </c>
      <c r="BJ113" s="556"/>
      <c r="BK113" s="556"/>
      <c r="BL113" s="556"/>
      <c r="BM113" s="553" t="s">
        <v>206</v>
      </c>
      <c r="BN113" s="553"/>
      <c r="BO113" s="553"/>
      <c r="BP113" s="557"/>
      <c r="BQ113" s="558">
        <f>SUBTOTAL(109,Table13597192103[اجمالي])</f>
        <v>22518</v>
      </c>
      <c r="BR113" s="559">
        <f>Table13597192103[[#Totals],[اجمالي]]/$R$68</f>
        <v>0.09560727902651936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">
      <c r="A114" s="200"/>
      <c r="L114" s="508" t="s">
        <v>92</v>
      </c>
      <c r="M114" s="509"/>
      <c r="N114" s="510" t="s">
        <v>92</v>
      </c>
      <c r="O114" s="511"/>
      <c r="P114" s="511"/>
      <c r="Q114" s="511"/>
      <c r="R114" s="508" t="s">
        <v>206</v>
      </c>
      <c r="S114" s="508"/>
      <c r="T114" s="508"/>
      <c r="U114" s="512"/>
      <c r="V114" s="513">
        <f>SUBTOTAL(109,Table13597192[اجمالي])</f>
        <v>21625</v>
      </c>
      <c r="W114" s="514">
        <f>Table13597192[[#Totals],[اجمالي]]/$R$68</f>
        <v>0.091815765563037624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681" t="s">
        <v>250</v>
      </c>
      <c r="BK115" s="681"/>
      <c r="BL115" s="681"/>
      <c r="BM115" s="681"/>
      <c r="BN115" s="681"/>
      <c r="BO115" s="681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">
      <c r="A116" s="200"/>
      <c r="L116" s="216"/>
      <c r="M116" s="216"/>
      <c r="N116" s="217"/>
      <c r="O116" s="681" t="s">
        <v>250</v>
      </c>
      <c r="P116" s="681"/>
      <c r="Q116" s="681"/>
      <c r="R116" s="681"/>
      <c r="S116" s="681"/>
      <c r="T116" s="681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19</v>
      </c>
      <c r="BH116" s="211" t="s">
        <v>32</v>
      </c>
      <c r="BI116" s="218" t="s">
        <v>120</v>
      </c>
      <c r="BJ116" s="211" t="s">
        <v>121</v>
      </c>
      <c r="BK116" s="211" t="s">
        <v>102</v>
      </c>
      <c r="BL116" s="211" t="s">
        <v>149</v>
      </c>
      <c r="BM116" s="211" t="s">
        <v>21</v>
      </c>
      <c r="BN116" s="211" t="s">
        <v>12</v>
      </c>
      <c r="BO116" s="211" t="s">
        <v>162</v>
      </c>
      <c r="BP116" s="211" t="s">
        <v>124</v>
      </c>
      <c r="BQ116" s="245" t="s">
        <v>125</v>
      </c>
      <c r="BR116" s="211" t="s">
        <v>126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">
      <c r="A117" s="200"/>
      <c r="L117" s="211" t="s">
        <v>19</v>
      </c>
      <c r="M117" s="211" t="s">
        <v>32</v>
      </c>
      <c r="N117" s="218" t="s">
        <v>120</v>
      </c>
      <c r="O117" s="211" t="s">
        <v>121</v>
      </c>
      <c r="P117" s="211" t="s">
        <v>102</v>
      </c>
      <c r="Q117" s="211" t="s">
        <v>149</v>
      </c>
      <c r="R117" s="211" t="s">
        <v>21</v>
      </c>
      <c r="S117" s="211" t="s">
        <v>12</v>
      </c>
      <c r="T117" s="211" t="s">
        <v>162</v>
      </c>
      <c r="U117" s="211" t="s">
        <v>124</v>
      </c>
      <c r="V117" s="245" t="s">
        <v>125</v>
      </c>
      <c r="W117" s="211" t="s">
        <v>126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375</v>
      </c>
      <c r="BJ117" s="214"/>
      <c r="BK117" s="211"/>
      <c r="BL117" s="216"/>
      <c r="BM117" s="214"/>
      <c r="BN117" s="211"/>
      <c r="BO117" s="247"/>
      <c r="BP117" s="248">
        <f>Table80102113[[#Totals],[price]]</f>
        <v>91204.7</v>
      </c>
      <c r="BQ117" s="252">
        <f>BH117*Table1613687798109[[#This Row],[سعر الشبك ]]</f>
        <v>91204.7</v>
      </c>
      <c r="BR117" s="241">
        <f>(BQ117)/$R$68</f>
        <v>0.38723835160449377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">
      <c r="A118" s="200"/>
      <c r="L118" s="211">
        <v>5</v>
      </c>
      <c r="M118" s="219">
        <v>1</v>
      </c>
      <c r="N118" s="213" t="s">
        <v>375</v>
      </c>
      <c r="O118" s="214"/>
      <c r="P118" s="211"/>
      <c r="Q118" s="216"/>
      <c r="R118" s="214"/>
      <c r="S118" s="211"/>
      <c r="T118" s="247"/>
      <c r="U118" s="248">
        <f>F97</f>
        <v>77036.95</v>
      </c>
      <c r="V118" s="252">
        <f>M118*Table1613687798[[#This Row],[سعر الشبك ]]</f>
        <v>77036.95</v>
      </c>
      <c r="W118" s="241">
        <f>(V118)/$R$68</f>
        <v>0.32708469553255265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219</v>
      </c>
      <c r="BJ118" s="214"/>
      <c r="BK118" s="211"/>
      <c r="BL118" s="216"/>
      <c r="BM118" s="214"/>
      <c r="BN118" s="211"/>
      <c r="BO118" s="247"/>
      <c r="BP118" s="248">
        <f>BQ117</f>
        <v>91204.7</v>
      </c>
      <c r="BQ118" s="240">
        <f>BH118*Table1613687798109[[#This Row],[سعر الشبك ]]</f>
        <v>9120.47</v>
      </c>
      <c r="BR118" s="241">
        <f>(BQ118)/$R$68</f>
        <v>0.038723835160449374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">
      <c r="A119" s="200"/>
      <c r="L119" s="211">
        <v>4</v>
      </c>
      <c r="M119" s="212">
        <f>IF((Q135="الاسكندرية"),0.25,0.1)</f>
        <v>0.1</v>
      </c>
      <c r="N119" s="213" t="s">
        <v>219</v>
      </c>
      <c r="O119" s="214"/>
      <c r="P119" s="211"/>
      <c r="Q119" s="216"/>
      <c r="R119" s="214"/>
      <c r="S119" s="211"/>
      <c r="T119" s="247"/>
      <c r="U119" s="248">
        <f>F97</f>
        <v>77036.95</v>
      </c>
      <c r="V119" s="240">
        <f>M119*Table1613687798[[#This Row],[سعر الشبك ]]</f>
        <v>7703.695</v>
      </c>
      <c r="W119" s="241">
        <f>(V119)/$R$68</f>
        <v>0.032708469553255265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92</v>
      </c>
      <c r="BH119" s="212"/>
      <c r="BI119" s="213" t="s">
        <v>92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100325.17</v>
      </c>
      <c r="BR119" s="244">
        <f>Table1613687798109[[#Totals],[اجمالي]]/$R$68</f>
        <v>0.42596218676494313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">
      <c r="A120" s="200"/>
      <c r="L120" s="211" t="s">
        <v>92</v>
      </c>
      <c r="M120" s="212"/>
      <c r="N120" s="213" t="s">
        <v>92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>
        <f>SUBTOTAL(109,Table1613687798[اجمالي])</f>
        <v>84740.64499999999</v>
      </c>
      <c r="W120" s="244">
        <f>Table1613687798[[#Totals],[اجمالي]]/$R$68</f>
        <v>0.35979316508580789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681" t="s">
        <v>220</v>
      </c>
      <c r="BK120" s="681"/>
      <c r="BL120" s="681"/>
      <c r="BM120" s="681"/>
      <c r="BN120" s="681"/>
      <c r="BO120" s="681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">
      <c r="A121" s="200"/>
      <c r="L121" s="216"/>
      <c r="M121" s="216"/>
      <c r="N121" s="217"/>
      <c r="O121" s="681" t="s">
        <v>220</v>
      </c>
      <c r="P121" s="681"/>
      <c r="Q121" s="681"/>
      <c r="R121" s="681"/>
      <c r="S121" s="681"/>
      <c r="T121" s="681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19</v>
      </c>
      <c r="BH121" s="211" t="s">
        <v>32</v>
      </c>
      <c r="BI121" s="218" t="s">
        <v>120</v>
      </c>
      <c r="BJ121" s="211" t="s">
        <v>221</v>
      </c>
      <c r="BK121" s="211" t="s">
        <v>105</v>
      </c>
      <c r="BL121" s="211" t="s">
        <v>222</v>
      </c>
      <c r="BM121" s="211" t="s">
        <v>223</v>
      </c>
      <c r="BN121" s="211" t="s">
        <v>149</v>
      </c>
      <c r="BO121" s="211" t="s">
        <v>224</v>
      </c>
      <c r="BP121" s="211" t="s">
        <v>225</v>
      </c>
      <c r="BQ121" s="245" t="s">
        <v>125</v>
      </c>
      <c r="BR121" s="211" t="s">
        <v>126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">
      <c r="A122" s="200"/>
      <c r="L122" s="211" t="s">
        <v>19</v>
      </c>
      <c r="M122" s="211" t="s">
        <v>32</v>
      </c>
      <c r="N122" s="218" t="s">
        <v>120</v>
      </c>
      <c r="O122" s="211" t="s">
        <v>221</v>
      </c>
      <c r="P122" s="211" t="s">
        <v>105</v>
      </c>
      <c r="Q122" s="211" t="s">
        <v>222</v>
      </c>
      <c r="R122" s="211" t="s">
        <v>223</v>
      </c>
      <c r="S122" s="211" t="s">
        <v>149</v>
      </c>
      <c r="T122" s="211" t="s">
        <v>224</v>
      </c>
      <c r="U122" s="211" t="s">
        <v>225</v>
      </c>
      <c r="V122" s="245" t="s">
        <v>125</v>
      </c>
      <c r="W122" s="211" t="s">
        <v>126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226</v>
      </c>
      <c r="BJ122" s="211">
        <f>IF((Table1612677697108[[#This Row],[موقع العمل]]="المصنع"),280,IF((Table1612677697108[[#This Row],[موقع العمل]]="الاسكندرية"),320,400))</f>
        <v>280</v>
      </c>
      <c r="BK122" s="211">
        <f>SUMIF(Table17697899110[Column1],Table1612677697108[[#This Row],[موقع العمل]],$AB$2:$AB$20)</f>
        <v>0</v>
      </c>
      <c r="BL122" s="211" t="s">
        <v>227</v>
      </c>
      <c r="BM122" s="214" t="s">
        <v>128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280</v>
      </c>
      <c r="BQ122" s="240">
        <f ref="BQ122:BQ134" t="shared" si="31" ca="1">BH122*BP122</f>
        <v>560</v>
      </c>
      <c r="BR122" s="241">
        <f ref="BR122:BR134" t="shared" si="32" ca="1">(BQ122)/$R$68</f>
        <v>0.0023776568192046738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">
      <c r="A123" s="200"/>
      <c r="L123" s="211">
        <v>1</v>
      </c>
      <c r="M123" s="219">
        <v>2</v>
      </c>
      <c r="N123" s="220" t="s">
        <v>226</v>
      </c>
      <c r="O123" s="211">
        <f>IF((Table1612677697[[#This Row],[موقع العمل]]="المصنع"),280,IF((Table1612677697[[#This Row],[موقع العمل]]="الاسكندرية"),320,400))</f>
        <v>280</v>
      </c>
      <c r="P123" s="211">
        <f>SUMIF(Table17697899[Column1],Table1612677697[[#This Row],[موقع العمل]],$AB$2:$AB$20)</f>
        <v>0</v>
      </c>
      <c r="Q123" s="211" t="s">
        <v>227</v>
      </c>
      <c r="R123" s="214" t="s">
        <v>128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280</v>
      </c>
      <c r="V123" s="240">
        <f ref="V123:V135" t="shared" si="33" ca="1">M123*U123</f>
        <v>560</v>
      </c>
      <c r="W123" s="241">
        <f ref="W123:W135" t="shared" si="34" ca="1">(V123)/$R$68</f>
        <v>0.0023776568192046738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228</v>
      </c>
      <c r="BJ123" s="211">
        <f>IF((Table1612677697108[[#This Row],[موقع العمل]]="المصنع"),280,IF((Table1612677697108[[#This Row],[موقع العمل]]="الاسكندرية"),320,400))</f>
        <v>280</v>
      </c>
      <c r="BK123" s="211">
        <f>SUMIF(Table17697899110[Column1],Table1612677697108[[#This Row],[موقع العمل]],$AB$2:$AB$20)</f>
        <v>0</v>
      </c>
      <c r="BL123" s="211" t="s">
        <v>227</v>
      </c>
      <c r="BM123" s="214" t="s">
        <v>128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280</v>
      </c>
      <c r="BQ123" s="240">
        <f t="shared" si="31" ca="1"/>
        <v>560</v>
      </c>
      <c r="BR123" s="241">
        <f t="shared" si="32" ca="1"/>
        <v>0.0023776568192046738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">
      <c r="A124" s="200"/>
      <c r="L124" s="211">
        <v>2</v>
      </c>
      <c r="M124" s="219">
        <v>2</v>
      </c>
      <c r="N124" s="220" t="s">
        <v>228</v>
      </c>
      <c r="O124" s="211">
        <f>IF((Table1612677697[[#This Row],[موقع العمل]]="المصنع"),280,IF((Table1612677697[[#This Row],[موقع العمل]]="الاسكندرية"),320,400))</f>
        <v>280</v>
      </c>
      <c r="P124" s="211">
        <f>SUMIF(Table17697899[Column1],Table1612677697[[#This Row],[موقع العمل]],$AB$2:$AB$20)</f>
        <v>0</v>
      </c>
      <c r="Q124" s="211" t="s">
        <v>227</v>
      </c>
      <c r="R124" s="214" t="s">
        <v>128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280</v>
      </c>
      <c r="V124" s="240">
        <f t="shared" si="33" ca="1"/>
        <v>560</v>
      </c>
      <c r="W124" s="241">
        <f t="shared" si="34" ca="1"/>
        <v>0.0023776568192046738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229</v>
      </c>
      <c r="BJ124" s="211">
        <f>IF((Table1612677697108[[#This Row],[موقع العمل]]="المصنع"),280,IF((Table1612677697108[[#This Row],[موقع العمل]]="الاسكندرية"),320,400))</f>
        <v>280</v>
      </c>
      <c r="BK124" s="211">
        <f>SUMIF(Table17697899110[Column1],Table1612677697108[[#This Row],[موقع العمل]],$AB$2:$AB$20)</f>
        <v>0</v>
      </c>
      <c r="BL124" s="211" t="s">
        <v>227</v>
      </c>
      <c r="BM124" s="214" t="s">
        <v>128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1"/>
        <v>0</v>
      </c>
      <c r="BR124" s="241">
        <f t="shared" si="32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">
      <c r="A125" s="200"/>
      <c r="L125" s="211">
        <v>3</v>
      </c>
      <c r="M125" s="219">
        <v>3</v>
      </c>
      <c r="N125" s="220" t="s">
        <v>229</v>
      </c>
      <c r="O125" s="211">
        <f>IF((Table1612677697[[#This Row],[موقع العمل]]="المصنع"),280,IF((Table1612677697[[#This Row],[موقع العمل]]="الاسكندرية"),320,400))</f>
        <v>280</v>
      </c>
      <c r="P125" s="211">
        <f>SUMIF(Table17697899[Column1],Table1612677697[[#This Row],[موقع العمل]],$AB$2:$AB$20)</f>
        <v>0</v>
      </c>
      <c r="Q125" s="211" t="s">
        <v>227</v>
      </c>
      <c r="R125" s="214" t="s">
        <v>128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3"/>
        <v>0</v>
      </c>
      <c r="W125" s="241">
        <f t="shared" si="34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230</v>
      </c>
      <c r="BJ125" s="211">
        <f>IF((Table1612677697108[[#This Row],[موقع العمل]]="المصنع"),280,IF((Table1612677697108[[#This Row],[موقع العمل]]="الاسكندرية"),320,400))</f>
        <v>280</v>
      </c>
      <c r="BK125" s="211">
        <f>SUMIF(Table17697899110[Column1],Table1612677697108[[#This Row],[موقع العمل]],$AB$2:$AB$20)</f>
        <v>0</v>
      </c>
      <c r="BL125" s="211" t="s">
        <v>227</v>
      </c>
      <c r="BM125" s="214" t="s">
        <v>128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560</v>
      </c>
      <c r="BQ125" s="240">
        <f t="shared" si="31" ca="1"/>
        <v>1680</v>
      </c>
      <c r="BR125" s="241">
        <f t="shared" si="32" ca="1"/>
        <v>0.0071329704576140211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">
      <c r="A126" s="200"/>
      <c r="L126" s="211">
        <v>4</v>
      </c>
      <c r="M126" s="212">
        <v>3</v>
      </c>
      <c r="N126" s="220" t="s">
        <v>230</v>
      </c>
      <c r="O126" s="211">
        <f>IF((Table1612677697[[#This Row],[موقع العمل]]="المصنع"),280,IF((Table1612677697[[#This Row],[موقع العمل]]="الاسكندرية"),320,400))</f>
        <v>280</v>
      </c>
      <c r="P126" s="211">
        <f>SUMIF(Table17697899[Column1],Table1612677697[[#This Row],[موقع العمل]],$AB$2:$AB$20)</f>
        <v>0</v>
      </c>
      <c r="Q126" s="211" t="s">
        <v>227</v>
      </c>
      <c r="R126" s="214" t="s">
        <v>128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560</v>
      </c>
      <c r="V126" s="240">
        <f t="shared" si="33" ca="1"/>
        <v>1680</v>
      </c>
      <c r="W126" s="241">
        <f t="shared" si="34" ca="1"/>
        <v>0.0071329704576140211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231</v>
      </c>
      <c r="BJ126" s="211">
        <f>IF((Table1612677697108[[#This Row],[موقع العمل]]="المصنع"),280,IF((Table1612677697108[[#This Row],[موقع العمل]]="الاسكندرية"),320,400))</f>
        <v>400</v>
      </c>
      <c r="BK126" s="211">
        <f>SUMIF(Table17697899110[Column1],Table1612677697108[[#This Row],[موقع العمل]],$AB$2:$AB$20)</f>
        <v>100</v>
      </c>
      <c r="BL126" s="211" t="str">
        <f>تسعير!$BE$44</f>
        <v>التجمع</v>
      </c>
      <c r="BM126" s="214" t="s">
        <v>128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6" s="240">
        <f t="shared" si="31" ca="1"/>
        <v>4000</v>
      </c>
      <c r="BR126" s="241">
        <f t="shared" si="32" ca="1"/>
        <v>0.016983262994319098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">
      <c r="A127" s="200"/>
      <c r="L127" s="211">
        <v>5</v>
      </c>
      <c r="M127" s="212">
        <v>4</v>
      </c>
      <c r="N127" s="220" t="s">
        <v>231</v>
      </c>
      <c r="O127" s="211">
        <f>IF((Table1612677697[[#This Row],[موقع العمل]]="المصنع"),280,IF((Table1612677697[[#This Row],[موقع العمل]]="الاسكندرية"),320,400))</f>
        <v>400</v>
      </c>
      <c r="P127" s="211">
        <f>SUMIF(Table17697899[Column1],Table1612677697[[#This Row],[موقع العمل]],$AB$2:$AB$20)</f>
        <v>100</v>
      </c>
      <c r="Q127" s="211" t="str">
        <f>تسعير!$BE$24</f>
        <v>الشيخ زايد</v>
      </c>
      <c r="R127" s="214" t="s">
        <v>128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27" s="240">
        <f t="shared" si="33" ca="1"/>
        <v>4000</v>
      </c>
      <c r="W127" s="241">
        <f t="shared" si="34" ca="1"/>
        <v>0.016983262994319098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232</v>
      </c>
      <c r="BJ127" s="211">
        <f>IF((Table1612677697108[[#This Row],[موقع العمل]]="المصنع"),280,IF((Table1612677697108[[#This Row],[موقع العمل]]="الاسكندرية"),320,400))</f>
        <v>400</v>
      </c>
      <c r="BK127" s="211">
        <f>SUMIF(Table17697899110[Column1],Table1612677697108[[#This Row],[موقع العمل]],$AB$2:$AB$20)</f>
        <v>100</v>
      </c>
      <c r="BL127" s="211" t="str">
        <f>تسعير!$BE$44</f>
        <v>التجمع</v>
      </c>
      <c r="BM127" s="214" t="s">
        <v>128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7" s="240">
        <f t="shared" si="31" ca="1"/>
        <v>3000</v>
      </c>
      <c r="BR127" s="241">
        <f t="shared" si="32" ca="1"/>
        <v>0.012737447245739324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">
      <c r="A128" s="200"/>
      <c r="L128" s="211">
        <v>6</v>
      </c>
      <c r="M128" s="212">
        <v>3</v>
      </c>
      <c r="N128" s="220" t="s">
        <v>232</v>
      </c>
      <c r="O128" s="211">
        <f>IF((Table1612677697[[#This Row],[موقع العمل]]="المصنع"),280,IF((Table1612677697[[#This Row],[موقع العمل]]="الاسكندرية"),320,400))</f>
        <v>400</v>
      </c>
      <c r="P128" s="211">
        <f>SUMIF(Table17697899[Column1],Table1612677697[[#This Row],[موقع العمل]],$AB$2:$AB$20)</f>
        <v>100</v>
      </c>
      <c r="Q128" s="211" t="str">
        <f>تسعير!$BE$24</f>
        <v>الشيخ زايد</v>
      </c>
      <c r="R128" s="214" t="s">
        <v>128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28" s="240">
        <f t="shared" si="33" ca="1"/>
        <v>3000</v>
      </c>
      <c r="W128" s="241">
        <f t="shared" si="34" ca="1"/>
        <v>0.012737447245739324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233</v>
      </c>
      <c r="BJ128" s="211">
        <f>IF((Table1612677697108[[#This Row],[موقع العمل]]="المصنع"),280,IF((Table1612677697108[[#This Row],[موقع العمل]]="الاسكندرية"),320,400))</f>
        <v>400</v>
      </c>
      <c r="BK128" s="211">
        <f>SUMIF(Table17697899110[Column1],Table1612677697108[[#This Row],[موقع العمل]],$AB$2:$AB$20)</f>
        <v>100</v>
      </c>
      <c r="BL128" s="211" t="str">
        <f>تسعير!$BE$44</f>
        <v>التجمع</v>
      </c>
      <c r="BM128" s="214" t="s">
        <v>128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1"/>
        <v>0</v>
      </c>
      <c r="BR128" s="241">
        <f t="shared" si="32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">
      <c r="A129" s="200"/>
      <c r="L129" s="211">
        <v>7</v>
      </c>
      <c r="M129" s="212">
        <v>0</v>
      </c>
      <c r="N129" s="220" t="s">
        <v>233</v>
      </c>
      <c r="O129" s="211">
        <f>IF((Table1612677697[[#This Row],[موقع العمل]]="المصنع"),280,IF((Table1612677697[[#This Row],[موقع العمل]]="الاسكندرية"),320,400))</f>
        <v>400</v>
      </c>
      <c r="P129" s="211">
        <f>SUMIF(Table17697899[Column1],Table1612677697[[#This Row],[موقع العمل]],$AB$2:$AB$20)</f>
        <v>100</v>
      </c>
      <c r="Q129" s="211" t="str">
        <f>تسعير!$BE$24</f>
        <v>الشيخ زايد</v>
      </c>
      <c r="R129" s="214" t="s">
        <v>128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3"/>
        <v>0</v>
      </c>
      <c r="W129" s="241">
        <f t="shared" si="34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08"/>
      <c r="AW129" s="309"/>
      <c r="AX129" s="309"/>
      <c r="AY129" s="309"/>
      <c r="AZ129" s="309"/>
      <c r="BA129" s="309"/>
      <c r="BG129" s="211">
        <v>8</v>
      </c>
      <c r="BH129" s="212">
        <v>4</v>
      </c>
      <c r="BI129" s="220" t="s">
        <v>234</v>
      </c>
      <c r="BJ129" s="211">
        <f>IF((Table1612677697108[[#This Row],[موقع العمل]]="المصنع"),280,IF((Table1612677697108[[#This Row],[موقع العمل]]="الاسكندرية"),320,400))</f>
        <v>400</v>
      </c>
      <c r="BK129" s="211">
        <f>SUMIF(Table17697899110[Column1],Table1612677697108[[#This Row],[موقع العمل]],$AB$2:$AB$20)</f>
        <v>100</v>
      </c>
      <c r="BL129" s="211" t="str">
        <f>تسعير!$BE$44</f>
        <v>التجمع</v>
      </c>
      <c r="BM129" s="214" t="s">
        <v>128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9" s="240">
        <f t="shared" si="31" ca="1"/>
        <v>4000</v>
      </c>
      <c r="BR129" s="241">
        <f t="shared" si="32" ca="1"/>
        <v>0.016983262994319098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">
      <c r="A130" s="200"/>
      <c r="L130" s="211">
        <v>8</v>
      </c>
      <c r="M130" s="212">
        <v>4</v>
      </c>
      <c r="N130" s="220" t="s">
        <v>234</v>
      </c>
      <c r="O130" s="211">
        <f>IF((Table1612677697[[#This Row],[موقع العمل]]="المصنع"),280,IF((Table1612677697[[#This Row],[موقع العمل]]="الاسكندرية"),320,400))</f>
        <v>400</v>
      </c>
      <c r="P130" s="211">
        <f>SUMIF(Table17697899[Column1],Table1612677697[[#This Row],[موقع العمل]],$AB$2:$AB$20)</f>
        <v>100</v>
      </c>
      <c r="Q130" s="211" t="str">
        <f>تسعير!$BE$24</f>
        <v>الشيخ زايد</v>
      </c>
      <c r="R130" s="214" t="s">
        <v>128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30" s="240">
        <f t="shared" si="33" ca="1"/>
        <v>4000</v>
      </c>
      <c r="W130" s="241">
        <f t="shared" si="34" ca="1"/>
        <v>0.016983262994319098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235</v>
      </c>
      <c r="BJ130" s="211"/>
      <c r="BK130" s="211"/>
      <c r="BL130" s="211" t="str">
        <f>تسعير!$BE$44</f>
        <v>التجمع</v>
      </c>
      <c r="BM130" s="214"/>
      <c r="BN130" s="247">
        <f>SUMIF(Table17697899110[Column1],Table1612677697108[[#This Row],[موقع العمل]],$Z$2:$Z$20)</f>
        <v>400</v>
      </c>
      <c r="BO130" s="247"/>
      <c r="BP130" s="243">
        <f>Table1612677697108[[#This Row],[Column12]]</f>
        <v>400</v>
      </c>
      <c r="BQ130" s="240">
        <f t="shared" si="31" ca="1"/>
        <v>8800</v>
      </c>
      <c r="BR130" s="241">
        <f t="shared" si="32" ca="1"/>
        <v>0.037363178587502016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">
      <c r="A131" s="200"/>
      <c r="L131" s="211">
        <v>9</v>
      </c>
      <c r="M131" s="212">
        <f>(M127+M128+M129+M130)*2</f>
        <v>22</v>
      </c>
      <c r="N131" s="220" t="s">
        <v>235</v>
      </c>
      <c r="O131" s="211"/>
      <c r="P131" s="211"/>
      <c r="Q131" s="211" t="str">
        <f>تسعير!$BE$24</f>
        <v>الشيخ زايد</v>
      </c>
      <c r="R131" s="214"/>
      <c r="S131" s="247">
        <f>SUMIF(Table17697899[Column1],Table1612677697[[#This Row],[موقع العمل]],$Z$2:$Z$20)</f>
        <v>400</v>
      </c>
      <c r="T131" s="247"/>
      <c r="U131" s="243">
        <f>Table1612677697[[#This Row],[Column12]]</f>
        <v>400</v>
      </c>
      <c r="V131" s="240">
        <f t="shared" si="33" ca="1"/>
        <v>8800</v>
      </c>
      <c r="W131" s="241">
        <f t="shared" si="34" ca="1"/>
        <v>0.037363178587502016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236</v>
      </c>
      <c r="BJ131" s="211"/>
      <c r="BK131" s="211"/>
      <c r="BL131" s="211" t="str">
        <f>تسعير!$BE$44</f>
        <v>التجمع</v>
      </c>
      <c r="BM131" s="214"/>
      <c r="BN131" s="247">
        <f>SUMIF(Table17697899110[Column1],Table1612677697108[[#This Row],[موقع العمل]],$AA$2:$AA$20)</f>
        <v>400</v>
      </c>
      <c r="BO131" s="247"/>
      <c r="BP131" s="243">
        <f>Table1612677697108[[#This Row],[Column12]]</f>
        <v>400</v>
      </c>
      <c r="BQ131" s="240">
        <f t="shared" si="31" ca="1"/>
        <v>3600</v>
      </c>
      <c r="BR131" s="241">
        <f t="shared" si="32" ca="1"/>
        <v>0.015284936694887188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">
      <c r="A132" s="200"/>
      <c r="L132" s="211">
        <v>10</v>
      </c>
      <c r="M132" s="212">
        <f>((T127+T128+T129+T130)*2)-3</f>
        <v>9</v>
      </c>
      <c r="N132" s="220" t="s">
        <v>236</v>
      </c>
      <c r="O132" s="211"/>
      <c r="P132" s="211"/>
      <c r="Q132" s="211" t="str">
        <f>تسعير!$BE$24</f>
        <v>الشيخ زايد</v>
      </c>
      <c r="R132" s="214"/>
      <c r="S132" s="247">
        <f>SUMIF(Table17697899[Column1],Table1612677697[[#This Row],[موقع العمل]],$AA$2:$AA$20)</f>
        <v>400</v>
      </c>
      <c r="T132" s="247"/>
      <c r="U132" s="243">
        <f>Table1612677697[[#This Row],[Column12]]</f>
        <v>400</v>
      </c>
      <c r="V132" s="240">
        <f t="shared" si="33" ca="1"/>
        <v>3600</v>
      </c>
      <c r="W132" s="241">
        <f t="shared" si="34" ca="1"/>
        <v>0.015284936694887188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237</v>
      </c>
      <c r="BJ132" s="211"/>
      <c r="BK132" s="211"/>
      <c r="BL132" s="211" t="str">
        <f>تسعير!$BE$44</f>
        <v>التجمع</v>
      </c>
      <c r="BM132" s="214"/>
      <c r="BN132" s="247">
        <f>SUMIF(Table17697899110[Column1],Table1612677697108[[#This Row],[موقع العمل]],$AC$2:$AC$20)</f>
        <v>3500</v>
      </c>
      <c r="BO132" s="247"/>
      <c r="BP132" s="243">
        <f>Table1612677697108[[#This Row],[Column12]]</f>
        <v>3500</v>
      </c>
      <c r="BQ132" s="240">
        <f t="shared" si="31" ca="1"/>
        <v>0</v>
      </c>
      <c r="BR132" s="241">
        <f t="shared" si="32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">
      <c r="A133" s="200"/>
      <c r="L133" s="211">
        <v>11</v>
      </c>
      <c r="M133" s="212">
        <v>0</v>
      </c>
      <c r="N133" s="220" t="s">
        <v>237</v>
      </c>
      <c r="O133" s="211"/>
      <c r="P133" s="211"/>
      <c r="Q133" s="211" t="str">
        <f>تسعير!$BE$24</f>
        <v>الشيخ زايد</v>
      </c>
      <c r="R133" s="214"/>
      <c r="S133" s="247">
        <f>SUMIF(Table17697899[Column1],Table1612677697[[#This Row],[موقع العمل]],$AC$2:$AC$20)</f>
        <v>3500</v>
      </c>
      <c r="T133" s="247"/>
      <c r="U133" s="243">
        <f>Table1612677697[[#This Row],[Column12]]</f>
        <v>3500</v>
      </c>
      <c r="V133" s="240">
        <f t="shared" si="33" ca="1"/>
        <v>0</v>
      </c>
      <c r="W133" s="241">
        <f t="shared" si="34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238</v>
      </c>
      <c r="BJ133" s="211"/>
      <c r="BK133" s="211"/>
      <c r="BL133" s="211" t="str">
        <f>تسعير!$BE$44</f>
        <v>التجمع</v>
      </c>
      <c r="BM133" s="214"/>
      <c r="BN133" s="247">
        <f>SUMIF(Table17697899110[Column1],Table1612677697108[[#This Row],[موقع العمل]],$AD$2:$AD$20)</f>
        <v>6000</v>
      </c>
      <c r="BO133" s="247"/>
      <c r="BP133" s="243">
        <f>Table1612677697108[[#This Row],[Column12]]</f>
        <v>6000</v>
      </c>
      <c r="BQ133" s="240">
        <f t="shared" si="31" ca="1"/>
        <v>12000</v>
      </c>
      <c r="BR133" s="241">
        <f t="shared" si="32" ca="1"/>
        <v>0.050949788982957295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">
      <c r="A134" s="200"/>
      <c r="L134" s="211">
        <v>12</v>
      </c>
      <c r="M134" s="212">
        <f>IF((تسعير!$AU$14="بالتات"),1,2)</f>
        <v>2</v>
      </c>
      <c r="N134" s="220" t="s">
        <v>238</v>
      </c>
      <c r="O134" s="211"/>
      <c r="P134" s="211"/>
      <c r="Q134" s="211" t="str">
        <f>تسعير!$BE$24</f>
        <v>الشيخ زايد</v>
      </c>
      <c r="R134" s="214"/>
      <c r="S134" s="247">
        <f>SUMIF(Table17697899[Column1],Table1612677697[[#This Row],[موقع العمل]],$AD$2:$AD$20)</f>
        <v>6000</v>
      </c>
      <c r="T134" s="247"/>
      <c r="U134" s="243">
        <f>Table1612677697[[#This Row],[Column12]]</f>
        <v>6000</v>
      </c>
      <c r="V134" s="240">
        <f t="shared" si="33" ca="1"/>
        <v>12000</v>
      </c>
      <c r="W134" s="241">
        <f t="shared" si="34" ca="1"/>
        <v>0.050949788982957295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108</v>
      </c>
      <c r="BJ134" s="211"/>
      <c r="BK134" s="211"/>
      <c r="BL134" s="211" t="str">
        <f>تسعير!$BE$44</f>
        <v>التجمع</v>
      </c>
      <c r="BM134" s="214"/>
      <c r="BN134" s="247">
        <f>SUMIF(Table17697899110[Column1],Table1612677697108[[#This Row],[موقع العمل]],$AE$2:$AE$8)</f>
        <v>150</v>
      </c>
      <c r="BO134" s="247"/>
      <c r="BP134" s="243">
        <f>Table1612677697108[[#This Row],[Column12]]</f>
        <v>150</v>
      </c>
      <c r="BQ134" s="240">
        <f t="shared" si="31" ca="1"/>
        <v>1050</v>
      </c>
      <c r="BR134" s="241">
        <f t="shared" si="32" ca="1"/>
        <v>0.0044581065360087633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">
      <c r="A135" s="200"/>
      <c r="L135" s="211">
        <v>13</v>
      </c>
      <c r="M135" s="212">
        <f>IF((تسعير!$AU$14="بالتات"),0,M132-2)</f>
        <v>7</v>
      </c>
      <c r="N135" s="220" t="s">
        <v>108</v>
      </c>
      <c r="O135" s="211"/>
      <c r="P135" s="211"/>
      <c r="Q135" s="211" t="str">
        <f>تسعير!$BE$24</f>
        <v>الشيخ زايد</v>
      </c>
      <c r="R135" s="214"/>
      <c r="S135" s="247">
        <f>SUMIF(Table17697899[Column1],Table1612677697[[#This Row],[موقع العمل]],$AE$2:$AE$8)</f>
        <v>150</v>
      </c>
      <c r="T135" s="247"/>
      <c r="U135" s="243">
        <f>Table1612677697[[#This Row],[Column12]]</f>
        <v>150</v>
      </c>
      <c r="V135" s="240">
        <f t="shared" si="33" ca="1"/>
        <v>1050</v>
      </c>
      <c r="W135" s="241">
        <f t="shared" si="34" ca="1"/>
        <v>0.0044581065360087633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572" t="s">
        <v>92</v>
      </c>
      <c r="BH135" s="571"/>
      <c r="BI135" s="550" t="s">
        <v>92</v>
      </c>
      <c r="BJ135" s="572"/>
      <c r="BK135" s="572"/>
      <c r="BL135" s="573"/>
      <c r="BM135" s="573"/>
      <c r="BN135" s="574">
        <f>SUBTOTAL(109,Table1612677697108[Column12])</f>
        <v>10450</v>
      </c>
      <c r="BO135" s="572"/>
      <c r="BP135" s="242"/>
      <c r="BQ135" s="575">
        <f>SUBTOTAL(109,Table1612677697108[اجمالي])</f>
        <v>39250</v>
      </c>
      <c r="BR135" s="576">
        <f>Table1612677697108[[#Totals],[اجمالي]]/$R$68</f>
        <v>0.16664826813175615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">
      <c r="A136" s="200"/>
      <c r="L136" s="572" t="s">
        <v>92</v>
      </c>
      <c r="M136" s="571"/>
      <c r="N136" s="550" t="s">
        <v>92</v>
      </c>
      <c r="O136" s="572"/>
      <c r="P136" s="572"/>
      <c r="Q136" s="573"/>
      <c r="R136" s="573"/>
      <c r="S136" s="574">
        <f>SUBTOTAL(109,Table1612677697[Column12])</f>
        <v>10450</v>
      </c>
      <c r="T136" s="572"/>
      <c r="U136" s="242"/>
      <c r="V136" s="575">
        <f>SUBTOTAL(109,Table1612677697[اجمالي])</f>
        <v>39250</v>
      </c>
      <c r="W136" s="576">
        <f>Table1612677697[[#Totals],[اجمالي]]/$R$68</f>
        <v>0.16664826813175615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692"/>
      <c r="BK136" s="692"/>
      <c r="BL136" s="692"/>
      <c r="BM136" s="692"/>
      <c r="BN136" s="692"/>
      <c r="BO136" s="692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">
      <c r="A137" s="200"/>
      <c r="L137" s="216"/>
      <c r="M137" s="216"/>
      <c r="N137" s="217"/>
      <c r="O137" s="692"/>
      <c r="P137" s="692"/>
      <c r="Q137" s="692"/>
      <c r="R137" s="692"/>
      <c r="S137" s="692"/>
      <c r="T137" s="692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102</v>
      </c>
      <c r="BJ137" s="211" t="s">
        <v>239</v>
      </c>
      <c r="BK137" s="211" t="s">
        <v>240</v>
      </c>
      <c r="BL137" s="211" t="s">
        <v>184</v>
      </c>
      <c r="BM137" s="211" t="s">
        <v>121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">
      <c r="A138" s="200"/>
      <c r="L138" s="211"/>
      <c r="M138" s="211"/>
      <c r="N138" s="218" t="s">
        <v>102</v>
      </c>
      <c r="O138" s="211" t="s">
        <v>239</v>
      </c>
      <c r="P138" s="211" t="s">
        <v>240</v>
      </c>
      <c r="Q138" s="211" t="s">
        <v>184</v>
      </c>
      <c r="R138" s="211" t="s">
        <v>121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241</v>
      </c>
      <c r="BJ138" s="214"/>
      <c r="BK138" s="211"/>
      <c r="BL138" s="280"/>
      <c r="BM138" s="281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188963.16999999998</v>
      </c>
      <c r="BN138" s="211"/>
      <c r="BO138" s="211"/>
      <c r="BP138" s="243"/>
      <c r="BQ138" s="282"/>
      <c r="BR138" s="283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">
      <c r="A139" s="200"/>
      <c r="L139" s="211"/>
      <c r="M139" s="219"/>
      <c r="N139" s="213" t="s">
        <v>241</v>
      </c>
      <c r="O139" s="214"/>
      <c r="P139" s="211"/>
      <c r="Q139" s="280"/>
      <c r="R139" s="281">
        <f>Table1612677697[[#Totals],[اجمالي]]+Table1613687798[[#Totals],[اجمالي]]+Table13597192[[#Totals],[اجمالي]]+Table16627394[[#Totals],[اجمالي]]+Table15617293[[#Totals],[اجمالي]]+Table15880101[[#Totals],[اجمالي]]</f>
        <v>177620.645</v>
      </c>
      <c r="S139" s="211"/>
      <c r="T139" s="211"/>
      <c r="U139" s="243"/>
      <c r="V139" s="282"/>
      <c r="W139" s="283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242</v>
      </c>
      <c r="BJ139" s="214"/>
      <c r="BK139" s="211"/>
      <c r="BL139" s="310">
        <f>IF((BL134="المقطم"),0.3,IF((BL134="التجمع"),0.3,IF((BL134="الشيخ زايد"),0.3,IF((BL134="الاسكندرية"),0.5,0.35))))</f>
        <v>0.3</v>
      </c>
      <c r="BM139" s="281">
        <f>BM138*(1+Table187079100111[[#This Row],[Column3]])</f>
        <v>245652.12099999999</v>
      </c>
      <c r="BN139" s="211"/>
      <c r="BO139" s="211"/>
      <c r="BP139" s="243"/>
      <c r="BQ139" s="282"/>
      <c r="BR139" s="283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">
      <c r="A140" s="200"/>
      <c r="L140" s="211"/>
      <c r="M140" s="212"/>
      <c r="N140" s="213" t="s">
        <v>242</v>
      </c>
      <c r="O140" s="214"/>
      <c r="P140" s="211"/>
      <c r="Q140" s="310">
        <f>IF((Q135="المقطم"),0.3,IF((Q135="التجمع"),0.3,IF((Q135="الشيخ زايد"),0.3,IF((Q135="الاسكندرية"),0.5,0.35))))</f>
        <v>0.3</v>
      </c>
      <c r="R140" s="281">
        <f>R139*(1+Table187079100[[#This Row],[Column3]])</f>
        <v>230906.83849999998</v>
      </c>
      <c r="S140" s="211"/>
      <c r="T140" s="211"/>
      <c r="U140" s="243"/>
      <c r="V140" s="282"/>
      <c r="W140" s="283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11"/>
      <c r="AK140" s="311"/>
      <c r="AL140" s="311"/>
      <c r="AM140" s="311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09"/>
      <c r="BD141" s="309"/>
      <c r="BE141" s="309"/>
      <c r="BG141" s="309"/>
      <c r="BH141" s="309"/>
      <c r="BI141" s="309"/>
      <c r="BJ141" s="309"/>
      <c r="BK141" s="309"/>
      <c r="BL141" s="309"/>
      <c r="BM141" s="309"/>
      <c r="BN141" s="309"/>
      <c r="BO141" s="309"/>
      <c r="BP141" s="309"/>
      <c r="BQ141" s="309"/>
      <c r="BR141" s="309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11"/>
      <c r="CF141" s="311"/>
      <c r="CG141" s="311"/>
      <c r="CH141" s="311"/>
      <c r="CI141" s="216"/>
      <c r="CJ141" s="216"/>
      <c r="CK141" s="216"/>
      <c r="CL141" s="216"/>
      <c r="CM141" s="216"/>
      <c r="CN141" s="216"/>
      <c r="CO141" s="256"/>
    </row>
    <row r="142" ht="18">
      <c r="A142" s="200"/>
      <c r="L142" s="309"/>
      <c r="M142" s="309"/>
      <c r="N142" s="309"/>
      <c r="O142" s="309"/>
      <c r="P142" s="309"/>
      <c r="Q142" s="309"/>
      <c r="R142" s="309"/>
      <c r="S142" s="309"/>
      <c r="T142" s="309"/>
      <c r="U142" s="309"/>
      <c r="V142" s="309"/>
      <c r="W142" s="309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11"/>
      <c r="AO142" s="311"/>
      <c r="AP142" s="311"/>
      <c r="AQ142" s="311"/>
      <c r="AR142" s="311"/>
      <c r="AS142" s="311"/>
      <c r="AT142" s="312"/>
      <c r="AU142" s="207"/>
      <c r="BB142" s="309"/>
      <c r="BF142" s="309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">
      <c r="A143" s="200"/>
      <c r="G143" s="309"/>
      <c r="H143" s="309"/>
      <c r="I143" s="309"/>
      <c r="J143" s="309"/>
      <c r="K143" s="309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11"/>
      <c r="Y143" s="311"/>
      <c r="Z143" s="311"/>
      <c r="AA143" s="311"/>
      <c r="AB143" s="311"/>
      <c r="AC143" s="311"/>
      <c r="AD143" s="311"/>
      <c r="AE143" s="311"/>
      <c r="AF143" s="311"/>
      <c r="AG143" s="311"/>
      <c r="AH143" s="311"/>
      <c r="AI143" s="311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">
      <c r="A144" s="308"/>
      <c r="B144" s="309"/>
      <c r="C144" s="309"/>
      <c r="D144" s="309"/>
      <c r="E144" s="309"/>
      <c r="F144" s="309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11"/>
      <c r="BT144" s="311"/>
      <c r="BU144" s="311"/>
      <c r="BV144" s="311"/>
      <c r="BW144" s="311"/>
      <c r="BX144" s="311"/>
      <c r="BY144" s="311"/>
      <c r="BZ144" s="311"/>
      <c r="CA144" s="311"/>
      <c r="CB144" s="311"/>
      <c r="CC144" s="311"/>
      <c r="CD144" s="311"/>
      <c r="CI144" s="311"/>
      <c r="CJ144" s="311"/>
      <c r="CK144" s="311"/>
      <c r="CL144" s="311"/>
      <c r="CM144" s="311"/>
      <c r="CN144" s="311"/>
      <c r="CO144" s="312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  <mergeCell ref="O137:T137"/>
    <mergeCell ref="BJ136:BO136"/>
    <mergeCell ref="O116:T116"/>
    <mergeCell ref="BJ115:BO115"/>
    <mergeCell ref="O121:T121"/>
    <mergeCell ref="BJ120:BO120"/>
    <mergeCell ref="BJ49:BO49"/>
    <mergeCell ref="O91:T91"/>
    <mergeCell ref="BJ90:BO90"/>
    <mergeCell ref="O66:T66"/>
    <mergeCell ref="BJ65:BO65"/>
    <mergeCell ref="BG71:BI72"/>
    <mergeCell ref="O12:T12"/>
    <mergeCell ref="BJ12:BO12"/>
    <mergeCell ref="O20:T20"/>
    <mergeCell ref="BJ20:BO20"/>
    <mergeCell ref="O26:T26"/>
    <mergeCell ref="BJ26:BO26"/>
    <mergeCell ref="L3:M3"/>
    <mergeCell ref="R3:T3"/>
    <mergeCell ref="BG3:BH3"/>
    <mergeCell ref="BM3:BO3"/>
    <mergeCell ref="O4:T4"/>
    <mergeCell ref="BJ4:BO4"/>
  </mergeCells>
  <dataValidations disablePrompts="1" count="1">
    <dataValidation type="list" allowBlank="1" showInputMessage="1" showErrorMessage="1" sqref="R52:R64 R123:R135 BM51:BM63 BM122:BM134" xr:uid="{00000000-0002-0000-0700-000000000000}">
      <formula1>$U$4:$U$5</formula1>
    </dataValidation>
  </dataValidations>
  <pageMargins left="0.7" right="0.7" top="0.75" bottom="0.75" header="0.3" footer="0.3"/>
  <pageSetup orientation="portrait" verticalDpi="0"/>
  <headerFooter/>
  <tableParts count="44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7</vt:i4>
      </vt:variant>
    </vt:vector>
  </HeadingPairs>
  <TitlesOfParts>
    <vt:vector size="28" baseType="lpstr">
      <vt:lpstr>Sheet2</vt:lpstr>
      <vt:lpstr>تسعير</vt:lpstr>
      <vt:lpstr>شماسي كانتليفر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ingaz</cp:lastModifiedBy>
  <dcterms:created xsi:type="dcterms:W3CDTF">2015-06-05T18:17:00Z</dcterms:created>
  <dcterms:modified xsi:type="dcterms:W3CDTF">2026-02-07T11:56:39Z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