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<sst xmlns="http://schemas.openxmlformats.org/spreadsheetml/2006/main" count="598" uniqueCount="598">
  <si>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</si>
  <si>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</si>
  <si>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</si>
  <si>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</si>
  <si>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</si>
  <si>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</si>
  <si>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</si>
  <si>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</si>
  <si>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</si>
  <si>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</si>
  <si>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</si>
  <si>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</si>
  <si>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</si>
  <si>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</si>
  <si>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</si>
  <si>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</si>
  <si>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</si>
  <si>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</si>
  <si>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</si>
  <si>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</si>
  <si>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</si>
  <si>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</si>
  <si>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</si>
  <si>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</si>
  <si>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</si>
  <si>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</si>
  <si>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</si>
  <si>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</si>
  <si>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</si>
  <si>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</si>
  <si>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</si>
  <si>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</si>
  <si>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</si>
  <si>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</si>
  <si>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</si>
  <si>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</si>
  <si>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</si>
  <si>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</si>
  <si>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</si>
  <si>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</si>
  <si>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</si>
  <si>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</si>
  <si>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</si>
  <si>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</si>
  <si>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</si>
  <si>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</si>
  <si>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</si>
  <si>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</si>
  <si>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</si>
  <si>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</si>
  <si>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</si>
  <si>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</si>
  <si>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</si>
  <si>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</si>
  <si>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</si>
  <si>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</si>
  <si>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</si>
  <si>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</si>
  <si>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</si>
  <si>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</si>
  <si>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</si>
  <si>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</si>
  <si>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</si>
  <si>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</si>
  <si>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</si>
  <si>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</si>
  <si>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</si>
  <si>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</si>
  <si>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</si>
  <si>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</si>
  <si>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</si>
  <si>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</si>
  <si>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</si>
  <si>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</si>
  <si>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</si>
  <si>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</si>
  <si>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</si>
  <si>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</si>
  <si>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</si>
  <si>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</si>
  <si>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</si>
  <si>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</si>
  <si>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</si>
  <si>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</si>
  <si>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</si>
  <si>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</si>
  <si>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</si>
  <si>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</si>
  <si>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</si>
  <si>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</si>
  <si>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</si>
  <si>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</si>
  <si>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</si>
  <si>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</si>
  <si>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</si>
  <si>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</si>
  <si>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</si>
  <si>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</si>
  <si>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</si>
  <si>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</si>
  <si>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</si>
  <si>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</si>
  <si>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</si>
  <si>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</si>
  <si>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</si>
  <si>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</si>
  <si>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</si>
  <si>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</si>
  <si>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</si>
  <si>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</si>
  <si>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</si>
  <si>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</si>
  <si>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</si>
  <si>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</si>
  <si>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</si>
  <si>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</si>
  <si>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</si>
  <si>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</si>
  <si>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</si>
  <si>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</si>
  <si>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</si>
  <si>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</si>
  <si>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</si>
  <si>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</si>
  <si>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</si>
  <si>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</si>
  <si>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</si>
  <si>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</si>
  <si>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</si>
  <si>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</si>
  <si>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</si>
  <si>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</si>
  <si>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</si>
  <si>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</si>
  <si>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</si>
  <si>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</si>
  <si>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</si>
  <si>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</si>
  <si>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</si>
  <si>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</si>
  <si>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</si>
  <si>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</si>
  <si>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</si>
  <si>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</si>
  <si>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</si>
  <si>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</si>
  <si>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</si>
  <si>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</si>
  <si>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</si>
  <si>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</si>
  <si>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</si>
  <si>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</si>
  <si>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</si>
  <si>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</si>
  <si>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</si>
  <si>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</si>
  <si>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</si>
  <si>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</si>
  <si>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</si>
  <si>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</si>
  <si>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</si>
  <si>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</si>
  <si>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</si>
  <si>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</si>
  <si>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</si>
  <si>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</si>
  <si>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</si>
  <si>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A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</si>
  <si>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</si>
  <si>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</si>
  <si>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</si>
  <si>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</si>
  <si>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</si>
  <si>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</si>
  <si>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</si>
  <si>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</si>
  <si>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</si>
  <si>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</si>
  <si>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</si>
  <si>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</si>
  <si>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</si>
  <si>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</si>
  <si>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</si>
  <si>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</si>
  <si>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</si>
  <si>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</si>
  <si>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</si>
  <si>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</si>
  <si>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</si>
  <si>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</si>
  <si>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</si>
  <si>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</si>
  <si>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</si>
  <si>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</si>
  <si>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</si>
  <si>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</si>
  <si>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</si>
  <si>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خشبي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</si>
  <si>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</si>
  <si>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</si>
  <si>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</si>
  <si>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</si>
  <si>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</si>
  <si>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</si>
  <si>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بالتات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</si>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</sst>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168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167</v>
      </c>
      <c r="C2" s="495" t="s">
        <v>169</v>
      </c>
      <c r="D2" s="496" t="s">
        <v>204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197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167</v>
      </c>
      <c r="C5" s="495" t="s">
        <v>169</v>
      </c>
      <c r="D5" s="496" t="s">
        <v>204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197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2133.1235057477479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 t="str">
        <f>IF((BG14="OK"),wavy2!R72,"R")</f>
        <v>R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 t="e">
        <f>BE2/(BG10*BL12)*10000</f>
        <v>#VALUE!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167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168</v>
      </c>
      <c r="T6" s="522" t="s">
        <v>169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170</v>
      </c>
      <c r="AJ6" s="458" t="s">
        <v>171</v>
      </c>
      <c r="AK6" s="459" t="s">
        <v>172</v>
      </c>
      <c r="AL6" s="458" t="s">
        <v>173</v>
      </c>
      <c r="AM6" s="458" t="s">
        <v>174</v>
      </c>
      <c r="AN6" s="460" t="s">
        <v>175</v>
      </c>
      <c r="AO6" s="627" t="s">
        <v>176</v>
      </c>
      <c r="AP6" s="628"/>
      <c r="AQ6" s="407"/>
      <c r="AR6" s="406"/>
      <c r="AS6" s="420" t="s">
        <v>168</v>
      </c>
      <c r="AT6" s="421" t="s">
        <v>169</v>
      </c>
      <c r="AU6" s="467"/>
      <c r="AV6" s="467"/>
      <c r="AW6" s="467"/>
      <c r="AX6" s="467"/>
      <c r="AY6" s="467"/>
      <c r="AZ6" s="467"/>
      <c r="BA6" s="467"/>
      <c r="BB6" s="467"/>
      <c r="BD6" s="482" t="s">
        <v>168</v>
      </c>
      <c r="BE6" s="487" t="s">
        <v>169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169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4000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191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برجاء مراجعة عرض البرجولة علما بأن اقصي عرض هو 500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192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193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194</v>
      </c>
      <c r="AT21" s="408"/>
      <c r="AU21" s="471"/>
      <c r="AW21" s="477"/>
      <c r="BC21" s="406"/>
      <c r="BD21" s="408" t="s">
        <v>195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167</v>
      </c>
      <c r="AW25" s="485">
        <f>AT34</f>
        <v>400</v>
      </c>
      <c r="BD25" s="418" t="s">
        <v>165</v>
      </c>
      <c r="BE25" s="419" t="s">
        <v>167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168</v>
      </c>
      <c r="T26" s="439" t="s">
        <v>169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170</v>
      </c>
      <c r="AH26" s="613" t="s">
        <v>196</v>
      </c>
      <c r="AI26" s="592" t="s">
        <v>173</v>
      </c>
      <c r="AJ26" s="592" t="s">
        <v>174</v>
      </c>
      <c r="AK26" s="592" t="s">
        <v>175</v>
      </c>
      <c r="AL26" s="603" t="s">
        <v>176</v>
      </c>
      <c r="AM26" s="603"/>
      <c r="AN26" s="407"/>
      <c r="AO26" s="407"/>
      <c r="AP26" s="407"/>
      <c r="AQ26" s="407"/>
      <c r="AR26" s="406"/>
      <c r="AS26" s="420" t="s">
        <v>168</v>
      </c>
      <c r="AT26" s="421" t="s">
        <v>197</v>
      </c>
      <c r="BD26" s="420" t="s">
        <v>168</v>
      </c>
      <c r="BE26" s="421" t="s">
        <v>197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198</v>
      </c>
      <c r="AH28" s="590" t="s">
        <v>199</v>
      </c>
      <c r="AI28" s="590" t="s">
        <v>169</v>
      </c>
      <c r="AJ28" s="590" t="s">
        <v>200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201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202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203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204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204</v>
      </c>
      <c r="BA32" s="476"/>
      <c r="BD32" s="430" t="s">
        <v>187</v>
      </c>
      <c r="BE32" s="426" t="s">
        <v>204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167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168</v>
      </c>
      <c r="AT46" s="421" t="s">
        <v>197</v>
      </c>
      <c r="AX46" s="485">
        <f>AT54</f>
        <v>400</v>
      </c>
      <c r="BD46" s="420" t="s">
        <v>168</v>
      </c>
      <c r="BE46" s="421" t="s">
        <v>197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204</v>
      </c>
      <c r="BA52" s="476"/>
      <c r="BD52" s="430" t="s">
        <v>187</v>
      </c>
      <c r="BE52" s="426" t="s">
        <v>204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167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14CCE925-3034-4C9F-8353-33A34075F333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B4AD82EA-161A-4B09-AC33-F73B80086162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4225A6D6-58C0-4F9D-8CDC-FA2F08AA04B5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197B3E28-8E32-458E-A4D2-89660D26DEDD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1D52CF1E-5C53-4858-887D-E3B01C2FF0E7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9C5D194-6B77-4DF4-BE44-D728A6F1E4CB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D148C8CA-CFDD-44EA-9ADB-9C5ED1F10224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9E019E7-4B2C-4AC0-9DEF-8C9DCD2FC21C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E393ADB9-8373-4E20-8F3A-00D8A9D35F5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4B4D272D-34C0-404E-993E-EFEAA78EA2B6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6787271D-84E4-4FE5-A63A-4F4D67816AF5}">
          <x14:formula1>
            <xm:f>wavy2!$A$19:$A$20</xm:f>
          </x14:formula1>
          <xm:sqref>BE9</xm:sqref>
        </x14:dataValidation>
        <x14:dataValidation type="list" allowBlank="1" showInputMessage="1" showErrorMessage="1" xr:uid="{6FC70B93-FE75-4431-9138-52D2D3992C04}">
          <x14:formula1>
            <xm:f>wavy1!$A$19:$A$20</xm:f>
          </x14:formula1>
          <xm:sqref>AT9</xm:sqref>
        </x14:dataValidation>
        <x14:dataValidation type="list" allowBlank="1" showInputMessage="1" showErrorMessage="1" xr:uid="{41A60D0D-9AA8-4E1E-ADC1-EF5168451E19}">
          <x14:formula1>
            <xm:f>Sheet2!$B$5:$B$7</xm:f>
          </x14:formula1>
          <xm:sqref>T25 T46 T64</xm:sqref>
        </x14:dataValidation>
        <x14:dataValidation type="list" allowBlank="1" showInputMessage="1" showErrorMessage="1" xr:uid="{FEB46B28-EFC0-444F-BC28-0355564270FE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E3885FA6-8882-4801-BC61-9445825D68A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6A298DC9-58C7-4C05-AAC9-881D85CC8BD7}">
          <x14:formula1>
            <xm:f>Sheet2!$C$5:$C$6</xm:f>
          </x14:formula1>
          <xm:sqref>T26</xm:sqref>
        </x14:dataValidation>
        <x14:dataValidation type="list" allowBlank="1" showInputMessage="1" showErrorMessage="1" xr:uid="{90C66EC5-AE9A-447E-A54F-4BA8C67F0613}">
          <x14:formula1>
            <xm:f>Sheet2!$A$5</xm:f>
          </x14:formula1>
          <xm:sqref>U31</xm:sqref>
        </x14:dataValidation>
        <x14:dataValidation type="list" allowBlank="1" showInputMessage="1" showErrorMessage="1" xr:uid="{FE979FD0-EE3A-43D9-8AA6-5AC5A4CB8802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17B8456C-4904-4661-98A7-B7A1FAB18C9C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97DE0159-9D31-481B-8024-9BF3F0D2AAD6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B5906FA8-FA5D-4CFD-A087-81355882D156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9D5386A3-8D6F-4FF7-A0C8-32CA8B0683E1}">
          <x14:formula1>
            <xm:f>Sheet2!$D$5:$D$6</xm:f>
          </x14:formula1>
          <xm:sqref>T32 T53 T71</xm:sqref>
        </x14:dataValidation>
        <x14:dataValidation type="list" allowBlank="1" showInputMessage="1" showErrorMessage="1" xr:uid="{B185CC07-52F8-4103-9932-1FBA1A37CDFB}">
          <x14:formula1>
            <xm:f>Sheet2!$A$6</xm:f>
          </x14:formula1>
          <xm:sqref>AC36</xm:sqref>
        </x14:dataValidation>
        <x14:dataValidation type="list" allowBlank="1" showInputMessage="1" showErrorMessage="1" xr:uid="{2B733D47-C58C-4B68-BDDF-DC2EA1B3AD18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45568.659149675928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55DE145B-4481-4D9D-A881-6E207826CA2E}">
      <formula1>$N$2:$N$20</formula1>
    </dataValidation>
    <dataValidation type="list" allowBlank="1" showInputMessage="1" showErrorMessage="1" sqref="G63:G75" xr:uid="{7CB39574-FFE6-4F42-A2B1-56CC124AE7E6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45568.659149675928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A2B8113E-C38B-403F-8856-75F531F38AC4}">
      <formula1>$U$4:$U$5</formula1>
    </dataValidation>
    <dataValidation type="list" allowBlank="1" showInputMessage="1" showErrorMessage="1" sqref="F72:F80" xr:uid="{DBC00D2C-89CB-48BA-BA57-A3D07768BEC1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45568.659149675928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699432D2-C069-4DAB-82D1-17AC467A1C77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280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4000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d2</v>
      </c>
      <c r="O3" s="207"/>
      <c r="P3" s="207"/>
      <c r="Q3" s="234" t="s">
        <v>18</v>
      </c>
      <c r="R3" s="641">
        <f>NOW()</f>
        <v>45568.659149675928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5.7280000000000015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6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4.32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2295</v>
      </c>
      <c r="W6" s="241">
        <f>(V6)/$R$71</f>
        <v>0.014788723958556726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5.432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328.00000000000006</v>
      </c>
      <c r="D7" s="187">
        <v>225</v>
      </c>
      <c r="F7" s="384">
        <f t="shared" si="0"/>
        <v>73800.000000000015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5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9.0000000000000018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6412.5</v>
      </c>
      <c r="W7" s="241">
        <f>(V7)/$R$71</f>
        <v>0.041321434590084971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3.5800000000000005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13.320000000000002</v>
      </c>
      <c r="R8" s="211"/>
      <c r="S8" s="211">
        <f>(S7*M7)</f>
        <v>142.5</v>
      </c>
      <c r="T8" s="211"/>
      <c r="U8" s="242"/>
      <c r="V8" s="240">
        <f>SUBTOTAL(109,Table15855[اجمالي])</f>
        <v>8707.5</v>
      </c>
      <c r="W8" s="244">
        <f>Table15855[[#Totals],[اجمالي]]/$R$71</f>
        <v>0.056110158548641695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5.7280000000000015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0.0025775553740403881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0.0014176554557222133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0.000837705496563126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0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0</v>
      </c>
      <c r="W14" s="241">
        <f t="shared" si="2"/>
        <v>0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371.87500000000006</v>
      </c>
      <c r="F17" s="387">
        <f>SUBTOTAL(109,Table823[اجمالي التكلفة])</f>
        <v>104125.00000000002</v>
      </c>
      <c r="G17" s="386"/>
      <c r="H17" s="386"/>
      <c r="I17" s="386"/>
      <c r="J17" s="386"/>
      <c r="L17" s="211">
        <v>7</v>
      </c>
      <c r="M17" s="212">
        <f>IF((N3="d1"),4,IF((N3="d2"),4,0))</f>
        <v>4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4800</v>
      </c>
      <c r="W17" s="241">
        <f t="shared" si="2"/>
        <v>0.030930664488484656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5550</v>
      </c>
      <c r="W18" s="244">
        <f>Table156140[[#Totals],[اجمالي]]/$R$71</f>
        <v>0.035763580814810382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0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</v>
      </c>
      <c r="R23" s="211"/>
      <c r="S23" s="211">
        <f>(S21*M21)+(M22*S22)</f>
        <v>0</v>
      </c>
      <c r="T23" s="211"/>
      <c r="U23" s="242"/>
      <c r="V23" s="240">
        <f>SUBTOTAL(109,Table166241[اجمالي])</f>
        <v>0</v>
      </c>
      <c r="W23" s="244">
        <f>Table166241[[#Totals],[اجمالي]]/$R$71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1.1933333333333336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477.33333333333343</v>
      </c>
      <c r="W26" s="241">
        <f ref="W26:W44" t="shared" si="4">(V26)/$R$71</f>
        <v>0.0030758827463548636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0.00028997497957954365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0.00028997497957954365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0.00048329163263257274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0.0028997497957954366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0.00077326661221211639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2.8589473684210529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300.18947368421055</v>
      </c>
      <c r="W32" s="241">
        <f t="shared" si="4"/>
        <v>0.0019343874778127313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5.7280000000000015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1432.0000000000005</v>
      </c>
      <c r="W33" s="241">
        <f t="shared" si="4"/>
        <v>0.00922764823906459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5.7280000000000015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2921.2800000000007</v>
      </c>
      <c r="W34" s="241">
        <f t="shared" si="4"/>
        <v>0.018824402407691766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0</v>
      </c>
      <c r="W41" s="251">
        <f t="shared" si="4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0</v>
      </c>
      <c r="W42" s="251">
        <f t="shared" si="4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5865.8028070175451</v>
      </c>
      <c r="W45" s="516">
        <f>Table135926[[#Totals],[اجمالي]]/$R$71</f>
        <v>0.037798578870723167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104125.00000000002</v>
      </c>
      <c r="V50" s="240">
        <f>M50*Table16136845[[#This Row],[سعر الشبك ]]</f>
        <v>104125.00000000002</v>
      </c>
      <c r="W50" s="241">
        <f t="shared" si="6"/>
        <v>0.6709698833048886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104125.00000000002</v>
      </c>
      <c r="V51" s="240">
        <f>M51*Table16136845[[#This Row],[سعر الشبك ]]</f>
        <v>10412.500000000002</v>
      </c>
      <c r="W51" s="241">
        <f t="shared" si="6"/>
        <v>0.067096988330488855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114537.50000000002</v>
      </c>
      <c r="W52" s="244">
        <f>Table16136845[[#Totals],[اجمالي]]/$R$71</f>
        <v>0.73806687163537743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1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5" s="240">
        <f ref="V55:V67" t="shared" si="7">M55*U55</f>
        <v>500</v>
      </c>
      <c r="W55" s="241">
        <f ref="W55:W67" t="shared" si="8">(V55)/$R$71</f>
        <v>0.003221944217550485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1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6" s="240">
        <f t="shared" si="7"/>
        <v>500</v>
      </c>
      <c r="W56" s="241">
        <f t="shared" si="8"/>
        <v>0.003221944217550485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0.003221944217550485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0.0048329163263257273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2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1050</v>
      </c>
      <c r="V59" s="240">
        <f t="shared" si="7"/>
        <v>4200</v>
      </c>
      <c r="W59" s="241">
        <f t="shared" si="8"/>
        <v>0.027064331427424072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2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1050</v>
      </c>
      <c r="V60" s="240">
        <f t="shared" si="7"/>
        <v>3150</v>
      </c>
      <c r="W60" s="241">
        <f t="shared" si="8"/>
        <v>0.020298248570568056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0.010149124285284028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0.015465332244242328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7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1750</v>
      </c>
      <c r="W64" s="241">
        <f t="shared" si="8"/>
        <v>0.011276804761426697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2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4600</v>
      </c>
      <c r="W66" s="241">
        <f t="shared" si="8"/>
        <v>0.02964188680146446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5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600</v>
      </c>
      <c r="W67" s="241">
        <f t="shared" si="8"/>
        <v>0.0038663330610605819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20525</v>
      </c>
      <c r="W68" s="566">
        <f>Table16126744[[#Totals],[اجمالي]]/$R$71</f>
        <v>0.13226081013044741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155185.80280701755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201741.54364912282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4343DA10-E889-4E9A-B217-BA16D99A102B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196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196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199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200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200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197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197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169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169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196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198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196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198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199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1E0B1BAF-BE64-4C02-B64C-AE63828050B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173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45568.65914984954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45568.65914984954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45568.65914984954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173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45568.65914984954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15FD4C4B-3B55-42DB-8AE0-2B4157113135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