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<sst xmlns="http://schemas.openxmlformats.org/spreadsheetml/2006/main" count="597" uniqueCount="597">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</sst>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8" t="s">
        <v>220</v>
      </c>
      <c r="H1" s="568"/>
      <c r="I1" s="568"/>
      <c r="J1" s="514"/>
    </row>
    <row r="2" ht="21">
      <c r="A2" s="502" t="s">
        <v>188</v>
      </c>
      <c r="B2" s="559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221</v>
      </c>
      <c r="H4" s="569"/>
      <c r="I4" s="569"/>
      <c r="J4" s="515"/>
    </row>
    <row r="5" ht="21">
      <c r="A5" s="502" t="s">
        <v>188</v>
      </c>
      <c r="B5" s="559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0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222</v>
      </c>
      <c r="B10" s="570"/>
    </row>
    <row r="11">
      <c r="A11" s="233" t="s">
        <v>223</v>
      </c>
      <c r="B11" s="233" t="s">
        <v>224</v>
      </c>
    </row>
    <row r="12">
      <c r="A12" s="233" t="s">
        <v>225</v>
      </c>
      <c r="B12" s="790">
        <v>50000</v>
      </c>
    </row>
    <row r="13">
      <c r="A13" s="233" t="s">
        <v>226</v>
      </c>
      <c r="B13" s="790">
        <v>55000</v>
      </c>
    </row>
    <row r="14">
      <c r="A14" s="558" t="s">
        <v>227</v>
      </c>
      <c r="B14" s="790">
        <v>230000</v>
      </c>
    </row>
    <row r="15">
      <c r="A15" s="233" t="s">
        <v>228</v>
      </c>
      <c r="B15" s="790">
        <v>60000</v>
      </c>
    </row>
    <row r="16">
      <c r="A16" s="233" t="s">
        <v>229</v>
      </c>
      <c r="B16" s="790">
        <v>275</v>
      </c>
    </row>
    <row r="17">
      <c r="A17" s="233" t="s">
        <v>230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231</v>
      </c>
      <c r="B33" s="790">
        <v>11000</v>
      </c>
    </row>
    <row r="34">
      <c r="A34" s="233" t="s">
        <v>232</v>
      </c>
      <c r="B34" s="790">
        <v>2000</v>
      </c>
    </row>
    <row r="35">
      <c r="A35" s="233" t="s">
        <v>233</v>
      </c>
      <c r="B35" s="790">
        <v>1500</v>
      </c>
    </row>
    <row r="36">
      <c r="A36" s="233" t="s">
        <v>234</v>
      </c>
      <c r="B36" s="790">
        <v>1500</v>
      </c>
    </row>
    <row r="37">
      <c r="A37" s="233" t="s">
        <v>235</v>
      </c>
      <c r="B37" s="790">
        <v>5000</v>
      </c>
    </row>
    <row r="38">
      <c r="A38" s="233" t="s">
        <v>236</v>
      </c>
      <c r="B38" s="790">
        <v>800</v>
      </c>
    </row>
    <row r="39">
      <c r="A39" s="233" t="s">
        <v>237</v>
      </c>
      <c r="B39" s="790">
        <v>150</v>
      </c>
    </row>
    <row r="40">
      <c r="A40" s="233" t="s">
        <v>238</v>
      </c>
      <c r="B40" s="790">
        <v>90</v>
      </c>
    </row>
    <row r="41">
      <c r="A41" s="233" t="s">
        <v>239</v>
      </c>
      <c r="B41" s="790">
        <v>25</v>
      </c>
    </row>
    <row r="42" ht="18.75">
      <c r="A42" s="331" t="s">
        <v>240</v>
      </c>
      <c r="B42" s="790">
        <v>450</v>
      </c>
    </row>
    <row r="43" ht="18.75">
      <c r="A43" s="331" t="s">
        <v>241</v>
      </c>
      <c r="B43" s="790">
        <v>160</v>
      </c>
    </row>
    <row r="44" ht="18.75">
      <c r="A44" s="331" t="s">
        <v>242</v>
      </c>
      <c r="B44" s="790">
        <v>175</v>
      </c>
    </row>
    <row r="45">
      <c r="A45" s="558" t="s">
        <v>243</v>
      </c>
      <c r="B45" s="790">
        <v>4000</v>
      </c>
    </row>
    <row r="46">
      <c r="A46" s="558" t="s">
        <v>244</v>
      </c>
      <c r="B46" s="790">
        <v>3000</v>
      </c>
    </row>
    <row r="47">
      <c r="A47" s="233" t="s">
        <v>245</v>
      </c>
      <c r="B47" s="790">
        <v>160</v>
      </c>
    </row>
    <row r="48">
      <c r="A48" s="233" t="s">
        <v>246</v>
      </c>
      <c r="B48" s="790">
        <v>20</v>
      </c>
    </row>
    <row r="49">
      <c r="A49" s="233" t="s">
        <v>247</v>
      </c>
      <c r="B49" s="790">
        <v>1200</v>
      </c>
    </row>
    <row r="50">
      <c r="A50" s="233" t="s">
        <v>248</v>
      </c>
      <c r="B50" s="790">
        <v>150</v>
      </c>
    </row>
    <row r="51">
      <c r="A51" s="233" t="s">
        <v>249</v>
      </c>
      <c r="B51" s="790">
        <v>150</v>
      </c>
    </row>
    <row r="52">
      <c r="A52" s="233" t="s">
        <v>250</v>
      </c>
      <c r="B52" s="790">
        <v>250</v>
      </c>
    </row>
    <row r="53">
      <c r="A53" s="233" t="s">
        <v>251</v>
      </c>
      <c r="B53" s="790">
        <v>100</v>
      </c>
    </row>
    <row r="54">
      <c r="A54" s="558" t="s">
        <v>252</v>
      </c>
      <c r="B54" s="790">
        <v>1200</v>
      </c>
    </row>
    <row r="55">
      <c r="A55" s="537" t="s">
        <v>253</v>
      </c>
      <c r="B55" s="790">
        <v>23000</v>
      </c>
    </row>
    <row r="56">
      <c r="A56" s="537" t="s">
        <v>254</v>
      </c>
      <c r="B56" s="790">
        <v>8000</v>
      </c>
    </row>
    <row r="57">
      <c r="A57" s="567" t="s">
        <v>255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366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368</v>
      </c>
      <c r="O7" s="99">
        <f>AA41/K7</f>
        <v>2995.7472659743612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 (2)'!B9</f>
        <v>5</v>
      </c>
    </row>
    <row r="19" ht="18" customHeight="1">
      <c r="A19" s="651" t="s">
        <v>435</v>
      </c>
      <c r="B19" s="652"/>
      <c r="C19" s="14">
        <f>'Format Φωτισμου (2)'!B12</f>
        <v>35</v>
      </c>
    </row>
    <row r="20" ht="18" customHeight="1">
      <c r="A20" s="651" t="s">
        <v>436</v>
      </c>
      <c r="B20" s="652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368</v>
      </c>
      <c r="O7" s="99">
        <f>AA41/K7</f>
        <v>2172.21301096709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50" t="s">
        <v>290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50" t="s">
        <v>290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تسجيل1!C7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500</v>
      </c>
      <c r="J4" s="15">
        <v>4</v>
      </c>
      <c r="K4" s="15">
        <v>2</v>
      </c>
    </row>
    <row r="5">
      <c r="A5" s="1" t="s">
        <v>257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Ro-1'!L14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15</v>
      </c>
      <c r="C10" s="650" t="s">
        <v>290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291</v>
      </c>
      <c r="B11" s="13">
        <f>E10/B9</f>
        <v>3</v>
      </c>
      <c r="C11" s="650" t="s">
        <v>290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19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8" t="s">
        <v>177</v>
      </c>
      <c r="AP6" s="579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179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189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187</v>
      </c>
      <c r="AT10" s="424" t="s">
        <v>188</v>
      </c>
      <c r="AU10" s="475"/>
      <c r="AV10" s="477">
        <v>255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190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950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191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193</v>
      </c>
      <c r="T14" s="534"/>
      <c r="U14" s="497" t="s">
        <v>194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193</v>
      </c>
      <c r="AT14" s="438"/>
      <c r="AU14" s="434" t="s">
        <v>194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امتداد البرجولة علما بأن اقصي امتداد هو 700</v>
      </c>
      <c r="AW14" s="577"/>
      <c r="AX14" s="577"/>
      <c r="AY14" s="577"/>
      <c r="AZ14" s="577"/>
      <c r="BA14" s="577"/>
      <c r="BB14" s="577"/>
      <c r="BC14" s="414"/>
      <c r="BD14" s="492" t="s">
        <v>193</v>
      </c>
      <c r="BE14" s="492"/>
      <c r="BF14" s="497" t="s">
        <v>195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196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197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343674.75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17183.7375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171</v>
      </c>
      <c r="AH26" s="598" t="s">
        <v>200</v>
      </c>
      <c r="AI26" s="594" t="s">
        <v>174</v>
      </c>
      <c r="AJ26" s="594" t="s">
        <v>175</v>
      </c>
      <c r="AK26" s="594" t="s">
        <v>176</v>
      </c>
      <c r="AL26" s="608" t="s">
        <v>177</v>
      </c>
      <c r="AM26" s="608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201</v>
      </c>
      <c r="AH28" s="596" t="s">
        <v>202</v>
      </c>
      <c r="AI28" s="596" t="s">
        <v>170</v>
      </c>
      <c r="AJ28" s="596" t="s">
        <v>203</v>
      </c>
      <c r="AK28" s="596" t="s">
        <v>183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206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194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191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370</v>
      </c>
      <c r="BL33" s="0" t="s">
        <v>192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193</v>
      </c>
      <c r="AT34" s="438">
        <v>500</v>
      </c>
      <c r="AU34" s="486"/>
      <c r="AZ34" s="582"/>
      <c r="BA34" s="582"/>
      <c r="BB34" s="582"/>
      <c r="BD34" s="438" t="s">
        <v>193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208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209</v>
      </c>
      <c r="AT41" s="587"/>
      <c r="AU41" s="587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211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212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193</v>
      </c>
      <c r="AT54" s="438">
        <v>400</v>
      </c>
      <c r="AU54" s="486"/>
      <c r="AZ54" s="582"/>
      <c r="BA54" s="582"/>
      <c r="BB54" s="582"/>
      <c r="BD54" s="438" t="s">
        <v>193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217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211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218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219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800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45452.46508671296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45452.465086759257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444</v>
      </c>
      <c r="B1" s="271">
        <f>(F1*D1)/10000</f>
        <v>24.225</v>
      </c>
      <c r="C1" s="272" t="s">
        <v>428</v>
      </c>
      <c r="D1" s="273">
        <f>تسعير!BA12</f>
        <v>950</v>
      </c>
      <c r="E1" s="272" t="s">
        <v>125</v>
      </c>
      <c r="F1" s="273">
        <f>تسعير!AV10</f>
        <v>255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45452.465086805554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4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17</v>
      </c>
      <c r="F4" s="392">
        <f>B4*C4*D4*E4</f>
        <v>9329.6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4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34</v>
      </c>
      <c r="D6" s="187">
        <v>15</v>
      </c>
      <c r="F6" s="392">
        <f ref="F6:F14" t="shared" si="0">B6*D6</f>
        <v>510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0.022102857112252686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28.305</v>
      </c>
      <c r="D7" s="187">
        <v>225</v>
      </c>
      <c r="F7" s="392">
        <f t="shared" si="0"/>
        <v>6368.625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0.061757983107764855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0.083860840220017538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0.0069342296822753526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0.0029470476149670247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34</v>
      </c>
      <c r="D13" s="187">
        <v>10</v>
      </c>
      <c r="F13" s="392">
        <f t="shared" si="0"/>
        <v>340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0.0013001680654266285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8000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0.0020802689046826059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1176.7069143446852</v>
      </c>
      <c r="F15" s="395">
        <f>SUBTOTAL(109,Table8[اجمالي التكلفة])</f>
        <v>28505.725</v>
      </c>
      <c r="G15" s="394"/>
      <c r="H15" s="394"/>
      <c r="I15" s="394"/>
      <c r="J15" s="394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0.041605378093652112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0.054867092361003726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0.00078010083925597715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0.00078010083925597715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0.00043338935514220954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0.002600336130853257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0.0013868459364550704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0.0038320742980995368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0.00981284739906203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28505.725</v>
      </c>
      <c r="V50" s="240">
        <f>M50*Table161368[[#This Row],[سعر الشبك ]]</f>
        <v>28505.725</v>
      </c>
      <c r="W50" s="241">
        <f t="shared" si="6" ca="1"/>
        <v>0.49416311102444638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28505.725</v>
      </c>
      <c r="V51" s="240">
        <f>M51*Table161368[[#This Row],[سعر الشبك ]]</f>
        <v>2850.5725</v>
      </c>
      <c r="W51" s="241">
        <f t="shared" si="6" ca="1"/>
        <v>0.049416311102444647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31356.2975</v>
      </c>
      <c r="W52" s="244">
        <f>Table161368[[#Totals],[اجمالي]]/$R$71</f>
        <v>0.543579422126891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0.0069342296822753526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0.0069342296822753526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0.010401344523413028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0.010401344523413028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الساحل الشمالي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0.045072492934789793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الساحل الشمالي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0.033804369701092345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الساحل الشمالي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الساحل الشمالي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0.022536246467394896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الساحل الشمالي</v>
      </c>
      <c r="R63" s="214"/>
      <c r="S63" s="247">
        <f>SUMIF(Table1769[Column1],Table161267[[#This Row],[موقع العمل]],$Z$2:$Z$20)</f>
        <v>60</v>
      </c>
      <c r="T63" s="247"/>
      <c r="U63" s="243">
        <f>Table161267[[#This Row],[Column12]]</f>
        <v>60</v>
      </c>
      <c r="V63" s="240">
        <f t="shared" si="7" ca="1"/>
        <v>1320</v>
      </c>
      <c r="W63" s="241">
        <f t="shared" si="8" ca="1"/>
        <v>0.022882957951508662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الساحل الشمالي</v>
      </c>
      <c r="R64" s="214"/>
      <c r="S64" s="247">
        <f>SUMIF(Table1769[Column1],Table161267[[#This Row],[موقع العمل]],$AA$2:$AA$20)</f>
        <v>120</v>
      </c>
      <c r="T64" s="247"/>
      <c r="U64" s="243">
        <f>Table161267[[#This Row],[Column12]]</f>
        <v>120</v>
      </c>
      <c r="V64" s="240">
        <f t="shared" si="7" ca="1"/>
        <v>840</v>
      </c>
      <c r="W64" s="241">
        <f t="shared" si="8" ca="1"/>
        <v>0.014561882332778241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الساحل الشمالي</v>
      </c>
      <c r="R65" s="214"/>
      <c r="S65" s="247">
        <f>SUMIF(Table1769[Column1],Table161267[[#This Row],[موقع العمل]],$AC$2:$AC$20)</f>
        <v>1300</v>
      </c>
      <c r="T65" s="247"/>
      <c r="U65" s="243">
        <f>Table161267[[#This Row],[Column12]]</f>
        <v>1300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الساحل الشمالي</v>
      </c>
      <c r="R66" s="214"/>
      <c r="S66" s="247">
        <f>SUMIF(Table1769[Column1],Table161267[[#This Row],[موقع العمل]],$AD$2:$AD$20)</f>
        <v>2000</v>
      </c>
      <c r="T66" s="247"/>
      <c r="U66" s="243">
        <f>Table161267[[#This Row],[Column12]]</f>
        <v>2000</v>
      </c>
      <c r="V66" s="240">
        <f t="shared" si="7" ca="1"/>
        <v>4000</v>
      </c>
      <c r="W66" s="241">
        <f t="shared" si="8" ca="1"/>
        <v>0.06934229682275353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الساحل الشمالي</v>
      </c>
      <c r="R67" s="214"/>
      <c r="S67" s="247">
        <f>SUMIF(Table1769[Column1],Table161267[[#This Row],[موقع العمل]],$AE$2:$AE$8)</f>
        <v>750</v>
      </c>
      <c r="T67" s="247"/>
      <c r="U67" s="243">
        <f>Table161267[[#This Row],[Column12]]</f>
        <v>750</v>
      </c>
      <c r="V67" s="240">
        <f t="shared" si="7" ca="1"/>
        <v>3750</v>
      </c>
      <c r="W67" s="241">
        <f t="shared" si="8" ca="1"/>
        <v>0.065008403271331422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4230</v>
      </c>
      <c r="T68" s="518"/>
      <c r="U68" s="523"/>
      <c r="V68" s="524">
        <f>SUBTOTAL(109,Table161267[اجمالي])</f>
        <v>17760</v>
      </c>
      <c r="W68" s="525">
        <f>Table161267[[#Totals],[اجمالي]]/$R$71</f>
        <v>0.30787979789302566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57684.850131578947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0.35</v>
      </c>
      <c r="R72" s="291">
        <f>R71*(1+Table1870[[#This Row],[Column3]])</f>
        <v>77874.547677631577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45452.465086828706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200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200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453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180</v>
      </c>
      <c r="F18" s="323" t="s">
        <v>216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201</v>
      </c>
      <c r="W18" s="339" t="s">
        <v>526</v>
      </c>
      <c r="X18" s="323"/>
      <c r="Y18" s="331" t="s">
        <v>453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183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451</v>
      </c>
      <c r="F27" s="345" t="s">
        <v>538</v>
      </c>
      <c r="G27" s="345" t="s">
        <v>445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451</v>
      </c>
      <c r="F60" s="345" t="s">
        <v>538</v>
      </c>
      <c r="G60" s="345" t="s">
        <v>445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428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45452.465086875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45452.465086875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0.012439086665517324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0.012439086665517324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0.032297979412220422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0.032297979412220422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0.0043645918124622192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0.0043645918124622192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0.049101657890199962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0.049101657890199962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373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0.0034916734499697752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0.0034916734499697752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0.00074198060811857724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0.00074198060811857724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0.00032734438593466642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0.00032734438593466642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0.0020950040699818651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0.0020950040699818651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0.0066560025140048841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0.0066560025140048841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0.0052375101749546626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0.0052375101749546626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186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0.0030552142687235535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0.0030552142687235535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0.0013093775437386657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0.0013093775437386657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0.0096021019874168809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0.0096021019874168809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0.0039455909984658461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0.0039455909984658461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0.00026187550874773313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0.00023568795787295982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0.00026187550874773313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0.00023568795787295982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0.00017458367249848877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0.00010911479531155548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0.00065468877186933283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0.00065468877186933283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0.00034916734499697755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0.00034916734499697755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0.012002627484271103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0.012002627484271103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0.0032079749821597309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0.0032079749821597309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0.015581592770490121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0.015581592770490121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0</v>
      </c>
      <c r="W38" s="251">
        <f t="shared" si="10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0.036322133063310585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8349</v>
      </c>
      <c r="W43" s="244">
        <f>Table135971[[#Totals],[اجمالي]]/$R$68</f>
        <v>0.036439977042247065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0.43594197711644511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0.6892301514731588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0.043594197711644522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0.1723075378682897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0.47953617482808963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0.86153768934144859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0.0016148989706110211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0.0017458367249848876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0.0016148989706110211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0.0017458367249848876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0.0048446969118330629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0.0052375101749546626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0.010824187694906303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0.0069833468999395505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0.0081181407711797271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0.0052375101749546626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0.010824187694906303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0.0069833468999395505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0.011522522384900258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0.0098203315780399925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0.020077122337326208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0.0087291836249244383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0.0036662571224682639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0.082927244436782163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0.036662571224682639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229116.5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343674.75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45452.465086956021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13.394</v>
      </c>
      <c r="C74" s="546" t="s">
        <v>428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174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45452.465086956021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23</v>
      </c>
      <c r="C76" s="553">
        <f>F74-16.5</f>
        <v>353.5</v>
      </c>
      <c r="D76" s="550" t="s">
        <v>565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0.036662571224682639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370</v>
      </c>
      <c r="D77" s="550" t="s">
        <v>565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0.073325142449365277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0.032297979412220422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362</v>
      </c>
      <c r="D78" s="550" t="s">
        <v>565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0.032297979412220422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0.0043645918124622192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9" t="s">
        <v>570</v>
      </c>
      <c r="B79" s="550">
        <v>2</v>
      </c>
      <c r="C79" s="552">
        <f>F74</f>
        <v>370</v>
      </c>
      <c r="D79" s="550" t="s">
        <v>565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0.0043645918124622192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362</v>
      </c>
      <c r="D80" s="550" t="s">
        <v>565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353.5</v>
      </c>
      <c r="D81" s="550" t="s">
        <v>565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0.073325142449365277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347.2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0.10998771367404792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0.0052375101749546626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0.0034916734499697752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0.00074198060811857724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373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0.00074198060811857724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0.00032734438593466642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0.00032734438593466642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0.0020950040699818651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0.020950040699818651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0.0084018392389897719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0.02551103914384167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82</v>
      </c>
      <c r="D91" s="550" t="s">
        <v>565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82</v>
      </c>
      <c r="D92" s="550" t="s">
        <v>565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0.010475020349909325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0.0026187550874773313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0.013093775437386657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186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0.0044286058257116644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0.0057670806482000786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0.00023568795787295982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0.00026187550874773313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0.00023568795787295982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0.00026187550874773313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0.00010911479531155548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0.00017458367249848877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0.00065468877186933283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0.00065468877186933283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0.00034916734499697755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0.00034916734499697755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0.0054557397655777742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0.0054557397655777742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0.0027496928418511979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0.0027496928418511979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0.017807534594845853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0.022259418243557316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0.032025919855910273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0.037934122306046626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0.43594197711644511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0.56064927667802189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0.043594197711644522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0.056064927667802196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0.47953617482808963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0.616714204345824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0.0016148989706110211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0.0017458367249848876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0.0016148989706110211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0.0017458367249848876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0.0048446969118330629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0.0052375101749546626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0.010824187694906303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0.01134793871240177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0.0081181407711797271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0.0085109540343013268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0.010824187694906303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0.01134793871240177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0.011522522384900258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0.011522522384900258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0.0098203315780399925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0.0098203315780399925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0.020077122337326208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0.020077122337326208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0.0036662571224682639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0.0036662571224682639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0.082927244436782163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0.085022248506764028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428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Φωτισμου'!B9</f>
        <v>5</v>
      </c>
    </row>
    <row r="19" ht="18" customHeight="1">
      <c r="A19" s="651" t="s">
        <v>435</v>
      </c>
      <c r="B19" s="652"/>
      <c r="C19" s="14">
        <f>'Format Φωτισμου'!B12</f>
        <v>15</v>
      </c>
    </row>
    <row r="20" ht="18" customHeight="1">
      <c r="A20" s="651" t="s">
        <v>436</v>
      </c>
      <c r="B20" s="652"/>
      <c r="C20" s="14">
        <f>C19/C18</f>
        <v>3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