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<sst xmlns="http://schemas.openxmlformats.org/spreadsheetml/2006/main" count="598" uniqueCount="598">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</sst>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407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1368"/>
    <tableColumn id="3" name="الوحدة" dataDxfId="2328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2319" totalsRowDxfId="2318"/>
    <tableColumn id="2" name="عدد" dataDxfId="2344" totalsRowDxfId="231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BP28</calculatedColumnFormula>
    </tableColumn>
    <tableColumn id="8" name="اجمالي" totalsRowFunction="sum" dataDxfId="2349" totalsRowDxfId="2374">
      <calculatedColumnFormula>BH98*BP99</calculatedColumnFormula>
    </tableColumn>
    <tableColumn id="9" name="%" totalsRowFunction="custom" totalsRowDxfId="237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2319" totalsRowDxfId="2318"/>
    <tableColumn id="2" name="عدد" dataDxfId="2344" totalsRowDxfId="2318">
      <calculatedColumnFormula>IF((#REF!="بالتات"),0,4)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53" totalsRowDxfId="2373">
      <calculatedColumnFormula>Sheet2!AW26</calculatedColumnFormula>
    </tableColumn>
    <tableColumn id="8" name="اجمالي" totalsRowFunction="sum" dataDxfId="2349" totalsRowDxfId="2374">
      <calculatedColumnFormula>BH84*BP84</calculatedColumnFormula>
    </tableColumn>
    <tableColumn id="9" name="%" totalsRowFunction="custom" totalsRowDxfId="237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2319"/>
    <tableColumn id="2" name="عدد" totalsRowFunction="sum" dataDxfId="2319">
      <calculatedColumnFormula>BH90*4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(Table16627394105[[#This Row],[Column1]]*Table16627394105[[#This Row],[Column2]])*Table16627394105[[#This Row],[عدد]]</calculatedColumnFormula>
    </tableColumn>
    <tableColumn id="4" name="الوحده" dataDxfId="2319"/>
    <tableColumn id="5" name="الوزن" totalsRowFunction="custom">
      <totalsRowFormula>(BN93*BH93)+(BH94*BN94)</totalsRowFormula>
    </tableColumn>
    <tableColumn id="6" name="سعر الكيلو" dataDxfId="2344"/>
    <tableColumn id="7" name="سعر الشبك " dataDxfId="2363">
      <calculatedColumnFormula>BN92*$S$2/1000</calculatedColumnFormula>
    </tableColumn>
    <tableColumn id="8" name="اجمالي" totalsRowFunction="sum" dataDxfId="2349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364"/>
    <tableColumn id="2" name="المعدل" dataDxfId="2364"/>
    <tableColumn id="3" name="الوحدة" dataDxfId="2364"/>
    <tableColumn id="4" name="Column4" dataDxfId="2346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IF((تسعير!$AU$14="بالتات"),0,BH119-2)</calculatedColumnFormula>
    </tableColumn>
    <tableColumn id="3" name="بيان" totalsRowLabel="Total" dataDxfId="2392" totalsRowDxfId="2318"/>
    <tableColumn id="5" name="اليومية / الاجرة" dataDxfId="2392" totalsRowDxfId="2318"/>
    <tableColumn id="6" name="بدل الوجبة" dataDxfId="2377" totalsRowDxfId="2318"/>
    <tableColumn id="11" name="موقع العمل" dataDxfId="2352" totalsRowDxfId="2318">
      <calculatedColumnFormula>تسعير!$BE$44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SUMIF(Table17697899110[Column1],Table1612677697108[[#This Row],[موقع العمل]],$AE$2:$AE$8)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Table1612677697108[[#This Row],[Column12]]</calculatedColumnFormula>
    </tableColumn>
    <tableColumn id="8" name="اجمالي" totalsRowFunction="sum" dataDxfId="2349" totalsRowDxfId="2374">
      <calculatedColumnFormula>BH122*BP122</calculatedColumnFormula>
    </tableColumn>
    <tableColumn id="9" name="%" totalsRowFunction="custom" totalsRowDxfId="237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2352"/>
    <tableColumn id="2" name="عدد" dataDxfId="2386">
      <calculatedColumnFormula>IF((BL133="الاسكندرية"),0.25,0.1)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BQ116</calculatedColumnFormula>
    </tableColumn>
    <tableColumn id="8" name="اجمالي" totalsRowFunction="sum" dataDxfId="2349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IF((BL133="المقطم"),0.3,IF((BL133="التجمع"),0.3,IF((BL133="الشيخ زايد"),0.3,IF((BL133="الاسكندرية"),0.5,0.35))))</calculatedColumnFormula>
    </tableColumn>
    <tableColumn id="2" name="Column2" dataDxfId="238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2319" totalsRowDxfId="2318"/>
    <tableColumn id="2" name="عدد" dataDxfId="2319" totalsRowDxfId="2318">
      <calculatedColumnFormula>IF(OR((BI69="B11"),(BI69="B12"),(BI69="B21"),(BI69="B22"),(BI69="B31"),(BI69="B32")),3,0)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(Table15880101112[[#This Row],[Column1]]+Table15880101112[[#This Row],[Column2]])*12*Table15880101112[[#This Row],[عدد]]</calculatedColumnFormula>
    </tableColumn>
    <tableColumn id="4" name="الوحده" dataDxfId="2319" totalsRowDxfId="2318"/>
    <tableColumn id="5" name="الوزن" totalsRowFunction="custom" totalsRowDxfId="2318">
      <totalsRowFormula>(BN76*BH76)+(BN77*BH77)+(BN78*BH78)+(BN79*BH79)</totalsRowFormula>
    </tableColumn>
    <tableColumn id="6" name="اجمالي المسطح" totalsRowFunction="sum" dataDxfId="2344" totalsRowDxfId="2318">
      <calculatedColumnFormula>Table15880101112[[#This Row],[المسطح]]*Table15880101112[[#This Row],[عدد]]</calculatedColumnFormula>
    </tableColumn>
    <tableColumn id="7" name="سعر الشبك " dataDxfId="2397" totalsRowDxfId="2373">
      <calculatedColumnFormula>BN76*$S$2/1000</calculatedColumnFormula>
    </tableColumn>
    <tableColumn id="8" name="اجمالي" totalsRowFunction="sum" dataDxfId="2349" totalsRowDxfId="2374">
      <calculatedColumnFormula>BH76*BP76</calculatedColumnFormula>
    </tableColumn>
    <tableColumn id="9" name="%" totalsRowFunction="custom" totalsRowDxfId="237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2319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369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1370"/>
    <tableColumn id="7" name="سعر الشبك " dataDxfId="209">
      <calculatedColumnFormula>Sheet2!B31</calculatedColumnFormula>
    </tableColumn>
    <tableColumn id="8" name="اجمالي" totalsRowFunction="sum" dataDxfId="2329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2398" totalsRowDxfId="1399"/>
    <tableColumn id="2" name="عدد" totalsRowFunction="custom" totalsRowDxfId="1400">
      <totalsRowFormula>(Table80102113[[#Totals],[price]]*1.1)/(BA72*AY72/10000)</totalsRowFormula>
    </tableColumn>
    <tableColumn id="3" name="طول" dataDxfId="2395" totalsRowDxfId="1398"/>
    <tableColumn id="4" name="Column2" dataDxfId="2398" totalsRowDxfId="2399"/>
    <tableColumn id="5" name="wt/m" dataDxfId="2395" totalsRowDxfId="2396"/>
    <tableColumn id="6" name="price" totalsRowFunction="sum" dataDxfId="1397" totalsRowDxfId="2399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401" totalsRowDxfId="2400"/>
    <tableColumn id="2" name="عدد" totalsRowFunction="custom" dataDxfId="2401" totalsRowDxfId="2402">
      <totalsRowFormula>(Table80102114[[#Totals],[price]]*1.1)/(F1*D1/10000)</totalsRowFormula>
    </tableColumn>
    <tableColumn id="3" name="طول" dataDxfId="1401" totalsRowDxfId="2396"/>
    <tableColumn id="4" name="Column2" dataDxfId="1401" totalsRowDxfId="1398"/>
    <tableColumn id="5" name="wt/m" dataDxfId="2403" totalsRowDxfId="2404"/>
    <tableColumn id="6" name="price" totalsRowFunction="sum" dataDxfId="2401" totalsRowDxfId="2399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02" dataDxfId="2403" totalsRowDxfId="145">
  <autoFilter ref="A75:F96"/>
  <tableColumns count="6">
    <tableColumn id="1" name="Column1" totalsRowLabel="Total" dataDxfId="2401" totalsRowDxfId="1399"/>
    <tableColumn id="2" name="عدد" totalsRowFunction="custom" dataDxfId="1401" totalsRowDxfId="1400">
      <totalsRowFormula>(Table80102114115[[#Totals],[price]]*1.1)/(F74*D74/10000)</totalsRowFormula>
    </tableColumn>
    <tableColumn id="3" name="طول" dataDxfId="2405" totalsRowDxfId="2396"/>
    <tableColumn id="4" name="Column2" dataDxfId="2403" totalsRowDxfId="1398"/>
    <tableColumn id="5" name="wt/m" dataDxfId="2401" totalsRowDxfId="2406"/>
    <tableColumn id="6" name="price" totalsRowFunction="sum" dataDxfId="1401" totalsRowDxfId="2406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2319"/>
    <tableColumn id="2" name="عدد" dataDxfId="2319">
      <calculatedColumnFormula>IF((F74="الاسكندرية"),0.25,0.1)</calculatedColumnFormula>
    </tableColumn>
    <tableColumn id="3" name="بيان برجولا رويال" totalsRowLabel="Total" dataDxfId="2319"/>
    <tableColumn id="12" name="Column12" totalsRowFunction="sum" dataDxfId="1366"/>
    <tableColumn id="5" name="Column1" dataDxfId="2319"/>
    <tableColumn id="11" name="العرض" dataDxfId="2330"/>
    <tableColumn id="10" name="الامتداد" dataDxfId="2314"/>
    <tableColumn id="4" name="سعر المتر" dataDxfId="2331"/>
    <tableColumn id="6" name="Column2" dataDxfId="225"/>
    <tableColumn id="7" name="سعر البرجولا كاملة" dataDxfId="2332">
      <calculatedColumnFormula>(K57)</calculatedColumnFormula>
    </tableColumn>
    <tableColumn id="8" name="اجمالي" totalsRowFunction="sum" dataDxfId="2322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2319" totalsRowDxfId="2318"/>
    <tableColumn id="2" name="عدد" dataDxfId="196" totalsRowDxfId="2318">
      <calculatedColumnFormula>B60</calculatedColumnFormula>
    </tableColumn>
    <tableColumn id="3" name="بيان" totalsRowLabel="Total" dataDxfId="226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1369" totalsRowDxfId="2318">
      <calculatedColumnFormula>تسعير!$T$4</calculatedColumnFormula>
    </tableColumn>
    <tableColumn id="10" name="شيفت العمل" dataDxfId="2319" totalsRowDxfId="2318"/>
    <tableColumn id="12" name="Column12" totalsRowFunction="sum" dataDxfId="1366" totalsRowDxfId="1367">
      <calculatedColumnFormula>SUMIF(Table17[Column1],Table1612[[#This Row],[موقع العمل]],$T$2:$T$20)</calculatedColumnFormula>
    </tableColumn>
    <tableColumn id="4" name="عدد الايام" dataDxfId="221" totalsRowDxfId="2318"/>
    <tableColumn id="7" name="اجمالي التكلفة للعامل" dataDxfId="220" totalsRowDxfId="1362">
      <calculatedColumnFormula>Table1612[[#This Row],[Column12]]</calculatedColumnFormula>
    </tableColumn>
    <tableColumn id="8" name="اجمالي" totalsRowFunction="sum" dataDxfId="2329" totalsRowDxfId="1364">
      <calculatedColumnFormula>B63*J63</calculatedColumnFormula>
    </tableColumn>
    <tableColumn id="9" name="%" totalsRowFunction="custom" totalsRowDxfId="1365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1373"/>
    <tableColumn id="3" name="داخلي" dataDxfId="2333"/>
    <tableColumn id="4" name="بدل الوجبة" dataDxfId="1373"/>
    <tableColumn id="5" name="دبابة" dataDxfId="1373"/>
    <tableColumn id="6" name="جامبو" dataDxfId="2334"/>
    <tableColumn id="7" name="الاقامة" dataDxfId="2333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369"/>
    <tableColumn id="4" name="Column22" dataDxfId="2335"/>
    <tableColumn id="5" name="Column23" dataDxfId="2330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233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2319" totalsRowDxfId="2318"/>
    <tableColumn id="2" name="عدد" dataDxfId="2319" totalsRowDxfId="2318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37" totalsRowDxfId="1367">
      <calculatedColumnFormula>(Table118[[#This Row],[Column1]]+Table118[[#This Row],[Column2]])*12*Table118[[#This Row],[عدد]]</calculatedColumnFormula>
    </tableColumn>
    <tableColumn id="4" name="الوحده" dataDxfId="2319" totalsRowDxfId="2318"/>
    <tableColumn id="5" name="الوزن" totalsRowFunction="custom" dataDxfId="2319" totalsRowDxfId="2318">
      <totalsRowFormula>H9*B9+B8*H8+H7*B7</totalsRowFormula>
    </tableColumn>
    <tableColumn id="6" name="اجمالي الميزان" totalsRowFunction="sum" dataDxfId="1358" totalsRowDxfId="2318">
      <calculatedColumnFormula>Table118[[#This Row],[الوزن]]*Table118[[#This Row],[عدد]]</calculatedColumnFormula>
    </tableColumn>
    <tableColumn id="7" name="سعر الشبك " dataDxfId="2321" totalsRowDxfId="2338">
      <calculatedColumnFormula>H6*$H$2/1000</calculatedColumnFormula>
    </tableColumn>
    <tableColumn id="8" name="اجمالي" totalsRowFunction="sum" dataDxfId="2322" totalsRowDxfId="2339">
      <calculatedColumnFormula>B6*J6</calculatedColumnFormula>
    </tableColumn>
    <tableColumn id="9" name="%" totalsRowFunction="custom" totalsRowDxfId="2340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2319" totalsRowDxfId="2318"/>
    <tableColumn id="2" name="عدد" dataDxfId="2341" totalsRowDxfId="2318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20" totalsRowDxfId="2318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2319" totalsRowDxfId="2318">
      <calculatedColumnFormula>Sheet2!B7</calculatedColumnFormula>
    </tableColumn>
    <tableColumn id="7" name="سعر الشبك " dataDxfId="2332" totalsRowDxfId="2323"/>
    <tableColumn id="8" name="اجمالي" totalsRowFunction="sum" dataDxfId="1363" totalsRowDxfId="2324">
      <calculatedColumnFormula>B36*Table1319[[#This Row],[سعر الكيلو]]</calculatedColumnFormula>
    </tableColumn>
    <tableColumn id="9" name="%" totalsRowFunction="custom" totalsRowDxfId="2325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2319"/>
    <tableColumn id="2" name="عدد" dataDxfId="2319">
      <calculatedColumnFormula>IF((تسعير!X30&lt;800),0,IF(AND((تسعير!X30&gt;800),(600&gt;=تسعير!AA32)),1,0))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16">
      <calculatedColumnFormula>(Table1421[[#This Row],[Column1]]+Table1421[[#This Row],[Column2]])*12*Table1421[[#This Row],[عدد]]</calculatedColumnFormula>
    </tableColumn>
    <tableColumn id="4" name="الوحده" dataDxfId="2319"/>
    <tableColumn id="5" name="الوزن" dataDxfId="2319"/>
    <tableColumn id="6" name="سعر الكيلو" totalsRowFunction="sum" dataDxfId="2314">
      <calculatedColumnFormula>Table1421[[#This Row],[الوزن]]*Table1421[[#This Row],[عدد]]</calculatedColumnFormula>
    </tableColumn>
    <tableColumn id="7" name="سعر الشبك " dataDxfId="2321">
      <calculatedColumnFormula>H13*$I$2/1000</calculatedColumnFormula>
    </tableColumn>
    <tableColumn id="8" name="اجمالي" totalsRowFunction="sum" dataDxfId="2342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2319" totalsRowDxfId="2318"/>
    <tableColumn id="2" name="عدد" dataDxfId="2312" totalsRowDxfId="231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26" totalsRowDxfId="2343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Sheet2!B22</calculatedColumnFormula>
    </tableColumn>
    <tableColumn id="8" name="اجمالي" totalsRowFunction="sum" dataDxfId="2329" totalsRowDxfId="2339">
      <calculatedColumnFormula>B18*J18</calculatedColumnFormula>
    </tableColumn>
    <tableColumn id="9" name="%" totalsRowFunction="custom" totalsRowDxfId="2340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2319"/>
    <tableColumn id="2" name="عدد" totalsRowFunction="count" dataDxfId="1358">
      <calculatedColumnFormula>B30*4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(Table1624[[#This Row],[Column1]]*Table1624[[#This Row],[Column2]])*Table1624[[#This Row],[عدد]]</calculatedColumnFormula>
    </tableColumn>
    <tableColumn id="4" name="الوحده" dataDxfId="2319"/>
    <tableColumn id="5" name="الوزن" totalsRowFunction="custom">
      <totalsRowFormula>H31*B31+H32*B32</totalsRowFormula>
    </tableColumn>
    <tableColumn id="6" name="سعر الكيلو" dataDxfId="2344">
      <calculatedColumnFormula>$H$2/1000</calculatedColumnFormula>
    </tableColumn>
    <tableColumn id="7" name="سعر الشبك " dataDxfId="2345">
      <calculatedColumnFormula>H31*$H$2/1000</calculatedColumnFormula>
    </tableColumn>
    <tableColumn id="8" name="اجمالي" totalsRowFunction="sum" dataDxfId="2322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68"/>
    <tableColumn id="2" name="المعدل" dataDxfId="1368"/>
    <tableColumn id="3" name="الوحدة" dataDxfId="2346"/>
    <tableColumn id="4" name="Column4" dataDxfId="232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2319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2335"/>
    <tableColumn id="11" name="Column2" dataDxfId="2330"/>
    <tableColumn id="10" name="Column1" dataDxfId="1370"/>
    <tableColumn id="12" name="Column12" totalsRowFunction="sum" dataDxfId="1095"/>
    <tableColumn id="4" name="الوحده" dataDxfId="1377"/>
    <tableColumn id="5" name="الوزن" dataDxfId="1378"/>
    <tableColumn id="6" name="سعر الكيلو" dataDxfId="1370"/>
    <tableColumn id="7" name="سعر الشبك " dataDxfId="1379">
      <calculatedColumnFormula>Sheet2!B31</calculatedColumnFormula>
    </tableColumn>
    <tableColumn id="8" name="اجمالي" totalsRowFunction="sum" dataDxfId="1363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2319"/>
    <tableColumn id="2" name="عدد" dataDxfId="2319">
      <calculatedColumnFormula>IF((F79="الاسكندرية"),0.25,0.1)</calculatedColumnFormula>
    </tableColumn>
    <tableColumn id="3" name="بيان برجولا رويال" totalsRowLabel="Total" dataDxfId="2319"/>
    <tableColumn id="12" name="Column12" totalsRowFunction="sum" dataDxfId="2326"/>
    <tableColumn id="5" name="Column1" dataDxfId="2319"/>
    <tableColumn id="11" name="العرض" dataDxfId="1369"/>
    <tableColumn id="10" name="الامتداد" dataDxfId="2344"/>
    <tableColumn id="4" name="سعر المتر" dataDxfId="2347"/>
    <tableColumn id="6" name="Column2" dataDxfId="2348"/>
    <tableColumn id="7" name="سعر البرجولا كاملة" dataDxfId="2332">
      <calculatedColumnFormula>K58</calculatedColumnFormula>
    </tableColumn>
    <tableColumn id="8" name="اجمالي" totalsRowFunction="sum" dataDxfId="2349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2319" totalsRowDxfId="2318"/>
    <tableColumn id="2" name="عدد" dataDxfId="2350" totalsRowDxfId="2318">
      <calculatedColumnFormula>B65</calculatedColumnFormula>
    </tableColumn>
    <tableColumn id="3" name="بيان" totalsRowLabel="Total" dataDxfId="2351" totalsRowDxfId="2318"/>
    <tableColumn id="5" name="اليومية / الاجرة" dataDxfId="120" totalsRowDxfId="2318"/>
    <tableColumn id="6" name="بدل الوجبة" dataDxfId="1372" totalsRowDxfId="2318"/>
    <tableColumn id="11" name="موقع العمل" dataDxfId="2336" totalsRowDxfId="2318">
      <calculatedColumnFormula>تسعير!$T$24</calculatedColumnFormula>
    </tableColumn>
    <tableColumn id="10" name="شيفت العمل" dataDxfId="2319" totalsRowDxfId="2318"/>
    <tableColumn id="12" name="Column12" totalsRowFunction="sum" dataDxfId="1366" totalsRowDxfId="2327">
      <calculatedColumnFormula>SUMIF(Table1731[Column1],Table161229[[#This Row],[موقع العمل]],$T$2:$T$26)</calculatedColumnFormula>
    </tableColumn>
    <tableColumn id="4" name="عدد الايام" dataDxfId="1380" totalsRowDxfId="2318"/>
    <tableColumn id="7" name="اجمالي التكلفة للعامل" dataDxfId="1381" totalsRowDxfId="2323">
      <calculatedColumnFormula>Table161229[[#This Row],[Column12]]</calculatedColumnFormula>
    </tableColumn>
    <tableColumn id="8" name="اجمالي" totalsRowFunction="sum" dataDxfId="2349" totalsRowDxfId="2324">
      <calculatedColumnFormula>B68*J68</calculatedColumnFormula>
    </tableColumn>
    <tableColumn id="9" name="%" totalsRowFunction="custom" totalsRowDxfId="2325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2335" totalsRowDxfId="2318"/>
    <tableColumn id="2" name="عدد" dataDxfId="2330" totalsRowDxfId="2318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2330" totalsRowDxfId="2318"/>
    <tableColumn id="11" name="Column2" dataDxfId="1369" totalsRowDxfId="2318"/>
    <tableColumn id="10" name="Column1" dataDxfId="2352" totalsRowDxfId="2318"/>
    <tableColumn id="12" name="Column12" totalsRowFunction="sum" dataDxfId="213" totalsRowDxfId="2343"/>
    <tableColumn id="4" name="الوحده" dataDxfId="233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1362"/>
    <tableColumn id="8" name="اجمالي" totalsRowFunction="sum" dataDxfId="2349" totalsRowDxfId="1364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354"/>
    <tableColumn id="2" name="خارجي" dataDxfId="2346"/>
    <tableColumn id="3" name="داخلي" dataDxfId="2328"/>
    <tableColumn id="4" name="بدل الوجبة" dataDxfId="1368"/>
    <tableColumn id="5" name="دبابة" dataDxfId="2354"/>
    <tableColumn id="6" name="جامبو" dataDxfId="2346"/>
    <tableColumn id="7" name="الاقامة" dataDxfId="2328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369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2334" totalsRowDxfId="887"/>
    <tableColumn id="6" name="الطول بالمتر" dataDxfId="2333" totalsRowDxfId="1383"/>
    <tableColumn id="5" name="وزن المتر " dataDxfId="1373" totalsRowDxfId="2355"/>
    <tableColumn id="4" name="سعر الكيلو" dataDxfId="2356" totalsRowDxfId="1383"/>
    <tableColumn id="3" name="اجمالي عدد " totalsRowFunction="custom" totalsRowDxfId="1383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2334" totalsRowDxfId="2357"/>
    <tableColumn id="10" name="Column2" dataDxfId="2333" totalsRowDxfId="2355"/>
    <tableColumn id="11" name="Column3" dataDxfId="1373" totalsRowDxfId="2357"/>
    <tableColumn id="12" name="Column4" dataDxfId="2358" totalsRowDxfId="235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21" totalsRowDxfId="2359">
      <calculatedColumnFormula>Sheet2!B2</calculatedColumnFormula>
    </tableColumn>
    <tableColumn id="8" name="اجمالي" totalsRowFunction="sum" dataDxfId="2349" totalsRowDxfId="2360">
      <calculatedColumnFormula>M26*U26</calculatedColumnFormula>
    </tableColumn>
    <tableColumn id="9" name="%" totalsRowFunction="custom" totalsRowDxfId="1365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61" totalsRowDxfId="232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38">
      <calculatedColumnFormula>Sheet2!B24</calculatedColumnFormula>
    </tableColumn>
    <tableColumn id="8" name="اجمالي" totalsRowFunction="sum" dataDxfId="2349" totalsRowDxfId="2339">
      <calculatedColumnFormula>M11*U11</calculatedColumnFormula>
    </tableColumn>
    <tableColumn id="9" name="%" totalsRowFunction="custom" totalsRowDxfId="236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37">
      <calculatedColumnFormula>(Table1662[[#This Row],[Column1]]*Table1662[[#This Row],[Column2]])*Table1662[[#This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368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364"/>
    <tableColumn id="2" name="Column2" dataDxfId="2328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2319" totalsRowDxfId="2318"/>
    <tableColumn id="2" name="عدد" dataDxfId="2336" totalsRowDxfId="2318">
      <calculatedColumnFormula>IF((تسعير!$AU$14="بالتات"),0,M52-2)</calculatedColumnFormula>
    </tableColumn>
    <tableColumn id="3" name="بيان" totalsRowLabel="Total" dataDxfId="1371" totalsRowDxfId="2318"/>
    <tableColumn id="5" name="اليومية / الاجرة" dataDxfId="1371" totalsRowDxfId="2318"/>
    <tableColumn id="6" name="بدل الوجبة" dataDxfId="1372" totalsRowDxfId="2318"/>
    <tableColumn id="11" name="موقع العمل" dataDxfId="2352" totalsRowDxfId="2318">
      <calculatedColumnFormula>تسعير!$AT$4</calculatedColumnFormula>
    </tableColumn>
    <tableColumn id="10" name="شيفت العمل" dataDxfId="2319" totalsRowDxfId="2318"/>
    <tableColumn id="12" name="Column12" totalsRowFunction="sum" dataDxfId="2326" totalsRowDxfId="1367">
      <calculatedColumnFormula>SUMIF(Table1769[Column1],Table161267[[#This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23">
      <calculatedColumnFormula>Table161267[[#This Row],[Column12]]</calculatedColumnFormula>
    </tableColumn>
    <tableColumn id="8" name="اجمالي" totalsRowFunction="sum" dataDxfId="2349" totalsRowDxfId="2324">
      <calculatedColumnFormula>M55*U55</calculatedColumnFormula>
    </tableColumn>
    <tableColumn id="9" name="%" totalsRowFunction="custom" totalsRowDxfId="234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2352"/>
    <tableColumn id="2" name="عدد" dataDxfId="2335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1384"/>
    <tableColumn id="4" name="الوحده" dataDxfId="2347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IF((Q66="المقطم"),0.3,IF((Q66="التجمع"),0.3,IF((Q66="الشيخ زايد"),0.3,IF((Q66="الاسكندرية"),0.5,0.35))))</calculatedColumnFormula>
    </tableColumn>
    <tableColumn id="2" name="Column2" dataDxfId="1369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IF((N2="A1"),2,IF((N2="A2"),3,IF((N2="B1"),2.5,IF((N2="B2"),3,0))))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1366">
      <calculatedColumnFormula>(Table158[[#This Row],[Column1]]+Table158[[#This Row],[Column2]])*12*Table158[[#This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totalsRowFunction="sum" dataDxfId="2344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2358" totalsRowDxfId="1383"/>
    <tableColumn id="6" name="الطول بالمتر" dataDxfId="2358" totalsRowDxfId="2369"/>
    <tableColumn id="5" name="وزن المتر " dataDxfId="2358" totalsRowDxfId="2357"/>
    <tableColumn id="4" name="سعر الكيلو" dataDxfId="2358" totalsRowDxfId="2355"/>
    <tableColumn id="3" name="اجمالي عدد " totalsRowFunction="custom" totalsRowDxfId="1383">
      <totalsRowFormula>Table823[[#Totals],[اجمالي التكلفة]]/B1</totalsRowFormula>
    </tableColumn>
    <tableColumn id="2" name="اجمالي التكلفة" totalsRowFunction="sum" dataDxfId="1385" totalsRowDxfId="1386"/>
    <tableColumn id="9" name="Column1" dataDxfId="2358" totalsRowDxfId="2370"/>
    <tableColumn id="10" name="Column2" dataDxfId="2358" totalsRowDxfId="2370"/>
    <tableColumn id="11" name="Column3" dataDxfId="2358" totalsRowDxfId="2370"/>
    <tableColumn id="12" name="Column4" dataDxfId="2358" totalsRowDxfId="2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1362">
      <calculatedColumnFormula>Sheet2!B2</calculatedColumnFormula>
    </tableColumn>
    <tableColumn id="8" name="اجمالي" totalsRowFunction="sum" dataDxfId="2349" totalsRowDxfId="1364">
      <calculatedColumnFormula>M26*U26</calculatedColumnFormula>
    </tableColumn>
    <tableColumn id="9" name="%" totalsRowFunction="custom" totalsRowDxfId="2325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72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Sheet2!B24</calculatedColumnFormula>
    </tableColumn>
    <tableColumn id="8" name="اجمالي" totalsRowFunction="sum" dataDxfId="2349" totalsRowDxfId="2374">
      <calculatedColumnFormula>M11*U11</calculatedColumnFormula>
    </tableColumn>
    <tableColumn id="9" name="%" totalsRowFunction="custom" totalsRowDxfId="1365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(Table166241[[#This Row],[Column1]]*Table166241[[#This Row],[Column2]])*Table166241[[#This Row],[عدد]]</calculatedColumnFormula>
    </tableColumn>
    <tableColumn id="4" name="الوحده" dataDxfId="2319"/>
    <tableColumn id="5" name="الوزن" totalsRowFunction="custom">
      <totalsRowFormula>(S21*M21)+(M22*S22)</totalsRowFormula>
    </tableColumn>
    <tableColumn id="6" name="سعر الكيلو" dataDxfId="2344"/>
    <tableColumn id="7" name="سعر الشبك " dataDxfId="2363">
      <calculatedColumnFormula>S21*$S$2/1000</calculatedColumnFormula>
    </tableColumn>
    <tableColumn id="8" name="اجمالي" totalsRowFunction="sum" dataDxfId="2349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2319" totalsRowDxfId="2318"/>
    <tableColumn id="2" name="عدد" dataDxfId="2375" totalsRowDxfId="2318">
      <calculatedColumnFormula>IF((تسعير!$BF$14="بالتات"),0,M52-2)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تسعير!$BE$4</calculatedColumnFormula>
    </tableColumn>
    <tableColumn id="10" name="شيفت العمل" dataDxfId="2319" totalsRowDxfId="2318"/>
    <tableColumn id="12" name="Column12" totalsRowFunction="sum" dataDxfId="2371" totalsRowDxfId="2343"/>
    <tableColumn id="4" name="عدد الايام" dataDxfId="1380" totalsRowDxfId="2318"/>
    <tableColumn id="7" name="اجمالي التكلفة للعامل" dataDxfId="1381" totalsRowDxfId="2373">
      <calculatedColumnFormula>Table16126744[[#This Row],[Column12]]</calculatedColumnFormula>
    </tableColumn>
    <tableColumn id="8" name="اجمالي" totalsRowFunction="sum" dataDxfId="2349" totalsRowDxfId="2374">
      <calculatedColumnFormula>M55*U55</calculatedColumnFormula>
    </tableColumn>
    <tableColumn id="9" name="%" totalsRowFunction="custom" totalsRowDxfId="237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2352"/>
    <tableColumn id="2" name="عدد" dataDxfId="2350">
      <calculatedColumnFormula>IF((Q65="الاسكندرية"),0.25,0.1)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79"/>
    <tableColumn id="4" name="الوحده" dataDxfId="2331"/>
    <tableColumn id="5" name="الوزن" dataDxfId="2352"/>
    <tableColumn id="6" name="سعر الكيلو" dataDxfId="2352"/>
    <tableColumn id="7" name="سعر الشبك " dataDxfId="1379">
      <calculatedColumnFormula>V48</calculatedColumnFormula>
    </tableColumn>
    <tableColumn id="8" name="اجمالي" totalsRowFunction="sum" dataDxfId="2349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2358"/>
    <tableColumn id="2" name="خارجي" dataDxfId="2358"/>
    <tableColumn id="3" name="داخلي" dataDxfId="2358"/>
    <tableColumn id="4" name="بدل الوجبة" dataDxfId="2358"/>
    <tableColumn id="5" name="دبابة" dataDxfId="2358"/>
    <tableColumn id="6" name="جامبو" dataDxfId="2358"/>
    <tableColumn id="7" name="الاقامة" dataDxfId="2358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IF((Q66="المقطم"),0.3,IF((Q66="التجمع"),0.3,IF((Q66="الشيخ زايد"),0.3,IF((Q66="الاسكندرية"),0.5,0.35))))</calculatedColumnFormula>
    </tableColumn>
    <tableColumn id="2" name="Column2" dataDxfId="233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2319"/>
    <tableColumn id="2" name="عدد" dataDxfId="2319">
      <calculatedColumnFormula>IF((N2="c1"),3,IF((N2="c2"),4,IF((N2="d1"),4,IF((N2="d2"),5,0))))</calculatedColumnFormula>
    </tableColumn>
    <tableColumn id="3" name="بيان" totalsRowLabel="Total" dataDxfId="2319"/>
    <tableColumn id="11" name="Column2" dataDxfId="2319"/>
    <tableColumn id="10" name="Column1" dataDxfId="2319"/>
    <tableColumn id="12" name="المسطح" totalsRowFunction="sum" dataDxfId="2371">
      <calculatedColumnFormula>(Table15855[[#This Row],[Column1]]+Table15855[[#This Row],[Column2]])*12*Table15855[[#This Row],[عدد]]</calculatedColumnFormula>
    </tableColumn>
    <tableColumn id="4" name="الوحده" dataDxfId="2319"/>
    <tableColumn id="5" name="الوزن" totalsRowFunction="custom">
      <totalsRowFormula>(S7*M7)</totalsRowFormula>
    </tableColumn>
    <tableColumn id="6" name="سعر الكيلو" dataDxfId="2344"/>
    <tableColumn id="7" name="سعر الشبك " dataDxfId="1387">
      <calculatedColumnFormula>S6*$S$2/1000</calculatedColumnFormula>
    </tableColumn>
    <tableColumn id="8" name="اجمالي" totalsRowFunction="sum" dataDxfId="2349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2358"/>
    <tableColumn id="2" name="المقاس" dataDxfId="2358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358" totalsRowDxfId="135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2312" totalsRowDxfId="2313"/>
    <tableColumn id="11" name="Column2" dataDxfId="1358" totalsRowDxfId="1359"/>
    <tableColumn id="10" name="Column1" dataDxfId="1358" totalsRowDxfId="1359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2314" totalsRowDxfId="2315"/>
    <tableColumn id="5" name="الوزن" totalsRowFunction="custom" totalsRowDxfId="2313">
      <totalsRowFormula>(H6*B6)+(H8*B8)+(H7*B7)</totalsRowFormula>
    </tableColumn>
    <tableColumn id="6" name="مسطح" dataDxfId="180" totalsRowDxfId="2315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2358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2358" totalsRowDxfId="775"/>
    <tableColumn id="2" name="عدد/الشمسية" dataDxfId="774" totalsRowDxfId="771"/>
    <tableColumn id="3" name="سعر الوحدة" dataDxfId="2358" totalsRowDxfId="1388"/>
    <tableColumn id="4" name="قيمة" totalsRowFunction="sum" dataDxfId="2358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2358"/>
    <tableColumn id="2" name="Column2" dataDxfId="2358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1389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23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391"/>
    <tableColumn id="2" name="Column2" dataDxfId="2358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2358" totalsRowDxfId="2327"/>
    <tableColumn id="2" name="عدد/الشمسية" dataDxfId="751" totalsRowDxfId="1367"/>
    <tableColumn id="3" name="سعر الوحدة" dataDxfId="2358" totalsRowDxfId="2380"/>
    <tableColumn id="4" name="قيمة" totalsRowFunction="sum" dataDxfId="2358" totalsRowDxfId="238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2358"/>
    <tableColumn id="2" name="امتار عادية" dataDxfId="2358"/>
    <tableColumn id="4" name="امتار single" dataDxfId="2358"/>
    <tableColumn id="6" name="امتار douple" dataDxfId="2358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2312" totalsRowDxfId="2313"/>
    <tableColumn id="2" name="عدد" dataDxfId="2316" totalsRowDxfId="135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2314" totalsRowDxfId="2317"/>
    <tableColumn id="11" name="Column2" dataDxfId="2312" totalsRowDxfId="2315"/>
    <tableColumn id="10" name="Column1" dataDxfId="1358" totalsRowDxfId="2313"/>
    <tableColumn id="12" name="Column12" dataDxfId="2316" totalsRowDxfId="1359"/>
    <tableColumn id="4" name="الوحده" totalsRowLabel="total" dataDxfId="2314" totalsRowDxfId="2318"/>
    <tableColumn id="5" name="الوزن" dataDxfId="2312" totalsRowDxfId="2318"/>
    <tableColumn id="6" name="سعر الكيلو" dataDxfId="1358" totalsRowDxfId="2318"/>
    <tableColumn id="7" name="سعر الشبك " dataDxfId="1361" totalsRowDxfId="1362">
      <calculatedColumnFormula>Sheet2!B8</calculatedColumnFormula>
    </tableColumn>
    <tableColumn id="8" name="اجمالي" totalsRowFunction="sum" dataDxfId="1363" totalsRowDxfId="1364">
      <calculatedColumnFormula>B35*J35</calculatedColumnFormula>
    </tableColumn>
    <tableColumn id="9" name="%" totalsRowFunction="custom" totalsRowDxfId="1365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2358"/>
    <tableColumn id="2" name="Column2" dataDxfId="235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1392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2381"/>
    <tableColumn id="2" name="الناتج" dataDxfId="736"/>
    <tableColumn id="3" name="Column1" dataDxfId="13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238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2335" totalsRowDxfId="2318">
      <calculatedColumnFormula>I28</calculatedColumnFormula>
    </tableColumn>
    <tableColumn id="3" name="بيان" totalsRowLabel="Total" dataDxfId="706" totalsRowDxfId="2318"/>
    <tableColumn id="5" name="اليومية / الاجرة" dataDxfId="2376" totalsRowDxfId="2318"/>
    <tableColumn id="6" name="بدل الوجبة" dataDxfId="2348" totalsRowDxfId="2318"/>
    <tableColumn id="11" name="موقع العمل" dataDxfId="2352" totalsRowDxfId="2318">
      <calculatedColumnFormula>تسعير!$T$45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SUMIF(Table17[Column1],Table161243[[#This Row],[موقع العمل]],Table17[الاقامة])</calculatedColumnFormula>
    </tableColumn>
    <tableColumn id="4" name="عدد الايام" dataDxfId="1380" totalsRowDxfId="2318"/>
    <tableColumn id="7" name="اجمالي التكلفة للعامل" dataDxfId="1381" totalsRowDxfId="2373">
      <calculatedColumnFormula>Table161243[[#This Row],[Column12]]</calculatedColumnFormula>
    </tableColumn>
    <tableColumn id="8" name="اجمالي" totalsRowFunction="sum" dataDxfId="2349" totalsRowDxfId="2374">
      <calculatedColumnFormula>I31*Q31</calculatedColumnFormula>
    </tableColumn>
    <tableColumn id="9" name="%" totalsRowFunction="custom" totalsRowDxfId="237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2352"/>
    <tableColumn id="4" name="Column22" dataDxfId="2352"/>
    <tableColumn id="5" name="Column23" dataDxfId="2352"/>
    <tableColumn id="3" name="Column3" dataDxfId="138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33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382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369" totalsRowDxfId="2318">
      <calculatedColumnFormula>I61</calculatedColumnFormula>
    </tableColumn>
    <tableColumn id="3" name="بيان" totalsRowLabel="Total" dataDxfId="1396" totalsRowDxfId="2318"/>
    <tableColumn id="5" name="اليومية / الاجرة" dataDxfId="2351" totalsRowDxfId="2318"/>
    <tableColumn id="6" name="بدل الوجبة" dataDxfId="2377" totalsRowDxfId="2318"/>
    <tableColumn id="11" name="موقع العمل" dataDxfId="2352" totalsRowDxfId="2318">
      <calculatedColumnFormula>تسعير!$T$63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SUMIF(Table17[Column1],Table16124360[[#This Row],[موقع العمل]],Table17[الاقامة])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Table16124360[[#This Row],[Column12]]</calculatedColumnFormula>
    </tableColumn>
    <tableColumn id="8" name="اجمالي" totalsRowFunction="sum" dataDxfId="2349" totalsRowDxfId="2374">
      <calculatedColumnFormula>I64*Q64</calculatedColumnFormula>
    </tableColumn>
    <tableColumn id="9" name="%" totalsRowFunction="custom" totalsRowDxfId="237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38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M28*U28</calculatedColumnFormula>
    </tableColumn>
    <tableColumn id="9" name="%" totalsRowFunction="custom" totalsRowDxfId="237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2319"/>
    <tableColumn id="2" name="عدد" dataDxfId="2319">
      <calculatedColumnFormula>IF((تسعير!X7&lt;800),0,IF(AND((تسعير!X7&gt;800),(600&gt;=تسعير!AA9)),1,0))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20">
      <calculatedColumnFormula>(Table14[[#This Row],[Column1]]+Table14[[#This Row],[Column2]])*12*Table14[[#This Row],[عدد]]</calculatedColumnFormula>
    </tableColumn>
    <tableColumn id="4" name="الوحده" dataDxfId="2319"/>
    <tableColumn id="5" name="الوزن" totalsRowFunction="custom">
      <totalsRowFormula>H12*B12+H13*B13</totalsRowFormula>
    </tableColumn>
    <tableColumn id="6" name="مسطح" dataDxfId="2312">
      <calculatedColumnFormula>Table14[[#This Row],[Column12]]*Table14[[#This Row],[عدد]]</calculatedColumnFormula>
    </tableColumn>
    <tableColumn id="7" name="سعر الشبك " dataDxfId="2321">
      <calculatedColumnFormula>H12*$I$2/1000</calculatedColumnFormula>
    </tableColumn>
    <tableColumn id="8" name="اجمالي" totalsRowFunction="sum" dataDxfId="2322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M14*U14</calculatedColumnFormula>
    </tableColumn>
    <tableColumn id="9" name="%" totalsRowFunction="custom" totalsRowDxfId="237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2319"/>
    <tableColumn id="2" name="عدد" totalsRowFunction="count" dataDxfId="2319">
      <calculatedColumnFormula>M20*4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(Table166273[[#This Row],[Column1]]*Table166273[[#This Row],[Column2]])*Table166273[[#This Row],[عدد]]</calculatedColumnFormula>
    </tableColumn>
    <tableColumn id="4" name="الوحده" dataDxfId="2319"/>
    <tableColumn id="5" name="الوزن" totalsRowFunction="custom">
      <totalsRowFormula>(S23*M23)+(M24*S24)</totalsRowFormula>
    </tableColumn>
    <tableColumn id="6" name="سعر الكيلو" dataDxfId="2344"/>
    <tableColumn id="7" name="سعر الشبك " dataDxfId="2363">
      <calculatedColumnFormula>S22*$S$2/1000</calculatedColumnFormula>
    </tableColumn>
    <tableColumn id="8" name="اجمالي" totalsRowFunction="sum" dataDxfId="2349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364"/>
    <tableColumn id="2" name="المعدل" dataDxfId="2364"/>
    <tableColumn id="3" name="الوحدة" dataDxfId="2364"/>
    <tableColumn id="4" name="Column4" dataDxfId="2354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364"/>
    <tableColumn id="2" name="Column2" dataDxfId="2346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IF((تسعير!$AU$14="بالتات"),0,M49-2)</calculatedColumnFormula>
    </tableColumn>
    <tableColumn id="3" name="بيان" totalsRowLabel="Total" dataDxfId="1371" totalsRowDxfId="2318"/>
    <tableColumn id="5" name="اليومية / الاجرة" dataDxfId="2387" totalsRowDxfId="2318"/>
    <tableColumn id="6" name="بدل الوجبة" dataDxfId="2348" totalsRowDxfId="2318"/>
    <tableColumn id="11" name="موقع العمل" dataDxfId="2352" totalsRowDxfId="2318">
      <calculatedColumnFormula>تسعير!$AT$24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SUMIF(Table176978[Column1],Table16126776[[#This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Table16126776[[#This Row],[Column12]]</calculatedColumnFormula>
    </tableColumn>
    <tableColumn id="8" name="اجمالي" totalsRowFunction="sum" dataDxfId="2349" totalsRowDxfId="2374">
      <calculatedColumnFormula>M52*U52</calculatedColumnFormula>
    </tableColumn>
    <tableColumn id="9" name="%" totalsRowFunction="custom" totalsRowDxfId="237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2352" totalsRowDxfId="2318"/>
    <tableColumn id="2" name="عدد" dataDxfId="2386" totalsRowDxfId="2318">
      <calculatedColumnFormula>IF((Q63="الاسكندرية"),0.25,0.1)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1370" totalsRowDxfId="2318"/>
    <tableColumn id="5" name="الوزن" dataDxfId="2352" totalsRowDxfId="2318"/>
    <tableColumn id="6" name="سعر الكيلو" dataDxfId="2352" totalsRowDxfId="2318"/>
    <tableColumn id="7" name="سعر الشبك " dataDxfId="2388" totalsRowDxfId="2373">
      <calculatedColumnFormula>Table80102114[[#Totals],[price]]</calculatedColumnFormula>
    </tableColumn>
    <tableColumn id="8" name="اجمالي" totalsRowFunction="sum" dataDxfId="2349" totalsRowDxfId="2374">
      <calculatedColumnFormula>M47*Table16136877[[#This Row],[سعر الشبك ]]</calculatedColumnFormula>
    </tableColumn>
    <tableColumn id="9" name="%" totalsRowFunction="custom" totalsRowDxfId="237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IF((Q63="المقطم"),0.3,IF((Q63="التجمع"),0.3,IF((Q63="الشيخ زايد"),0.3,IF((Q63="الاسكندرية"),0.5,0.35))))</calculatedColumnFormula>
    </tableColumn>
    <tableColumn id="2" name="Column2" dataDxfId="238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(Table15880[[#This Row],[Column1]]+Table15880[[#This Row],[Column2]])*12*Table15880[[#This Row],[عدد]]</calculatedColumnFormula>
    </tableColumn>
    <tableColumn id="4" name="الوحده" dataDxfId="2319" totalsRowDxfId="2318"/>
    <tableColumn id="5" name="الوزن" totalsRowFunction="custom" totalsRowDxfId="2318">
      <totalsRowFormula>(S6*M6)+(S7*M7)+(M8*S8)+(S9*M9)</totalsRowFormula>
    </tableColumn>
    <tableColumn id="6" name="اجمالي المسطح" totalsRowFunction="sum" dataDxfId="2344" totalsRowDxfId="2318">
      <calculatedColumnFormula>Table15880[[#This Row],[المسطح]]*Table15880[[#This Row],[عدد]]</calculatedColumnFormula>
    </tableColumn>
    <tableColumn id="7" name="سعر الشبك " dataDxfId="2389" totalsRowDxfId="2373">
      <calculatedColumnFormula>S6*$S$2/1000</calculatedColumnFormula>
    </tableColumn>
    <tableColumn id="8" name="اجمالي" totalsRowFunction="sum" dataDxfId="2349" totalsRowDxfId="2374">
      <calculatedColumnFormula>M6*U6</calculatedColumnFormula>
    </tableColumn>
    <tableColumn id="9" name="%" totalsRowFunction="custom" totalsRowDxfId="237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2319" totalsRowDxfId="2318"/>
    <tableColumn id="2" name="عدد" dataDxfId="2344" totalsRowDxfId="231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Sheet2!B6</calculatedColumnFormula>
    </tableColumn>
    <tableColumn id="8" name="اجمالي" totalsRowFunction="sum" dataDxfId="2349" totalsRowDxfId="2374">
      <calculatedColumnFormula>M99*U100</calculatedColumnFormula>
    </tableColumn>
    <tableColumn id="9" name="%" totalsRowFunction="custom" totalsRowDxfId="237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2319" totalsRowDxfId="2318"/>
    <tableColumn id="2" name="عدد" dataDxfId="1358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1366" totalsRowDxfId="1367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1361" totalsRowDxfId="2323">
      <calculatedColumnFormula>Sheet2!B22</calculatedColumnFormula>
    </tableColumn>
    <tableColumn id="8" name="اجمالي" totalsRowFunction="sum" dataDxfId="1363" totalsRowDxfId="2324">
      <calculatedColumnFormula>B17*J17</calculatedColumnFormula>
    </tableColumn>
    <tableColumn id="9" name="%" totalsRowFunction="custom" totalsRowDxfId="2325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2319" totalsRowDxfId="2318"/>
    <tableColumn id="2" name="عدد" dataDxfId="2344" totalsRowDxfId="2318">
      <calculatedColumnFormula>IF((I70="بالتات"),0,4)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Sheet2!B26</calculatedColumnFormula>
    </tableColumn>
    <tableColumn id="8" name="اجمالي" totalsRowFunction="sum" dataDxfId="2349" totalsRowDxfId="2374">
      <calculatedColumnFormula>M85*U85</calculatedColumnFormula>
    </tableColumn>
    <tableColumn id="9" name="%" totalsRowFunction="custom" totalsRowDxfId="237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2319"/>
    <tableColumn id="2" name="عدد" totalsRowFunction="sum" dataDxfId="2319">
      <calculatedColumnFormula>M91*4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(Table16627394[[#This Row],[Column1]]*Table16627394[[#This Row],[Column2]])*Table16627394[[#This Row],[عدد]]</calculatedColumnFormula>
    </tableColumn>
    <tableColumn id="4" name="الوحده" dataDxfId="2319"/>
    <tableColumn id="5" name="الوزن" totalsRowFunction="custom">
      <totalsRowFormula>(S94*M94)+(M95*S95)</totalsRowFormula>
    </tableColumn>
    <tableColumn id="6" name="سعر الكيلو" dataDxfId="2344"/>
    <tableColumn id="7" name="سعر الشبك " dataDxfId="2363">
      <calculatedColumnFormula>S93*$S$2/1000</calculatedColumnFormula>
    </tableColumn>
    <tableColumn id="8" name="اجمالي" totalsRowFunction="sum" dataDxfId="2349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364"/>
    <tableColumn id="2" name="المعدل" dataDxfId="2364"/>
    <tableColumn id="3" name="الوحدة" dataDxfId="2364"/>
    <tableColumn id="4" name="Column4" dataDxfId="136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364"/>
    <tableColumn id="2" name="Column2" dataDxfId="2390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2319" totalsRowDxfId="2318"/>
    <tableColumn id="2" name="عدد" dataDxfId="2386" totalsRowDxfId="2318">
      <calculatedColumnFormula>IF((تسعير!$AU$14="بالتات"),0,M120-2)</calculatedColumnFormula>
    </tableColumn>
    <tableColumn id="3" name="بيان" totalsRowLabel="Total" dataDxfId="2376" totalsRowDxfId="2318"/>
    <tableColumn id="5" name="اليومية / الاجرة" dataDxfId="2351" totalsRowDxfId="2318"/>
    <tableColumn id="6" name="بدل الوجبة" dataDxfId="1372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SUMIF(Table17697899[Column1],Table1612677697[[#This Row],[موقع العمل]],$AE$2:$AE$8)</calculatedColumnFormula>
    </tableColumn>
    <tableColumn id="4" name="عدد الايام" dataDxfId="2383" totalsRowDxfId="2318"/>
    <tableColumn id="7" name="اجمالي التكلفة للعامل" dataDxfId="2384" totalsRowDxfId="2373">
      <calculatedColumnFormula>Table1612677697[[#This Row],[Column12]]</calculatedColumnFormula>
    </tableColumn>
    <tableColumn id="8" name="اجمالي" totalsRowFunction="sum" dataDxfId="2349" totalsRowDxfId="2374">
      <calculatedColumnFormula>M123*U123</calculatedColumnFormula>
    </tableColumn>
    <tableColumn id="9" name="%" totalsRowFunction="custom" totalsRowDxfId="237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2352" totalsRowDxfId="2318"/>
    <tableColumn id="2" name="عدد" dataDxfId="2386" totalsRowDxfId="2318">
      <calculatedColumnFormula>IF((Q134="الاسكندرية"),0.25,0.1)</calculatedColumnFormula>
    </tableColumn>
    <tableColumn id="3" name="بيان" totalsRowLabel="Total" dataDxfId="2352" totalsRowDxfId="2318"/>
    <tableColumn id="11" name="Column2" dataDxfId="2352" totalsRowDxfId="2318"/>
    <tableColumn id="10" name="Column1" dataDxfId="2352" totalsRowDxfId="2318"/>
    <tableColumn id="12" name="Column12" totalsRowFunction="sum" dataDxfId="1384" totalsRowDxfId="2380"/>
    <tableColumn id="4" name="الوحده" dataDxfId="2391" totalsRowDxfId="2318"/>
    <tableColumn id="5" name="الوزن" dataDxfId="2352" totalsRowDxfId="2318"/>
    <tableColumn id="6" name="سعر الكيلو" dataDxfId="2352" totalsRowDxfId="2318"/>
    <tableColumn id="7" name="سعر الشبك " dataDxfId="2353" totalsRowDxfId="2373">
      <calculatedColumnFormula>F96</calculatedColumnFormula>
    </tableColumn>
    <tableColumn id="8" name="اجمالي" totalsRowFunction="sum" dataDxfId="2349" totalsRowDxfId="2374">
      <calculatedColumnFormula>M118*Table1613687798[[#This Row],[سعر الشبك ]]</calculatedColumnFormula>
    </tableColumn>
    <tableColumn id="9" name="%" totalsRowFunction="custom" totalsRowDxfId="237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2352"/>
    <tableColumn id="4" name="Column22" dataDxfId="2352"/>
    <tableColumn id="5" name="Column23" dataDxfId="2352"/>
    <tableColumn id="3" name="Column3" dataDxfId="2385">
      <calculatedColumnFormula>IF((Q134="المقطم"),0.3,IF((Q134="التجمع"),0.3,IF((Q134="الشيخ زايد"),0.3,IF((Q134="الاسكندرية"),0.5,0.35))))</calculatedColumnFormula>
    </tableColumn>
    <tableColumn id="2" name="Column2" dataDxfId="238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2319" totalsRowDxfId="2318"/>
    <tableColumn id="2" name="عدد" dataDxfId="2319" totalsRowDxfId="2318">
      <calculatedColumnFormula>IF(OR((N70="B11"),(N70="B12"),(N70="B21"),(N70="B22"),(N70="B31"),(N70="B32")),3,0)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(Table15880101[[#This Row],[Column1]]+Table15880101[[#This Row],[Column2]])*12*Table15880101[[#This Row],[عدد]]</calculatedColumnFormula>
    </tableColumn>
    <tableColumn id="4" name="الوحده" dataDxfId="2319" totalsRowDxfId="2318"/>
    <tableColumn id="5" name="الوزن" totalsRowFunction="custom" totalsRowDxfId="2318">
      <totalsRowFormula>(S77*M77)+(S78*M78)+(M79*S79)+(S80*M80)</totalsRowFormula>
    </tableColumn>
    <tableColumn id="6" name="اجمالي المسطح" totalsRowFunction="sum" dataDxfId="2344" totalsRowDxfId="2318">
      <calculatedColumnFormula>Table15880101[[#This Row],[المسطح]]*Table15880101[[#This Row],[عدد]]</calculatedColumnFormula>
    </tableColumn>
    <tableColumn id="7" name="سعر الشبك " dataDxfId="1387" totalsRowDxfId="2373">
      <calculatedColumnFormula>S77*$S$2/1000</calculatedColumnFormula>
    </tableColumn>
    <tableColumn id="8" name="اجمالي" totalsRowFunction="sum" dataDxfId="2349" totalsRowDxfId="2374">
      <calculatedColumnFormula>M77*U77</calculatedColumnFormula>
    </tableColumn>
    <tableColumn id="9" name="%" totalsRowFunction="custom" totalsRowDxfId="237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19" totalsRowDxfId="2318"/>
    <tableColumn id="4" name="الوحده" totalsRowLabel="total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Sheet2!AW6</calculatedColumnFormula>
    </tableColumn>
    <tableColumn id="8" name="اجمالي" totalsRowFunction="sum" dataDxfId="2349" totalsRowDxfId="2374">
      <calculatedColumnFormula>BH28*BP28</calculatedColumnFormula>
    </tableColumn>
    <tableColumn id="9" name="%" totalsRowFunction="custom" totalsRowDxfId="237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2319" totalsRowDxfId="2318"/>
    <tableColumn id="2" name="عدد" totalsRowFunction="count" dataDxfId="2319" totalsRowDxfId="2318">
      <calculatedColumnFormula>B29*4</calculatedColumnFormula>
    </tableColumn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totalsRowFunction="sum" dataDxfId="2326" totalsRowDxfId="2327">
      <calculatedColumnFormula>(Table16[[#This Row],[Column1]]*Table16[[#This Row],[Column2]])*Table16[[#This Row],[عدد]]</calculatedColumnFormula>
    </tableColumn>
    <tableColumn id="4" name="الوحده" dataDxfId="2319" totalsRowDxfId="2318"/>
    <tableColumn id="5" name="الوزن" totalsRowFunction="custom" totalsRowDxfId="2318">
      <totalsRowFormula>H30*B30+H31*B31</totalsRowFormula>
    </tableColumn>
    <tableColumn id="6" name="Column3" dataDxfId="2316" totalsRowDxfId="2318"/>
    <tableColumn id="7" name="سعر الشبك " dataDxfId="1361" totalsRowDxfId="1362">
      <calculatedColumnFormula>H30*$H$2/1000</calculatedColumnFormula>
    </tableColumn>
    <tableColumn id="8" name="اجمالي" totalsRowFunction="sum" dataDxfId="1363" totalsRowDxfId="1364">
      <calculatedColumnFormula>B30*J30</calculatedColumnFormula>
    </tableColumn>
    <tableColumn id="9" name="%" totalsRowFunction="custom" totalsRowDxfId="1365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2319" totalsRowDxfId="2318"/>
    <tableColumn id="2" name="عدد" dataDxfId="2344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Column12" dataDxfId="2371" totalsRowDxfId="2380"/>
    <tableColumn id="4" name="الوحده" dataDxfId="2319" totalsRowDxfId="2318"/>
    <tableColumn id="5" name="الوزن" dataDxfId="2319" totalsRowDxfId="2318"/>
    <tableColumn id="6" name="سعر الكيلو" dataDxfId="2319" totalsRowDxfId="2318"/>
    <tableColumn id="7" name="سعر الشبك " dataDxfId="2363" totalsRowDxfId="2373">
      <calculatedColumnFormula>Sheet2!AW26</calculatedColumnFormula>
    </tableColumn>
    <tableColumn id="8" name="اجمالي" totalsRowFunction="sum" dataDxfId="2349" totalsRowDxfId="2374">
      <calculatedColumnFormula>BH14*BP14</calculatedColumnFormula>
    </tableColumn>
    <tableColumn id="9" name="%" totalsRowFunction="custom" totalsRowDxfId="237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2319"/>
    <tableColumn id="2" name="عدد" totalsRowFunction="count" dataDxfId="2319">
      <calculatedColumnFormula>BH20*4</calculatedColumnFormula>
    </tableColumn>
    <tableColumn id="3" name="بيان" totalsRowLabel="Total" dataDxfId="2319"/>
    <tableColumn id="11" name="Column2" dataDxfId="2319"/>
    <tableColumn id="10" name="Column1" dataDxfId="2319"/>
    <tableColumn id="12" name="Column12" totalsRowFunction="sum" dataDxfId="2371">
      <calculatedColumnFormula>(Table16627383[[#This Row],[Column1]]*Table16627383[[#This Row],[Column2]])*Table16627383[[#This Row],[عدد]]</calculatedColumnFormula>
    </tableColumn>
    <tableColumn id="4" name="الوحده" dataDxfId="2319"/>
    <tableColumn id="5" name="الوزن" totalsRowFunction="custom">
      <totalsRowFormula>(BN23*BH23)+(BH24*BN24)</totalsRowFormula>
    </tableColumn>
    <tableColumn id="6" name="سعر الكيلو" dataDxfId="2344"/>
    <tableColumn id="7" name="سعر الشبك " dataDxfId="2363">
      <calculatedColumnFormula>BN22*$S$2/1000</calculatedColumnFormula>
    </tableColumn>
    <tableColumn id="8" name="اجمالي" totalsRowFunction="sum" dataDxfId="2349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364"/>
    <tableColumn id="2" name="المعدل" dataDxfId="2364"/>
    <tableColumn id="3" name="الوحدة" dataDxfId="2364"/>
    <tableColumn id="4" name="Column4" dataDxfId="23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364"/>
    <tableColumn id="2" name="Column2" dataDxfId="2354"/>
    <tableColumn id="3" name="Column3" dataDxfId="2364"/>
    <tableColumn id="4" name="Column4" dataDxfId="2364"/>
    <tableColumn id="5" name="Column5" dataDxfId="2364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2319" totalsRowDxfId="2318"/>
    <tableColumn id="2" name="عدد" dataDxfId="2386" totalsRowDxfId="2318">
      <calculatedColumnFormula>IF((تسعير!$AU$14="بالتات"),0,BH48-2)</calculatedColumnFormula>
    </tableColumn>
    <tableColumn id="3" name="بيان" totalsRowLabel="Total" dataDxfId="1371" totalsRowDxfId="2318"/>
    <tableColumn id="5" name="اليومية / الاجرة" dataDxfId="2392" totalsRowDxfId="2318"/>
    <tableColumn id="6" name="بدل الوجبة" dataDxfId="2393" totalsRowDxfId="2318"/>
    <tableColumn id="11" name="موقع العمل" dataDxfId="2352" totalsRowDxfId="2318">
      <calculatedColumnFormula>تسعير!$AT$44</calculatedColumnFormula>
    </tableColumn>
    <tableColumn id="10" name="شيفت العمل" dataDxfId="2319" totalsRowDxfId="2318"/>
    <tableColumn id="12" name="Column12" totalsRowFunction="sum" dataDxfId="2371" totalsRowDxfId="2380">
      <calculatedColumnFormula>SUMIF(Table17697888[Column1],Table1612677686[[#This Row],[موقع العمل]],$AE$2:$AE$8)</calculatedColumnFormula>
    </tableColumn>
    <tableColumn id="4" name="عدد الايام" dataDxfId="2366" totalsRowDxfId="2318"/>
    <tableColumn id="7" name="اجمالي التكلفة للعامل" dataDxfId="2367" totalsRowDxfId="2373">
      <calculatedColumnFormula>Table1612677686[[#This Row],[Column12]]</calculatedColumnFormula>
    </tableColumn>
    <tableColumn id="8" name="اجمالي" totalsRowFunction="sum" dataDxfId="2349" totalsRowDxfId="2374">
      <calculatedColumnFormula>BH51*BP51</calculatedColumnFormula>
    </tableColumn>
    <tableColumn id="9" name="%" totalsRowFunction="custom" totalsRowDxfId="237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2352"/>
    <tableColumn id="2" name="عدد" dataDxfId="2386">
      <calculatedColumnFormula>IF((BL62="الاسكندرية"),0.25,0.1)</calculatedColumnFormula>
    </tableColumn>
    <tableColumn id="3" name="بيان" totalsRowLabel="Total" dataDxfId="2352"/>
    <tableColumn id="11" name="Column2" dataDxfId="2352"/>
    <tableColumn id="10" name="Column1" dataDxfId="2352"/>
    <tableColumn id="12" name="Column12" totalsRowFunction="sum" dataDxfId="2394"/>
    <tableColumn id="4" name="الوحده" dataDxfId="2347"/>
    <tableColumn id="5" name="الوزن" dataDxfId="2352"/>
    <tableColumn id="6" name="سعر الكيلو" dataDxfId="2352"/>
    <tableColumn id="7" name="سعر الشبك " dataDxfId="2388">
      <calculatedColumnFormula>BQ45</calculatedColumnFormula>
    </tableColumn>
    <tableColumn id="8" name="اجمالي" totalsRowFunction="sum" dataDxfId="2349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364"/>
    <tableColumn id="2" name="خارجي" dataDxfId="2364"/>
    <tableColumn id="3" name="داخلي" dataDxfId="2364"/>
    <tableColumn id="4" name="بدل الوجبة" dataDxfId="2364"/>
    <tableColumn id="5" name="دبابة" dataDxfId="2364"/>
    <tableColumn id="6" name="جامبو" dataDxfId="2364"/>
    <tableColumn id="7" name="الاقامة" dataDxfId="2364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2352"/>
    <tableColumn id="4" name="Column22" dataDxfId="2352"/>
    <tableColumn id="5" name="Column23" dataDxfId="2352"/>
    <tableColumn id="3" name="Column3" dataDxfId="2368">
      <calculatedColumnFormula>IF((BL62="المقطم"),0.3,IF((BL62="التجمع"),0.3,IF((BL62="الشيخ زايد"),0.3,IF((BL62="الاسكندرية"),0.5,0.35))))</calculatedColumnFormula>
    </tableColumn>
    <tableColumn id="2" name="Column2" dataDxfId="238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2319" totalsRowDxfId="2318"/>
    <tableColumn id="2" name="عدد" dataDxfId="2319" totalsRowDxfId="2318"/>
    <tableColumn id="3" name="بيان" totalsRowLabel="Total" dataDxfId="2319" totalsRowDxfId="2318"/>
    <tableColumn id="11" name="Column2" dataDxfId="2319" totalsRowDxfId="2318"/>
    <tableColumn id="10" name="Column1" dataDxfId="2319" totalsRowDxfId="2318"/>
    <tableColumn id="12" name="المسطح" totalsRowFunction="sum" dataDxfId="2371" totalsRowDxfId="2380">
      <calculatedColumnFormula>(Table1588090[[#This Row],[Column1]]+Table1588090[[#This Row],[Column2]])*12*Table1588090[[#This Row],[عدد]]</calculatedColumnFormula>
    </tableColumn>
    <tableColumn id="4" name="الوحده" dataDxfId="2319" totalsRowDxfId="2318"/>
    <tableColumn id="5" name="الوزن" totalsRowFunction="custom" totalsRowDxfId="2318">
      <totalsRowFormula>(BN6*BH6)+(BN7*BG7)+(BN8*BG8)+(BN9*BG9)</totalsRowFormula>
    </tableColumn>
    <tableColumn id="6" name="اجمالي المسطح" totalsRowFunction="sum" dataDxfId="2344" totalsRowDxfId="2318">
      <calculatedColumnFormula>Table1588090[[#This Row],[المسطح]]*Table1588090[[#This Row],[عدد]]</calculatedColumnFormula>
    </tableColumn>
    <tableColumn id="7" name="سعر الشبك " dataDxfId="1387" totalsRowDxfId="2373">
      <calculatedColumnFormula>BN6*$S$2/1000</calculatedColumnFormula>
    </tableColumn>
    <tableColumn id="8" name="اجمالي" totalsRowFunction="sum" dataDxfId="2349" totalsRowDxfId="2374">
      <calculatedColumnFormula>BH6*BP6</calculatedColumnFormula>
    </tableColumn>
    <tableColumn id="9" name="%" totalsRowFunction="custom" totalsRowDxfId="237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397" totalsRowDxfId="133"/>
    <tableColumn id="4" name="Column2" dataDxfId="2395" totalsRowDxfId="1398"/>
    <tableColumn id="5" name="wt/m" dataDxfId="1397" totalsRowDxfId="2396"/>
    <tableColumn id="6" name="price" totalsRowFunction="sum" dataDxfId="1397" totalsRowDxfId="1398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17642.5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107627.5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40000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210000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190</v>
      </c>
    </row>
    <row r="23">
      <c r="A23" s="233" t="s">
        <v>80</v>
      </c>
      <c r="B23" s="559">
        <v>190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100</v>
      </c>
    </row>
    <row r="26">
      <c r="A26" s="233" t="s">
        <v>106</v>
      </c>
      <c r="B26" s="559">
        <v>220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700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750</v>
      </c>
    </row>
    <row r="36">
      <c r="A36" s="233" t="s">
        <v>232</v>
      </c>
      <c r="B36" s="559">
        <v>750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AH1:AJ1" location="Royal!A1" display="مثبتة علي الحائط"/>
    <hyperlink ref="AI1:AK1" location="Royal!A1" display="مثبتة علي الحائط"/>
    <hyperlink ref="AJ1:AL1" location="Royal!A1" display="مثبتة علي الحائط"/>
    <hyperlink ref="AK1:A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AH4:AJ4" location="Royal2!A1" display="مثبتة غير علي الحائط"/>
    <hyperlink ref="AI4:AK4" location="Royal2!A1" display="مثبتة غير علي الحائط"/>
    <hyperlink ref="AJ4:AL4" location="Royal2!A1" display="مثبتة غير علي الحائط"/>
    <hyperlink ref="AK4:A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2793.3200375938513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58659.720789470877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14349.212121212135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2572.0265780730865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7256.8965517241077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962.46153846154186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1138.5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29953.096789470874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11"/>
        <v>1500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40</v>
      </c>
      <c r="AB30" s="60">
        <f t="shared" si="11"/>
        <v>1500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22076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58659.720789470877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230000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230000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2015.0737400897231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193447.07904861341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32798.199134199167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6858.73754152823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3429.3687707641152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23222.068965517145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11611.034482758572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1283.2820512820558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1283.2820512820558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1283.2820512820558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4554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92794.255048613413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1"/>
        <v>16</v>
      </c>
      <c r="AB29" s="60">
        <f t="shared" si="10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750</v>
      </c>
      <c r="Z30" s="151"/>
      <c r="AA30" s="60">
        <f t="shared" si="11"/>
        <v>96</v>
      </c>
      <c r="AB30" s="60">
        <f t="shared" si="10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70107.1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193447.07904861341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179703.83493946967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20535.625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83515.771710526315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99310.747877192989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8557.32547330808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6681.2617368421061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2837.4499393483711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498051.82303951716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22927.125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 t="e">
        <f>'بيرسا و لوفرز'!R69</f>
        <v>#DIV/0!</v>
      </c>
      <c r="AU22" s="472"/>
      <c r="BC22" s="406"/>
      <c r="BD22" s="464" t="s">
        <v>163</v>
      </c>
      <c r="BE22" s="465">
        <f>'بيرسا و لوفرز'!R140</f>
        <v>330274.10000000003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5188.0398233283031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 t="e">
        <f>AT22/(AT33*AT34/10000)</f>
        <v>#DIV/0!</v>
      </c>
      <c r="AU23" s="472"/>
      <c r="AV23" s="473"/>
      <c r="BC23" s="406"/>
      <c r="BD23" s="464" t="s">
        <v>127</v>
      </c>
      <c r="BE23" s="466">
        <f>BE22/(BE33*BE34/10000)</f>
        <v>16513.705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310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168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191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690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310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690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 t="e">
        <f>('بيرسا و لوفرز'!F24+'بيرسا و لوفرز'!V55+'بيرسا و لوفرز'!V63)*1.35</f>
        <v>#DIV/0!</v>
      </c>
      <c r="AT37" s="621"/>
      <c r="BD37" s="620">
        <f>('بيرسا و لوفرز'!F97+'بيرسا و لوفرز'!V126+'بيرسا و لوفرز'!V134)*1.35</f>
        <v>209209.5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 t="e">
        <f>AS37/(AT34*AT33/10000)</f>
        <v>#DIV/0!</v>
      </c>
      <c r="AT38" s="621"/>
      <c r="BD38" s="620">
        <f>BD37/(BE33*BE34/10000)</f>
        <v>10460.475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217441.445</v>
      </c>
      <c r="AU42" s="472"/>
      <c r="BD42" s="464" t="s">
        <v>163</v>
      </c>
      <c r="BE42" s="465">
        <f>'بيرسا و لوفرز'!BM139</f>
        <v>231884.445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78192.400000000009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13590.0903125</v>
      </c>
      <c r="AU43" s="472"/>
      <c r="AV43" s="473"/>
      <c r="BD43" s="464" t="s">
        <v>127</v>
      </c>
      <c r="BE43" s="466">
        <f>BE42/(BE53*BE54/10000)</f>
        <v>14492.7778125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3127.6960000000004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112025.02500000001</v>
      </c>
      <c r="AT57" s="619"/>
      <c r="BD57" s="618">
        <f>('بيرسا و لوفرز'!BA85+'بيرسا و لوفرز'!BP133+'بيرسا و لوفرز'!BQ125)*1.35</f>
        <v>112025.02500000001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7001.5640625000005</v>
      </c>
      <c r="AT58" s="610"/>
      <c r="BD58" s="609">
        <f>BD57/(BE53*BE54/10000)</f>
        <v>7001.5640625000005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101211.12000000001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4048.4448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AC8:AE10" location="تسعير!AQ38" display="تليسكوب"/>
    <hyperlink ref="AD8:AF10" location="تسعير!AQ38" display="تليسكوب"/>
    <hyperlink ref="AE8:AG10" location="تسعير!AQ38" display="تليسكوب"/>
    <hyperlink ref="AF8:A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AC9:AE11" location="تسعير!AQ38" display="تليسكوب"/>
    <hyperlink ref="AD9:AF11" location="تسعير!AQ38" display="تليسكوب"/>
    <hyperlink ref="AE9:AG11" location="تسعير!AQ38" display="تليسكوب"/>
    <hyperlink ref="AF9:A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AC10:AE12" location="تسعير!AQ38" display="تليسكوب"/>
    <hyperlink ref="AD10:AF12" location="تسعير!AQ38" display="تليسكوب"/>
    <hyperlink ref="AE10:AG12" location="تسعير!AQ38" display="تليسكوب"/>
    <hyperlink ref="AF10:A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AC11:AE13" location="تسعير!AQ38" display="تليسكوب"/>
    <hyperlink ref="AD11:AF13" location="تسعير!AQ38" display="تليسكوب"/>
    <hyperlink ref="AE11:AG13" location="تسعير!AQ38" display="تليسكوب"/>
    <hyperlink ref="AF11:A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C12:AE14" location="تسعير!AQ38" display="تليسكوب"/>
    <hyperlink ref="AD12:AF14" location="تسعير!AQ38" display="تليسكوب"/>
    <hyperlink ref="AE12:AG14" location="تسعير!AQ38" display="تليسكوب"/>
    <hyperlink ref="AF12:AH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C13:AE15" location="تسعير!AQ38" display="تليسكوب"/>
    <hyperlink ref="AD13:AF15" location="تسعير!AQ38" display="تليسكوب"/>
    <hyperlink ref="AE13:AG15" location="تسعير!AQ38" display="تليسكوب"/>
    <hyperlink ref="AF13:AH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C14:AE16" location="تسعير!AQ38" display="تليسكوب"/>
    <hyperlink ref="AD14:AF16" location="تسعير!AQ38" display="تليسكوب"/>
    <hyperlink ref="AE14:AG16" location="تسعير!AQ38" display="تليسكوب"/>
    <hyperlink ref="AF14:AH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AC15:AE17" location="تسعير!AQ38" display="تليسكوب"/>
    <hyperlink ref="AD15:AF17" location="تسعير!AQ38" display="تليسكوب"/>
    <hyperlink ref="AE15:AG17" location="تسعير!AQ38" display="تليسكوب"/>
    <hyperlink ref="AF15:AH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AC16:AE18" location="تسعير!AQ38" display="تليسكوب"/>
    <hyperlink ref="AD16:AF18" location="تسعير!AQ38" display="تليسكوب"/>
    <hyperlink ref="AE16:AG18" location="تسعير!AQ38" display="تليسكوب"/>
    <hyperlink ref="AF16:AH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AC17:AE19" location="تسعير!AQ38" display="تليسكوب"/>
    <hyperlink ref="AD17:AF19" location="تسعير!AQ38" display="تليسكوب"/>
    <hyperlink ref="AE17:AG19" location="تسعير!AQ38" display="تليسكوب"/>
    <hyperlink ref="AF17:AH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AC18:AE20" location="تسعير!AQ38" display="تليسكوب"/>
    <hyperlink ref="AD18:AF20" location="تسعير!AQ38" display="تليسكوب"/>
    <hyperlink ref="AE18:AG20" location="تسعير!AQ38" display="تليسكوب"/>
    <hyperlink ref="AF18:AH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AC19:AE21" location="تسعير!AQ38" display="تليسكوب"/>
    <hyperlink ref="AD19:AF21" location="تسعير!AQ38" display="تليسكوب"/>
    <hyperlink ref="AE19:AG21" location="تسعير!AQ38" display="تليسكوب"/>
    <hyperlink ref="AF19:AH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AC20:AE22" location="تسعير!AQ38" display="تليسكوب"/>
    <hyperlink ref="AD20:AF22" location="تسعير!AQ38" display="تليسكوب"/>
    <hyperlink ref="AE20:AG22" location="تسعير!AQ38" display="تليسكوب"/>
    <hyperlink ref="AF20:AH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AC21:AE23" location="تسعير!AQ38" display="تليسكوب"/>
    <hyperlink ref="AD21:AF23" location="تسعير!AQ38" display="تليسكوب"/>
    <hyperlink ref="AE21:AG23" location="تسعير!AQ38" display="تليسكوب"/>
    <hyperlink ref="AF21:AH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AC22:AE24" location="تسعير!AQ38" display="تليسكوب"/>
    <hyperlink ref="AD22:AF24" location="تسعير!AQ38" display="تليسكوب"/>
    <hyperlink ref="AE22:AG24" location="تسعير!AQ38" display="تليسكوب"/>
    <hyperlink ref="AF22:AH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AC23:AE25" location="تسعير!AQ38" display="تليسكوب"/>
    <hyperlink ref="AD23:AF25" location="تسعير!AQ38" display="تليسكوب"/>
    <hyperlink ref="AE23:AG25" location="تسعير!AQ38" display="تليسكوب"/>
    <hyperlink ref="AF23:AH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AC24:AE26" location="تسعير!AQ38" display="تليسكوب"/>
    <hyperlink ref="AD24:AF26" location="تسعير!AQ38" display="تليسكوب"/>
    <hyperlink ref="AE24:AG26" location="تسعير!AQ38" display="تليسكوب"/>
    <hyperlink ref="AF24:AH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AC25:AE27" location="تسعير!AQ38" display="تليسكوب"/>
    <hyperlink ref="AD25:AF27" location="تسعير!AQ38" display="تليسكوب"/>
    <hyperlink ref="AE25:AG27" location="تسعير!AQ38" display="تليسكوب"/>
    <hyperlink ref="AF25:AH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AC26:AE28" location="تسعير!AQ38" display="تليسكوب"/>
    <hyperlink ref="AD26:AF28" location="تسعير!AQ38" display="تليسكوب"/>
    <hyperlink ref="AE26:AG28" location="تسعير!AQ38" display="تليسكوب"/>
    <hyperlink ref="AF26:AH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AC27:AE29" location="تسعير!AQ38" display="تليسكوب"/>
    <hyperlink ref="AD27:AF29" location="تسعير!AQ38" display="تليسكوب"/>
    <hyperlink ref="AE27:AG29" location="تسعير!AQ38" display="تليسكوب"/>
    <hyperlink ref="AF27:AH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AC28:AE30" location="تسعير!AQ38" display="تليسكوب"/>
    <hyperlink ref="AD28:AF30" location="تسعير!AQ38" display="تليسكوب"/>
    <hyperlink ref="AE28:AG30" location="تسعير!AQ38" display="تليسكوب"/>
    <hyperlink ref="AF28:AH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AC29:AE31" location="تسعير!AQ38" display="تليسكوب"/>
    <hyperlink ref="AD29:AF31" location="تسعير!AQ38" display="تليسكوب"/>
    <hyperlink ref="AE29:AG31" location="تسعير!AQ38" display="تليسكوب"/>
    <hyperlink ref="AF29:AH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AC30:AE32" location="تسعير!AQ38" display="تليسكوب"/>
    <hyperlink ref="AD30:AF32" location="تسعير!AQ38" display="تليسكوب"/>
    <hyperlink ref="AE30:AG32" location="تسعير!AQ38" display="تليسكوب"/>
    <hyperlink ref="AF30:AH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AC31:AE33" location="تسعير!AQ38" display="تليسكوب"/>
    <hyperlink ref="AD31:AF33" location="تسعير!AQ38" display="تليسكوب"/>
    <hyperlink ref="AE31:AG33" location="تسعير!AQ38" display="تليسكوب"/>
    <hyperlink ref="AF31:AH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C32:AE34" location="تسعير!AQ38" display="تليسكوب"/>
    <hyperlink ref="AD32:AF34" location="تسعير!AQ38" display="تليسكوب"/>
    <hyperlink ref="AE32:AG34" location="تسعير!AQ38" display="تليسكوب"/>
    <hyperlink ref="AF32:AH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C33:AE35" location="تسعير!AQ38" display="تليسكوب"/>
    <hyperlink ref="AD33:AF35" location="تسعير!AQ38" display="تليسكوب"/>
    <hyperlink ref="AE33:AG35" location="تسعير!AQ38" display="تليسكوب"/>
    <hyperlink ref="AF33:AH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C34:AE36" location="تسعير!AQ38" display="تليسكوب"/>
    <hyperlink ref="AD34:AF36" location="تسعير!AQ38" display="تليسكوب"/>
    <hyperlink ref="AE34:AG36" location="تسعير!AQ38" display="تليسكوب"/>
    <hyperlink ref="AF34:AH36" location="تسعير!AQ38" display="تليسكوب"/>
    <hyperlink ref="AS34" location="تسعير!AW25" display="الامتداد cm"/>
    <hyperlink ref="BD34" location="تسعير!BA12" display="الامتداد cm"/>
    <hyperlink ref="B35:D37" location="تسعير!AQ38" display="تليسكوب"/>
    <hyperlink ref="C35:E37" location="تسعير!AQ38" display="تليسكوب"/>
    <hyperlink ref="D35:F37" location="تسعير!AQ38" display="تليسكوب"/>
    <hyperlink ref="E35:G37" location="تسعير!AQ38" display="تليسكوب"/>
    <hyperlink ref="F35:H37" location="تسعير!AQ38" display="تليسكوب"/>
    <hyperlink ref="G35:I37" location="تسعير!AQ38" display="تليسكوب"/>
    <hyperlink ref="H35:J37" location="تسعير!AQ38" display="تليسكوب"/>
    <hyperlink ref="I35:K37" location="تسعير!AQ38" display="تليسكوب"/>
    <hyperlink ref="J35:L37" location="تسعير!AQ38" display="تليسكوب"/>
    <hyperlink ref="K35:M37" location="تسعير!AQ38" display="تليسكوب"/>
    <hyperlink ref="L35:N37" location="تسعير!AQ38" display="تليسكوب"/>
    <hyperlink ref="M35:O37" location="تسعير!AQ38" display="تليسكوب"/>
    <hyperlink ref="N35:P37" location="تسعير!AQ38" display="تليسكوب"/>
    <hyperlink ref="O35:Q37" location="تسعير!AQ38" display="تليسكوب"/>
    <hyperlink ref="P35:R37" location="تسعير!AQ38" display="تليسكوب"/>
    <hyperlink ref="Q35:S37" location="تسعير!AQ38" display="تليسكوب"/>
    <hyperlink ref="R35:T37" location="تسعير!AQ38" display="تليسكوب"/>
    <hyperlink ref="S35:U37" location="تسعير!AQ38" display="تليسكوب"/>
    <hyperlink ref="T35:V37" location="تسعير!AQ38" display="تليسكوب"/>
    <hyperlink ref="U35:W37" location="تسعير!AQ38" display="تليسكوب"/>
    <hyperlink ref="V35:X37" location="تسعير!AQ38" display="تليسكوب"/>
    <hyperlink ref="W35:Y37" location="تسعير!AQ38" display="تليسكوب"/>
    <hyperlink ref="X35:Z37" location="تسعير!AQ38" display="تليسكوب"/>
    <hyperlink ref="Y35:AA37" location="تسعير!AQ38" display="تليسكوب"/>
    <hyperlink ref="Z35:AB37" location="تسعير!AQ38" display="تليسكوب"/>
    <hyperlink ref="AA35:AC37" location="تسعير!AQ38" display="تليسكوب"/>
    <hyperlink ref="AB35:AD37" location="تسعير!AQ38" display="تليسكوب"/>
    <hyperlink ref="AC35:AE37" location="تسعير!AQ38" display="تليسكوب"/>
    <hyperlink ref="AD35:AF37" location="تسعير!AQ38" display="تليسكوب"/>
    <hyperlink ref="AE35:AG37" location="تسعير!AQ38" display="تليسكوب"/>
    <hyperlink ref="AF35:AH37" location="تسعير!AQ38" display="تليسكوب"/>
    <hyperlink ref="B36:D38" location="تسعير!AQ38" display="تليسكوب"/>
    <hyperlink ref="C36:E38" location="تسعير!AQ38" display="تليسكوب"/>
    <hyperlink ref="D36:F38" location="تسعير!AQ38" display="تليسكوب"/>
    <hyperlink ref="E36:G38" location="تسعير!AQ38" display="تليسكوب"/>
    <hyperlink ref="F36:H38" location="تسعير!AQ38" display="تليسكوب"/>
    <hyperlink ref="G36:I38" location="تسعير!AQ38" display="تليسكوب"/>
    <hyperlink ref="H36:J38" location="تسعير!AQ38" display="تليسكوب"/>
    <hyperlink ref="I36:K38" location="تسعير!AQ38" display="تليسكوب"/>
    <hyperlink ref="J36:L38" location="تسعير!AQ38" display="تليسكوب"/>
    <hyperlink ref="K36:M38" location="تسعير!AQ38" display="تليسكوب"/>
    <hyperlink ref="L36:N38" location="تسعير!AQ38" display="تليسكوب"/>
    <hyperlink ref="M36:O38" location="تسعير!AQ38" display="تليسكوب"/>
    <hyperlink ref="N36:P38" location="تسعير!AQ38" display="تليسكوب"/>
    <hyperlink ref="O36:Q38" location="تسعير!AQ38" display="تليسكوب"/>
    <hyperlink ref="P36:R38" location="تسعير!AQ38" display="تليسكوب"/>
    <hyperlink ref="Q36:S38" location="تسعير!AQ38" display="تليسكوب"/>
    <hyperlink ref="R36:T38" location="تسعير!AQ38" display="تليسكوب"/>
    <hyperlink ref="S36:U38" location="تسعير!AQ38" display="تليسكوب"/>
    <hyperlink ref="T36:V38" location="تسعير!AQ38" display="تليسكوب"/>
    <hyperlink ref="U36:W38" location="تسعير!AQ38" display="تليسكوب"/>
    <hyperlink ref="V36:X38" location="تسعير!AQ38" display="تليسكوب"/>
    <hyperlink ref="W36:Y38" location="تسعير!AQ38" display="تليسكوب"/>
    <hyperlink ref="X36:Z38" location="تسعير!AQ38" display="تليسكوب"/>
    <hyperlink ref="Y36:AA38" location="تسعير!AQ38" display="تليسكوب"/>
    <hyperlink ref="Z36:AB38" location="تسعير!AQ38" display="تليسكوب"/>
    <hyperlink ref="AA36:AC38" location="تسعير!AQ38" display="تليسكوب"/>
    <hyperlink ref="AB36:AD38" location="تسعير!AQ38" display="تليسكوب"/>
    <hyperlink ref="AC36:AE38" location="تسعير!AQ38" display="تليسكوب"/>
    <hyperlink ref="AD36:AF38" location="تسعير!AQ38" display="تليسكوب"/>
    <hyperlink ref="AE36:AG38" location="تسعير!AQ38" display="تليسكوب"/>
    <hyperlink ref="AF36:AH38" location="تسعير!AQ38" display="تليسكوب"/>
    <hyperlink ref="B37:D39" location="تسعير!AQ38" display="تليسكوب"/>
    <hyperlink ref="C37:E39" location="تسعير!AQ38" display="تليسكوب"/>
    <hyperlink ref="D37:F39" location="تسعير!AQ38" display="تليسكوب"/>
    <hyperlink ref="E37:G39" location="تسعير!AQ38" display="تليسكوب"/>
    <hyperlink ref="F37:H39" location="تسعير!AQ38" display="تليسكوب"/>
    <hyperlink ref="G37:I39" location="تسعير!AQ38" display="تليسكوب"/>
    <hyperlink ref="H37:J39" location="تسعير!AQ38" display="تليسكوب"/>
    <hyperlink ref="I37:K39" location="تسعير!AQ38" display="تليسكوب"/>
    <hyperlink ref="J37:L39" location="تسعير!AQ38" display="تليسكوب"/>
    <hyperlink ref="K37:M39" location="تسعير!AQ38" display="تليسكوب"/>
    <hyperlink ref="L37:N39" location="تسعير!AQ38" display="تليسكوب"/>
    <hyperlink ref="M37:O39" location="تسعير!AQ38" display="تليسكوب"/>
    <hyperlink ref="N37:P39" location="تسعير!AQ38" display="تليسكوب"/>
    <hyperlink ref="O37:Q39" location="تسعير!AQ38" display="تليسكوب"/>
    <hyperlink ref="P37:R39" location="تسعير!AQ38" display="تليسكوب"/>
    <hyperlink ref="Q37:S39" location="تسعير!AQ38" display="تليسكوب"/>
    <hyperlink ref="R37:T39" location="تسعير!AQ38" display="تليسكوب"/>
    <hyperlink ref="S37:U39" location="تسعير!AQ38" display="تليسكوب"/>
    <hyperlink ref="T37:V39" location="تسعير!AQ38" display="تليسكوب"/>
    <hyperlink ref="U37:W39" location="تسعير!AQ38" display="تليسكوب"/>
    <hyperlink ref="V37:X39" location="تسعير!AQ38" display="تليسكوب"/>
    <hyperlink ref="W37:Y39" location="تسعير!AQ38" display="تليسكوب"/>
    <hyperlink ref="X37:Z39" location="تسعير!AQ38" display="تليسكوب"/>
    <hyperlink ref="Y37:AA39" location="تسعير!AQ38" display="تليسكوب"/>
    <hyperlink ref="Z37:AB39" location="تسعير!AQ38" display="تليسكوب"/>
    <hyperlink ref="AA37:AC39" location="تسعير!AQ38" display="تليسكوب"/>
    <hyperlink ref="AB37:AD39" location="تسعير!AQ38" display="تليسكوب"/>
    <hyperlink ref="AC37:AE39" location="تسعير!AQ38" display="تليسكوب"/>
    <hyperlink ref="AD37:AF39" location="تسعير!AQ38" display="تليسكوب"/>
    <hyperlink ref="AE37:AG39" location="تسعير!AQ38" display="تليسكوب"/>
    <hyperlink ref="AF37:AH39" location="تسعير!AQ38" display="تليسكوب"/>
    <hyperlink ref="B38:D40" location="تسعير!AQ38" display="تليسكوب"/>
    <hyperlink ref="C38:E40" location="تسعير!AQ38" display="تليسكوب"/>
    <hyperlink ref="D38:F40" location="تسعير!AQ38" display="تليسكوب"/>
    <hyperlink ref="E38:G40" location="تسعير!AQ38" display="تليسكوب"/>
    <hyperlink ref="F38:H40" location="تسعير!AQ38" display="تليسكوب"/>
    <hyperlink ref="G38:I40" location="تسعير!AQ38" display="تليسكوب"/>
    <hyperlink ref="H38:J40" location="تسعير!AQ38" display="تليسكوب"/>
    <hyperlink ref="I38:K40" location="تسعير!AQ38" display="تليسكوب"/>
    <hyperlink ref="J38:L40" location="تسعير!AQ38" display="تليسكوب"/>
    <hyperlink ref="K38:M40" location="تسعير!AQ38" display="تليسكوب"/>
    <hyperlink ref="L38:N40" location="تسعير!AQ38" display="تليسكوب"/>
    <hyperlink ref="M38:O40" location="تسعير!AQ38" display="تليسكوب"/>
    <hyperlink ref="N38:P40" location="تسعير!AQ38" display="تليسكوب"/>
    <hyperlink ref="O38:Q40" location="تسعير!AQ38" display="تليسكوب"/>
    <hyperlink ref="P38:R40" location="تسعير!AQ38" display="تليسكوب"/>
    <hyperlink ref="Q38:S40" location="تسعير!AQ38" display="تليسكوب"/>
    <hyperlink ref="R38:T40" location="تسعير!AQ38" display="تليسكوب"/>
    <hyperlink ref="S38:U40" location="تسعير!AQ38" display="تليسكوب"/>
    <hyperlink ref="T38:V40" location="تسعير!AQ38" display="تليسكوب"/>
    <hyperlink ref="U38:W40" location="تسعير!AQ38" display="تليسكوب"/>
    <hyperlink ref="V38:X40" location="تسعير!AQ38" display="تليسكوب"/>
    <hyperlink ref="W38:Y40" location="تسعير!AQ38" display="تليسكوب"/>
    <hyperlink ref="X38:Z40" location="تسعير!AQ38" display="تليسكوب"/>
    <hyperlink ref="Y38:AA40" location="تسعير!AQ38" display="تليسكوب"/>
    <hyperlink ref="Z38:AB40" location="تسعير!AQ38" display="تليسكوب"/>
    <hyperlink ref="AA38:AC40" location="تسعير!AQ38" display="تليسكوب"/>
    <hyperlink ref="AB38:AD40" location="تسعير!AQ38" display="تليسكوب"/>
    <hyperlink ref="AC38:AE40" location="تسعير!AQ38" display="تليسكوب"/>
    <hyperlink ref="AD38:AF40" location="تسعير!AQ38" display="تليسكوب"/>
    <hyperlink ref="AE38:AG40" location="تسعير!AQ38" display="تليسكوب"/>
    <hyperlink ref="AF38:AH40" location="تسعير!AQ38" display="تليسكوب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8E6BBAD1-5FF1-425D-8D25-8A789DFEF257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E6EFB2ED-D6CC-4D44-A2E6-A6BA14F3243D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3515776F-DAAB-44E2-8AED-44225A5A021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55E93117-975F-4139-8E23-04E8D9DDD1CF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61BCF8-1B46-42AC-B72E-D4767FD04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51F966F1-B31A-4359-A834-EB7763DF384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06D06B1-878B-4B43-A3DC-B9D860EAB94C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BDED0D8A-CA79-47C7-AB52-75F78989521B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74A1E70-E34F-4353-B556-7563D32CACF3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E1678956-735C-4587-8934-53ABCF47E8F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876F35-544A-4920-8D27-B1EC84B5F800}">
          <x14:formula1>
            <xm:f>wavy2!$A$19:$A$20</xm:f>
          </x14:formula1>
          <xm:sqref>BE9</xm:sqref>
        </x14:dataValidation>
        <x14:dataValidation type="list" allowBlank="1" showInputMessage="1" showErrorMessage="1" xr:uid="{97C3DF8A-CF3B-42BD-B892-3209EC9C5A07}">
          <x14:formula1>
            <xm:f>wavy1!$A$19:$A$20</xm:f>
          </x14:formula1>
          <xm:sqref>AT9</xm:sqref>
        </x14:dataValidation>
        <x14:dataValidation type="list" allowBlank="1" showInputMessage="1" showErrorMessage="1" xr:uid="{69F6F482-EF08-4F47-9974-8F283104FCF2}">
          <x14:formula1>
            <xm:f>Sheet2!$B$5:$B$7</xm:f>
          </x14:formula1>
          <xm:sqref>T25 T46 T64</xm:sqref>
        </x14:dataValidation>
        <x14:dataValidation type="list" allowBlank="1" showInputMessage="1" showErrorMessage="1" xr:uid="{854E1AB5-0826-49A2-A789-568A21A3199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66B249F0-752F-4600-9B93-3E276E486D7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C87DEC9F-F264-46B0-ACA4-970223AC8839}">
          <x14:formula1>
            <xm:f>Sheet2!$C$5:$C$6</xm:f>
          </x14:formula1>
          <xm:sqref>T26</xm:sqref>
        </x14:dataValidation>
        <x14:dataValidation type="list" allowBlank="1" showInputMessage="1" showErrorMessage="1" xr:uid="{24BEF176-AC9D-489B-9C53-500DCDB225C8}">
          <x14:formula1>
            <xm:f>Sheet2!$A$5</xm:f>
          </x14:formula1>
          <xm:sqref>U31</xm:sqref>
        </x14:dataValidation>
        <x14:dataValidation type="list" allowBlank="1" showInputMessage="1" showErrorMessage="1" xr:uid="{75B6BDB4-4E59-47F1-AABF-BDC701B161A8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86BDD13D-5806-45F8-B1EE-6FF4E057030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3EA269C-BAA6-46B2-BE6D-C3C00681C3E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A794035-2BDE-4C3A-9F7F-EAF816F5B1D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AE54E2B9-47CD-44EA-95A2-00905E131D8F}">
          <x14:formula1>
            <xm:f>Sheet2!$D$5:$D$6</xm:f>
          </x14:formula1>
          <xm:sqref>T32 T53 T71</xm:sqref>
        </x14:dataValidation>
        <x14:dataValidation type="list" allowBlank="1" showInputMessage="1" showErrorMessage="1" xr:uid="{D91FECB8-795D-4D2C-B8CD-663E463F6EB2}">
          <x14:formula1>
            <xm:f>Sheet2!$A$6</xm:f>
          </x14:formula1>
          <xm:sqref>AC36</xm:sqref>
        </x14:dataValidation>
        <x14:dataValidation type="list" allowBlank="1" showInputMessage="1" showErrorMessage="1" xr:uid="{72DD6A05-BD82-4D7D-8162-572D779E2EC2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45683.540873923608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(K6)/$G$79</f>
        <v>0.012298012453348047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(K7)/$G$79</f>
        <v>0.027055627397365705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(K8)/$G$79</f>
        <v>0.016204439938529193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Table1[[#Totals],[اجمالي]]/$G$79</f>
        <v>0.055558079789242945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0.00578729997804614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0.0036170624862788374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0.003183014987925377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0.00094043624643249779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0.001446824994511535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0.00043404749835346051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0.015191662442371117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0.00021702374917673025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0.017361899934138419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0.0032553562376509537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0.051434628554885072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0.00054255937294182561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0.00054255937294182561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0.00090426562156970935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0.0054255937294182561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0.001446824994511535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100</v>
      </c>
      <c r="K41" s="240">
        <f t="shared" si="6"/>
        <v>210.52631578947367</v>
      </c>
      <c r="L41" s="241">
        <f t="shared" si="7"/>
        <v>0.0015229736784331946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220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0.041668559841932205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0.034362093619648953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0.037979156105927794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950</v>
      </c>
      <c r="L47" s="251">
        <f t="shared" si="7"/>
        <v>0.006872418723929791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950</v>
      </c>
      <c r="L48" s="251">
        <f t="shared" si="7"/>
        <v>0.006872418723929791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19095.526315789473</v>
      </c>
      <c r="L49" s="244">
        <f>Table13[[#Totals],[اجمالي]]/$G$79</f>
        <v>0.13813942378518487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210</v>
      </c>
      <c r="J53" s="403">
        <f>Table1610[[#This Row],[سعر الكيلو]]*Table1610[[#This Row],[الوزن]]</f>
        <v>367.5</v>
      </c>
      <c r="K53" s="240">
        <f>B53*J53</f>
        <v>1102.5</v>
      </c>
      <c r="L53" s="241">
        <f>(Table1610[[#This Row],[اجمالي]])/$G$79</f>
        <v>0.0079756227822448365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0.012659718701975931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2852.5</v>
      </c>
      <c r="L55" s="244">
        <f>Table1610[[#Totals],[اجمالي]]/$G$79</f>
        <v>0.020635341484220769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2793.3200375938513</v>
      </c>
      <c r="I58" s="247"/>
      <c r="J58" s="403">
        <f>IF((Table1611[[#This Row],[عدد]]&gt;0),'Cutting Ro-1'!O8,0)</f>
        <v>58659.720789470877</v>
      </c>
      <c r="K58" s="240">
        <f>B58*Table1611[[#This Row],[سعر البرجولا كاملة]]</f>
        <v>58659.720789470877</v>
      </c>
      <c r="L58" s="241">
        <f>(K58)/$G$79</f>
        <v>0.42435175104637191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58659.720789470877</v>
      </c>
      <c r="K59" s="240">
        <f>B59*Table1611[[#This Row],[سعر البرجولا كاملة]]</f>
        <v>5865.9720789470884</v>
      </c>
      <c r="L59" s="241">
        <f>(K59)/$G$79</f>
        <v>0.042435175104637193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64525.692868417966</v>
      </c>
      <c r="L60" s="244">
        <f>Table1611[[#Totals],[اجمالي]]/$G$79</f>
        <v>0.46678692615100909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0.0072341249725576748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0.0054255937294182561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0.010851187458836512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0.0054255937294182561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0.047745224818880654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0.035808918614160488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0.031830149879253769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0.019098089927552263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0.025319437403951862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0.021702374917673024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0.044851574829857584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0.012153329953896895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0.26744560023545727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138233.71918420744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179703.83493946967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66477271-A988-448D-8210-F1B234567D2E}">
      <formula1>$N$2:$N$20</formula1>
    </dataValidation>
    <dataValidation type="list" allowBlank="1" showInputMessage="1" showErrorMessage="1" sqref="G63:G75" xr:uid="{6A0B2E2F-599B-4623-89E6-0E27B90A9B89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40000</v>
      </c>
      <c r="I2" s="231">
        <f>Sheet2!B13</f>
        <v>45000</v>
      </c>
      <c r="J2" s="232">
        <f>Sheet2!B14</f>
        <v>210000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45683.540874039354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340</v>
      </c>
      <c r="K6" s="240">
        <f>B6*J6</f>
        <v>1700</v>
      </c>
      <c r="L6" s="241">
        <f>(K6)/$G$84</f>
        <v>0.0044372892493652226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1870</v>
      </c>
      <c r="K7" s="240">
        <f ref="K7:K9" t="shared" si="2">B7*J7</f>
        <v>14960</v>
      </c>
      <c r="L7" s="241">
        <f>(K7)/$G$84</f>
        <v>0.039048145394413959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1130</v>
      </c>
      <c r="K8" s="240">
        <f t="shared" si="2"/>
        <v>3390</v>
      </c>
      <c r="L8" s="241">
        <f>(K8)/$G$84</f>
        <v>0.0088484767972635912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2240</v>
      </c>
      <c r="K9" s="240">
        <f t="shared" si="2"/>
        <v>4480</v>
      </c>
      <c r="L9" s="241">
        <f>(K9)/$G$84</f>
        <v>0.011693562257150705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24530</v>
      </c>
      <c r="L10" s="244">
        <f>Table118[[#Totals],[اجمالي]]/$G$84</f>
        <v>0.064027473698193477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0.0031322041760225103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0.0026101701466854253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0.0014355935806769839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0.001017966357207316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0.0025057633408180082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0.000313220417602251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0.021925429232157571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0.00010440680586741702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0.0035237296980253239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0.03656848375506281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4480</v>
      </c>
      <c r="L31" s="241">
        <f>(K31)/$G$84</f>
        <v>0.011693562257150705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1920</v>
      </c>
      <c r="L32" s="251">
        <f>(K32)/$G$84</f>
        <v>0.0050115266816360164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6400</v>
      </c>
      <c r="L33" s="244">
        <f>Table1624[[#Totals],[اجمالي]]/$G$84</f>
        <v>0.016705088938786722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0.0062644083520450207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100</v>
      </c>
      <c r="K37" s="240">
        <f t="shared" si="10"/>
        <v>200</v>
      </c>
      <c r="L37" s="241">
        <f t="shared" si="11"/>
        <v>0.00052203402933708506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220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0.0001957627610014069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0.0001957627610014069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0.00065254253667135632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0.0019576276100140688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0.00052203402933708506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0.02479661639351154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0.027406786540196966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190</v>
      </c>
      <c r="J48" s="248"/>
      <c r="K48" s="240">
        <f>B48*Table1319[[#This Row],[سعر الكيلو]]</f>
        <v>950</v>
      </c>
      <c r="L48" s="251">
        <f t="shared" si="11"/>
        <v>0.0024796616393511538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190</v>
      </c>
      <c r="J49" s="248"/>
      <c r="K49" s="240">
        <f>B49*Table1319[[#This Row],[سعر الكيلو]]</f>
        <v>950</v>
      </c>
      <c r="L49" s="251">
        <f t="shared" si="11"/>
        <v>0.0024796616393511538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25850</v>
      </c>
      <c r="L50" s="244">
        <f>Table1319[[#Totals],[اجمالي]]/$G$84</f>
        <v>0.06747289829181824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210</v>
      </c>
      <c r="J54" s="403">
        <f>Table161027[[#This Row],[سعر الكيلو]]*Table161027[[#This Row],[الوزن]]</f>
        <v>367.5</v>
      </c>
      <c r="K54" s="240">
        <f ref="K54:K55" t="shared" si="13">B54*J54</f>
        <v>1837.5</v>
      </c>
      <c r="L54" s="241">
        <f>(Table161027[[#This Row],[اجمالي]])/$G$84</f>
        <v>0.0047961876445344687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0.091355955133989891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36837.5</v>
      </c>
      <c r="L56" s="241">
        <f>Table161027[[#Totals],[اجمالي]]/$G$84</f>
        <v>0.096152142778524352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2015.0737400897231</v>
      </c>
      <c r="I59" s="247"/>
      <c r="J59" s="403">
        <f>IF((Table161128[[#This Row],[عدد]]&gt;0),'Cutting Ro-2'!O8,0)</f>
        <v>193447.07904861341</v>
      </c>
      <c r="K59" s="240">
        <f>Table161128[[#This Row],[عدد]]*Table161128[[#This Row],[سعر البرجولا كاملة]]</f>
        <v>193447.07904861341</v>
      </c>
      <c r="L59" s="241">
        <f>(K59)/$G$84</f>
        <v>0.50492979069618626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193447.07904861341</v>
      </c>
      <c r="K60" s="240">
        <f>Table161128[[#This Row],[عدد]]*Table161128[[#This Row],[سعر البرجولا كاملة]]</f>
        <v>19344.707904861341</v>
      </c>
      <c r="L60" s="241">
        <f>(K60)/$G$84</f>
        <v>0.050492979069618631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212791.78695347474</v>
      </c>
      <c r="L61" s="244">
        <f>Table161128[[#Totals],[اجمالي]]/$G$84</f>
        <v>0.555422769765805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0.060549421977735156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0.060549421977735156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0.0039152552200281375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0.0019576276100140688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0.0058728828300422071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0.0039152552200281375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0.016444071924118179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0.016444071924118179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0.016444071924118179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0.0068908491872495224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0.011745765660084414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0.007830510440056275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0.0060033913373764777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0.005637967516840519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0.1031017207940743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383116.78695347474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498051.82303951716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117277F-FFCC-4FBF-8337-6C0B6C9BD916}">
      <formula1>$U$4:$U$5</formula1>
    </dataValidation>
    <dataValidation type="list" allowBlank="1" showInputMessage="1" showErrorMessage="1" sqref="F72:F80" xr:uid="{E05D1EBE-03F3-47C1-9A6E-E3C31968F07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5287.5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45683.540874131948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10</v>
      </c>
      <c r="F4" s="384">
        <f>B4*C4*D4*E4</f>
        <v>3290.0000000000005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0.0158772405839228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0.044362878102137231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0.06024011868606003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0.0062263688564403131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0.0034245028710421723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0.0020235698783431016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0.0031131844282201566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1882.9</v>
      </c>
      <c r="F15" s="387">
        <f>SUBTOTAL(109,Table8[اجمالي التكلفة])</f>
        <v>23536.25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0.037358213138641877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0.052145839172687621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0.00070046649634953522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0.00070046649634953522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0.00038914805352751957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0.0023348883211651173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0.0012452737712880626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 ca="1"/>
        <v>0.0032770362402317435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0.033272158576602921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0.036969065085114362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0.040860545620389557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0.014787626034045744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0.014787626034045744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9593.0263157894733</v>
      </c>
      <c r="W45" s="244">
        <f>Table1359[[#Totals],[اجمالي]]/$R$71</f>
        <v>0.14932430072910985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23536.25</v>
      </c>
      <c r="V50" s="240">
        <f>M50*Table161368[[#This Row],[سعر الشبك ]]</f>
        <v>23536.25</v>
      </c>
      <c r="W50" s="241">
        <f t="shared" si="6" ca="1"/>
        <v>0.36636343499348328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23536.25</v>
      </c>
      <c r="V51" s="240">
        <f>M51*Table161368[[#This Row],[سعر الشبك ]]</f>
        <v>2353.625</v>
      </c>
      <c r="W51" s="241">
        <f t="shared" si="6" ca="1"/>
        <v>0.036636343499348328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25889.875</v>
      </c>
      <c r="W52" s="244">
        <f>Table161368[[#Totals],[اجمالي]]/$R$71</f>
        <v>0.40299977849283164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0.0077829610705503916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0.0077829610705503916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0.011674441605825587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0.011674441605825587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0.065376872992623292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0.049032654744467469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0.032688436496311646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0.041094034452506069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0.027240363746926372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0.071603241849063609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0.00933955328466047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0.33528996291931085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64242.901315789473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83515.771710526315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CA97E07-D030-45C1-AB00-6840B2C3CFC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235</v>
      </c>
      <c r="E3" s="187">
        <v>2</v>
      </c>
      <c r="F3" s="384">
        <f>B3*C3*D3*E3</f>
        <v>7402.5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45683.540874155093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235</v>
      </c>
      <c r="E4" s="187">
        <f>CEILING(D1/60,1)+1</f>
        <v>13</v>
      </c>
      <c r="F4" s="384">
        <f>B4*C4*D4*E4</f>
        <v>8554.0000000000018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0.059691424409878839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0.059691424409878839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0.0052360898605156875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0.0028798494232836281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0.0017017292046675983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0.010472179721031375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1100.9</v>
      </c>
      <c r="F17" s="387">
        <f>SUBTOTAL(109,Table823[اجمالي التكلفة])</f>
        <v>38531.5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0.020289848209498289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0.014661051609443926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0.0062833078326188247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0.02094435944206275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0.0039619746611235379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0.00058906010930801487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0.00058906010930801487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0.00098176684884669131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0.0058906010930801483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0.0015708269581547062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100</v>
      </c>
      <c r="V32" s="240">
        <f t="shared" si="3"/>
        <v>210.52631578947367</v>
      </c>
      <c r="W32" s="241">
        <f t="shared" si="4"/>
        <v>0.0027558367686924667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0.040317891925970795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0.062178567093623786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0.0687236794192684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0.0022583255568404165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0.0022583255568404165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14673.232982456142</v>
      </c>
      <c r="W45" s="516">
        <f>Table135926[[#Totals],[اجمالي]]/$R$71</f>
        <v>0.19207591610105743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38531.5</v>
      </c>
      <c r="V50" s="240">
        <f>M50*Table16136845[[#This Row],[سعر الشبك ]]</f>
        <v>38531.5</v>
      </c>
      <c r="W50" s="241">
        <f t="shared" si="6"/>
        <v>0.50438599115115057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38531.5</v>
      </c>
      <c r="V51" s="240">
        <f>M51*Table16136845[[#This Row],[سعر الشبك ]]</f>
        <v>3853.15</v>
      </c>
      <c r="W51" s="241">
        <f t="shared" si="6"/>
        <v>0.050438599115115057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42384.65</v>
      </c>
      <c r="W52" s="244">
        <f>Table16136845[[#Totals],[اجمالي]]/$R$71</f>
        <v>0.55482459026626563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0.013090224651289218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0.013090224651289218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0.006545112325644609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0.0098176684884669144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0.027489471767707357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0.020617103825780518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0.031416539163094122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0.030107516697965204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0.15217386157123716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76392.88298245614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99310.747877192989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C260E08-D367-49DD-9ED6-C842DE632C53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3172.5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210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210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22927.125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20535.625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16428.5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40</v>
      </c>
      <c r="E28" s="316">
        <f>Table12[[#This Row],[سعر]]*Table12[[#This Row],[ميزان]]*Table12[[#This Row],[عدد]]</f>
        <v>6400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40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40</v>
      </c>
      <c r="E30" s="316">
        <f>Table12[[#This Row],[سعر]]*Table12[[#This Row],[ميزان]]*Table12[[#This Row],[عدد]]</f>
        <v>2240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60</v>
      </c>
      <c r="E31" s="316">
        <f>Table12[[#This Row],[سعر]]*Table12[[#This Row],[ميزان]]*Table12[[#This Row],[عدد]]</f>
        <v>1800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60</v>
      </c>
      <c r="E32" s="316">
        <f>Table12[[#This Row],[سعر]]*Table12[[#This Row],[ميزان]]*Table12[[#This Row],[عدد]]</f>
        <v>5520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220</v>
      </c>
      <c r="E38" s="342">
        <f>Table12[[#This Row],[سعر]]*Table12[[#This Row],[ميزان]]*Table12[[#This Row],[عدد]]</f>
        <v>2464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220</v>
      </c>
      <c r="E39" s="342">
        <f>Table12[[#This Row],[سعر]]*Table12[[#This Row],[ميزان]]*Table12[[#This Row],[عدد]]</f>
        <v>1232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40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60148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40</v>
      </c>
      <c r="E50" s="342">
        <f>Table12[[#This Row],[سعر]]*Table12[[#This Row],[ميزان]]*Table12[[#This Row],[عدد]]</f>
        <v>1600</v>
      </c>
      <c r="J50" s="213" t="s">
        <v>155</v>
      </c>
      <c r="K50" s="214"/>
      <c r="L50" s="211"/>
      <c r="M50" s="282"/>
      <c r="N50" s="283">
        <f>N49+N48</f>
        <v>60148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78192.400000000009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40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36178</v>
      </c>
      <c r="F54" s="345">
        <f>Table12[[#Totals],[Column5]]/(تسعير!T54*تسعير!T55/10000)</f>
        <v>1447.12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40</v>
      </c>
      <c r="E61" s="316">
        <f>Table1257[[#This Row],[سعر]]*Table1257[[#This Row],[ميزان]]*Table1257[[#This Row],[عدد]]</f>
        <v>6400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40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40</v>
      </c>
      <c r="E63" s="316">
        <f>Table1257[[#This Row],[سعر]]*Table1257[[#This Row],[ميزان]]*Table1257[[#This Row],[عدد]]</f>
        <v>2240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60</v>
      </c>
      <c r="E64" s="316">
        <f>Table1257[[#This Row],[سعر]]*Table1257[[#This Row],[ميزان]]*Table1257[[#This Row],[عدد]]</f>
        <v>5400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60</v>
      </c>
      <c r="E65" s="316">
        <f>Table1257[[#This Row],[سعر]]*Table1257[[#This Row],[ميزان]]*Table1257[[#This Row],[عدد]]</f>
        <v>5520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220</v>
      </c>
      <c r="E72" s="342">
        <f>Table1257[[#This Row],[سعر]]*Table1257[[#This Row],[ميزان]]*Table1257[[#This Row],[عدد]]</f>
        <v>387.2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100</v>
      </c>
      <c r="E73" s="342">
        <f>Table1257[[#This Row],[سعر]]*Table1257[[#This Row],[ميزان]]*Table1257[[#This Row],[عدد]]</f>
        <v>340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40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74971.2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74971.2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40</v>
      </c>
      <c r="E84" s="342">
        <f>Table1257[[#This Row],[سعر]]*Table1257[[#This Row],[ميزان]]*Table1257[[#This Row],[عدد]]</f>
        <v>1200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101211.12000000001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40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39721.2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F9E0BACB-6061-4232-8F3F-C62518B05848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21.39</v>
      </c>
      <c r="C1" s="537" t="s">
        <v>428</v>
      </c>
      <c r="D1" s="538">
        <f>تسعير!AT34</f>
        <v>310</v>
      </c>
      <c r="E1" s="537" t="s">
        <v>125</v>
      </c>
      <c r="F1" s="538">
        <f>تسعير!AT33</f>
        <v>690</v>
      </c>
      <c r="G1" s="537" t="s">
        <v>172</v>
      </c>
      <c r="H1" s="538" t="str">
        <f>تسعير!AT26</f>
        <v>خشبي</v>
      </c>
      <c r="I1" s="539" t="str">
        <f>تسعير!AT32</f>
        <v>قواعد عادية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210000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19</v>
      </c>
      <c r="C3" s="544">
        <f>F1-16.5</f>
        <v>673.5</v>
      </c>
      <c r="D3" s="541" t="s">
        <v>566</v>
      </c>
      <c r="E3" s="541">
        <v>2.3</v>
      </c>
      <c r="F3" s="541" t="e">
        <f>IF(($H$1="سادة"),(J3*H3*E3*($U$2+(Sheet2!B41*1000))/1000),(J3*H3*E3*($U$2+(Sheet2!B15))/1000))</f>
        <v>#DIV/0!</v>
      </c>
      <c r="G3" s="531"/>
      <c r="H3" s="542">
        <f>IF(AND((C3&gt;=150),(C3&lt;201)),4,IF(AND((C3&gt;=201),(C3&lt;251)),5,IF(AND((C3&gt;=251),(C3&lt;401)),4,IF(AND((C3&gt;=401),(C3&lt;501)),5,0))))</f>
        <v>0</v>
      </c>
      <c r="I3" s="281">
        <f ref="I3:I8" t="shared" si="0">(H3*100)/C3</f>
        <v>0</v>
      </c>
      <c r="J3" s="545" t="e">
        <f ref="J3:J8" t="shared" si="1">B3/(ROUNDDOWN(I3,0))</f>
        <v>#DIV/0!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B22</v>
      </c>
      <c r="O3" s="207"/>
      <c r="P3" s="207"/>
      <c r="Q3" s="234" t="s">
        <v>18</v>
      </c>
      <c r="R3" s="641">
        <f>NOW()</f>
        <v>45683.540874212966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49680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45683.540874212966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690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14363.999999999998</v>
      </c>
      <c r="G4" s="546"/>
      <c r="H4" s="542">
        <f>IF(AND((C4&gt;=200),(C4&lt;250)),5,IF(AND((C4&gt;=250),(C4&lt;=350)),7,IF(AND((C4&gt;350),(C4&lt;501)),5,IF(AND((C4&gt;=501),(C4&lt;701)),7,0))))</f>
        <v>7</v>
      </c>
      <c r="I4" s="281">
        <f t="shared" si="0"/>
        <v>1.0144927536231885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4590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310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7181.9999999999991</v>
      </c>
      <c r="G5" s="546"/>
      <c r="H5" s="542">
        <f>IF(AND((C5&gt;=200),(C5&lt;=250)),5,IF(AND((C5&gt;250),(C5&lt;=350)),7,IF(AND((C5&gt;350),(C5&lt;501)),5,IF(AND((C5&gt;=501),(C5&lt;701)),7,0))))</f>
        <v>7</v>
      </c>
      <c r="I5" s="281">
        <f t="shared" si="0"/>
        <v>2.2580645161290325</v>
      </c>
      <c r="J5" s="545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4590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690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6426</v>
      </c>
      <c r="G6" s="546"/>
      <c r="H6" s="542">
        <f>IF(AND((C6&gt;=200),(C6&lt;=250)),5,IF(AND((C6&gt;250),(C6&lt;=350)),7,IF(AND((C6&gt;350),(C6&lt;501)),5,IF(AND((C6&gt;=501),(C6&lt;701)),7,0))))</f>
        <v>7</v>
      </c>
      <c r="I6" s="281">
        <f t="shared" si="0"/>
        <v>1.0144927536231885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2280</v>
      </c>
      <c r="V6" s="240">
        <f>M6*U6</f>
        <v>4560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310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3213</v>
      </c>
      <c r="G7" s="546"/>
      <c r="H7" s="542">
        <f>IF(AND((C7&gt;=200),(C7&lt;=250)),5,IF(AND((C7&gt;250),(C7&lt;=350)),7,IF(AND((C7&gt;350),(C7&lt;501)),5,IF(AND((C7&gt;=501),(C7&lt;701)),7,0))))</f>
        <v>7</v>
      </c>
      <c r="I7" s="281">
        <f t="shared" si="0"/>
        <v>2.2580645161290325</v>
      </c>
      <c r="J7" s="545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673.5</v>
      </c>
      <c r="D8" s="541" t="s">
        <v>566</v>
      </c>
      <c r="E8" s="541">
        <v>0.65</v>
      </c>
      <c r="F8" s="541" t="e">
        <f>IF(($H$1="سادة"),(J8*H8*E8*($U$2+(Sheet2!B41*1000))/1000),(J8*H8*E8*($U$2+(Sheet2!B15))/1000))</f>
        <v>#DIV/0!</v>
      </c>
      <c r="G8" s="546"/>
      <c r="H8" s="542">
        <f>IF(AND((C8&gt;=150),(C8&lt;201)),4,IF(AND((C8&gt;=201),(C8&lt;251)),5,IF(AND((C8&gt;=251),(C8&lt;401)),4,IF(AND((C8&gt;=401),(C8&lt;501)),5,0))))</f>
        <v>0</v>
      </c>
      <c r="I8" s="281">
        <f t="shared" si="0"/>
        <v>0</v>
      </c>
      <c r="J8" s="545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284.8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38</v>
      </c>
      <c r="D10" s="541" t="s">
        <v>28</v>
      </c>
      <c r="E10" s="541">
        <v>20</v>
      </c>
      <c r="F10" s="541">
        <f>E10*C10</f>
        <v>760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3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2.16</v>
      </c>
      <c r="R10" s="242" t="s">
        <v>43</v>
      </c>
      <c r="S10" s="211"/>
      <c r="T10" s="211">
        <f>Table15880[[#This Row],[المسطح]]*Table15880[[#This Row],[عدد]]</f>
        <v>6.48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38</v>
      </c>
      <c r="D11" s="541" t="s">
        <v>28</v>
      </c>
      <c r="E11" s="541">
        <v>18</v>
      </c>
      <c r="F11" s="541">
        <f>E11*C11</f>
        <v>684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25.680000000000003</v>
      </c>
      <c r="R11" s="211"/>
      <c r="S11" s="211">
        <f>(S6*M6)+(S7*M7)+(M8*S8)+(S9*M9)</f>
        <v>438</v>
      </c>
      <c r="T11" s="211">
        <f>SUBTOTAL(109,Table15880[اجمالي المسطح])</f>
        <v>86.160000000000011</v>
      </c>
      <c r="U11" s="242"/>
      <c r="V11" s="240">
        <f>SUBTOTAL(109,Table15880[اجمالي])</f>
        <v>17520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21.983999999999998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3.664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5443.7281250000005</v>
      </c>
      <c r="AX14" s="194"/>
      <c r="AY14" s="194"/>
      <c r="AZ14" s="194"/>
      <c r="BA14" s="194">
        <f>SUBTOTAL(109,Table8091[price])</f>
        <v>79181.5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38</v>
      </c>
      <c r="D15" s="541" t="s">
        <v>28</v>
      </c>
      <c r="E15" s="541">
        <v>120</v>
      </c>
      <c r="F15" s="541">
        <f>C15*E15</f>
        <v>4560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38</v>
      </c>
      <c r="D16" s="541" t="s">
        <v>28</v>
      </c>
      <c r="E16" s="541">
        <v>120</v>
      </c>
      <c r="F16" s="541">
        <f>C16*E16</f>
        <v>4560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8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400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128</v>
      </c>
      <c r="D18" s="541" t="s">
        <v>566</v>
      </c>
      <c r="E18" s="541">
        <v>10</v>
      </c>
      <c r="F18" s="541">
        <f>C18*E18</f>
        <v>1280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2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2400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128</v>
      </c>
      <c r="D19" s="557"/>
      <c r="E19" s="557">
        <v>20</v>
      </c>
      <c r="F19" s="541">
        <f ref="F19:F20" t="shared" si="7">C19*E19</f>
        <v>2560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3950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7</v>
      </c>
      <c r="D20" s="541" t="s">
        <v>28</v>
      </c>
      <c r="E20" s="541">
        <v>250</v>
      </c>
      <c r="F20" s="541">
        <f t="shared" si="7"/>
        <v>1750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7</v>
      </c>
      <c r="D21" s="541" t="s">
        <v>28</v>
      </c>
      <c r="E21" s="541">
        <v>40</v>
      </c>
      <c r="F21" s="541">
        <f>E21*C21</f>
        <v>280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0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 t="e">
        <f>(Table80102114[[#Totals],[price]]*1.1)/(F1*D1/10000)</f>
        <v>#DIV/0!</v>
      </c>
      <c r="C24" s="194"/>
      <c r="D24" s="194"/>
      <c r="E24" s="194"/>
      <c r="F24" s="194" t="e">
        <f>SUBTOTAL(109,Table80102114[price])</f>
        <v>#DIV/0!</v>
      </c>
      <c r="L24" s="211">
        <v>8</v>
      </c>
      <c r="M24" s="212">
        <f>M22*4</f>
        <v>0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</v>
      </c>
      <c r="R24" s="211" t="s">
        <v>85</v>
      </c>
      <c r="S24" s="211">
        <v>0.75</v>
      </c>
      <c r="T24" s="211"/>
      <c r="U24" s="243">
        <f>S24*$S$2/1000</f>
        <v>30</v>
      </c>
      <c r="V24" s="240">
        <f>M24*U24</f>
        <v>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9.96</v>
      </c>
      <c r="R25" s="211"/>
      <c r="S25" s="211">
        <f>(S23*M23)+(M24*S24)</f>
        <v>14</v>
      </c>
      <c r="T25" s="211"/>
      <c r="U25" s="242"/>
      <c r="V25" s="240">
        <f>SUBTOTAL(109,Table166273[اجمالي])</f>
        <v>560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10"/>
        <v>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100</v>
      </c>
      <c r="V35" s="240">
        <f t="shared" si="12"/>
        <v>400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100</v>
      </c>
      <c r="BQ35" s="240">
        <f t="shared" si="10"/>
        <v>400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452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13560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25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11875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25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13125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10"/>
        <v>950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2"/>
        <v>950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10"/>
        <v>950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2"/>
        <v>950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41233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41280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79181.5</v>
      </c>
      <c r="BQ46" s="252">
        <f>BH46*Table1613687787[[#This Row],[سعر الشبك ]]</f>
        <v>79181.5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79181.5</v>
      </c>
      <c r="BQ47" s="240">
        <f>BH47*Table1613687787[[#This Row],[سعر الشبك ]]</f>
        <v>7918.1500000000005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87099.65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167262.65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217441.445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 t="e">
        <f>R68*(1+Table187079[[#This Row],[Column3]])</f>
        <v>#DIV/0!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40000</v>
      </c>
      <c r="T73" s="295">
        <f>Sheet2!B13</f>
        <v>45000</v>
      </c>
      <c r="U73" s="295">
        <f>Sheet2!B14</f>
        <v>210000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45683.540874293984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45683.540874293984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49680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77625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10260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3360</v>
      </c>
      <c r="V77" s="240">
        <f>M77*U77</f>
        <v>6720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10260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1480</v>
      </c>
      <c r="V78" s="240">
        <f>M78*U78</f>
        <v>5920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4590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1760</v>
      </c>
      <c r="V79" s="240">
        <f>M79*U79</f>
        <v>7040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4590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1755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19680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5443.7281250000005</v>
      </c>
      <c r="AX85" s="302"/>
      <c r="AY85" s="302"/>
      <c r="AZ85" s="302"/>
      <c r="BA85" s="302">
        <f>SUBTOTAL(109,Table80102113[price])</f>
        <v>79181.5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1920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30</v>
      </c>
      <c r="V95" s="240">
        <f>M95*U95</f>
        <v>480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2400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8187.85</v>
      </c>
      <c r="C97" s="194"/>
      <c r="D97" s="194"/>
      <c r="E97" s="194"/>
      <c r="F97" s="194">
        <f>SUBTOTAL(109,Table80102114115[price])</f>
        <v>148870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220</v>
      </c>
      <c r="BQ104" s="240">
        <f t="shared" si="26"/>
        <v>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100</v>
      </c>
      <c r="BQ105" s="240">
        <f t="shared" si="26"/>
        <v>400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100</v>
      </c>
      <c r="V106" s="240">
        <f t="shared" si="31"/>
        <v>400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190</v>
      </c>
      <c r="BQ110" s="240">
        <f t="shared" si="26"/>
        <v>950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190</v>
      </c>
      <c r="BQ111" s="240">
        <f t="shared" si="26"/>
        <v>950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42783</v>
      </c>
      <c r="BR113" s="566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41890</v>
      </c>
      <c r="W114" s="516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79181.5</v>
      </c>
      <c r="BQ117" s="252">
        <f>BH117*Table1613687798109[[#This Row],[سعر الشبك ]]</f>
        <v>79181.5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148870</v>
      </c>
      <c r="V118" s="252">
        <f>M118*Table1613687798[[#This Row],[سعر الشبك ]]</f>
        <v>148870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79181.5</v>
      </c>
      <c r="BQ118" s="240">
        <f>BH118*Table1613687798109[[#This Row],[سعر الشبك ]]</f>
        <v>7918.1500000000005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148870</v>
      </c>
      <c r="V119" s="240">
        <f>M119*Table1613687798[[#This Row],[سعر الشبك ]]</f>
        <v>14887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87099.65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163757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178372.65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254057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231884.445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330274.10000000003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8CC18DB-02D8-4549-AED4-C72A8B013B60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