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<sst xmlns="http://schemas.openxmlformats.org/spreadsheetml/2006/main" count="596" uniqueCount="596">
  <si>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</si>
  <si>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</si>
  <si>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</si>
  <si>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</si>
  <si>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</si>
  <si>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</si>
  <si>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</si>
  <si>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</si>
  <si>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</si>
  <si>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</si>
  <si>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</si>
  <si>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</si>
  <si>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</si>
  <si>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</si>
  <si>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</si>
  <si>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</si>
  <si>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</si>
  <si>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</si>
  <si>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</si>
  <si>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</si>
  <si>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</si>
  <si>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</si>
  <si>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</si>
  <si>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</si>
  <si>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</si>
  <si>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</si>
  <si>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</si>
  <si>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</si>
  <si>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</si>
  <si>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</si>
  <si>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</si>
  <si>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</si>
  <si>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</si>
  <si>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</si>
  <si>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</si>
  <si>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</si>
  <si>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</si>
  <si>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</si>
  <si>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</si>
  <si>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</si>
  <si>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</si>
  <si>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</si>
  <si>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</si>
  <si>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</si>
  <si>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</si>
  <si>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</si>
  <si>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</si>
  <si>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</si>
  <si>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</si>
  <si>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</si>
  <si>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</si>
  <si>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</si>
  <si>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</si>
  <si>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</si>
  <si>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</si>
  <si>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</si>
  <si>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</si>
  <si>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</si>
  <si>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</si>
  <si>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</si>
  <si>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</si>
  <si>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</si>
  <si>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</si>
  <si>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</si>
  <si>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</si>
  <si>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</si>
  <si>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</si>
  <si>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</si>
  <si>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</si>
  <si>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</si>
  <si>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</si>
  <si>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</si>
  <si>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</si>
  <si>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</si>
  <si>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</si>
  <si>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</si>
  <si>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</si>
  <si>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</si>
  <si>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</si>
  <si>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</si>
  <si>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</si>
  <si>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</si>
  <si>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</si>
  <si>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</si>
  <si>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</si>
  <si>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</si>
  <si>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</si>
  <si>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</si>
  <si>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</si>
  <si>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</si>
  <si>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</si>
  <si>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</si>
  <si>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</si>
  <si>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</si>
  <si>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</si>
  <si>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</si>
  <si>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</si>
  <si>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</si>
  <si>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</si>
  <si>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</si>
  <si>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</si>
  <si>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</si>
  <si>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</si>
  <si>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</si>
  <si>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</si>
  <si>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</si>
  <si>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</si>
  <si>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</si>
  <si>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</si>
  <si>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</si>
  <si>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</si>
  <si>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</si>
  <si>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</si>
  <si>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</si>
  <si>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</si>
  <si>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</si>
  <si>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</si>
  <si>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</si>
  <si>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</si>
  <si>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</si>
  <si>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</si>
  <si>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</si>
  <si>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</si>
  <si>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</si>
  <si>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</si>
  <si>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</si>
  <si>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</si>
  <si>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</si>
  <si>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</si>
  <si>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</si>
  <si>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</si>
  <si>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</si>
  <si>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</si>
  <si>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</si>
  <si>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</si>
  <si>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</si>
  <si>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</si>
  <si>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</si>
  <si>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</si>
  <si>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</si>
  <si>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</si>
  <si>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</si>
  <si>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</si>
  <si>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</si>
  <si>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</si>
  <si>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</si>
  <si>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</si>
  <si>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</si>
  <si>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</si>
  <si>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</si>
  <si>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</si>
  <si>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</si>
  <si>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</si>
  <si>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</si>
  <si>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</si>
  <si>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</si>
  <si>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</si>
  <si>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</si>
  <si>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</si>
  <si>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</si>
  <si>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</si>
  <si>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</si>
  <si>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</si>
  <si>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</si>
  <si>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</si>
  <si>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</si>
  <si>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</si>
  <si>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</si>
  <si>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</si>
  <si>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</si>
  <si>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</si>
  <si>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</si>
  <si>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</si>
  <si>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</si>
  <si>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</si>
  <si>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</si>
  <si>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</si>
  <si>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</si>
  <si>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قطاعي</t>
  </si>
  <si>
    <t>مربعة</t>
  </si>
  <si>
    <t>مصري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</si>
  <si>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</si>
  <si>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</si>
  <si>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</si>
  <si>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</si>
  <si>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</si>
  <si>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</si>
  <si>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</si>
  <si>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</si>
  <si>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</si>
  <si>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</si>
  <si>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</si>
  <si>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</si>
  <si>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</si>
  <si>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</si>
  <si>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</si>
  <si>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</si>
  <si>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</si>
  <si>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</si>
  <si>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</si>
  <si>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</si>
  <si>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</si>
  <si>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</si>
  <si>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</si>
  <si>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</si>
  <si>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</si>
  <si>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</si>
  <si>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</si>
  <si>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</si>
  <si>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</si>
  <si>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</si>
  <si>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</si>
  <si>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</si>
  <si>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</si>
  <si>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</si>
  <si>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</si>
  <si>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</si>
  <si>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</si>
  <si>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</si>
  <si>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</si>
  <si>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</si>
  <si>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</si>
  <si>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</si>
  <si>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</si>
  <si>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</si>
  <si>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</si>
  <si>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</si>
  <si>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</si>
  <si>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</si>
  <si>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</si>
  <si>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</si>
  <si>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</si>
  <si>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</si>
  <si>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</si>
  <si>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</si>
  <si>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</si>
  <si>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</si>
  <si>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</si>
  <si>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</si>
  <si>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</si>
  <si>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</si>
  <si>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</si>
  <si>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</si>
  <si>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</si>
  <si>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</si>
  <si>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</si>
  <si>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</si>
  <si>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</si>
  <si>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</si>
  <si>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</si>
  <si>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</si>
  <si>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</si>
  <si>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</si>
  <si>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</si>
  <si>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</si>
  <si>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</si>
  <si>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</si>
  <si>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</si>
  <si>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</si>
  <si>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</si>
  <si>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</si>
  <si>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</si>
  <si>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</si>
  <si>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</si>
  <si>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</si>
  <si>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</si>
  <si>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</si>
  <si>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</si>
  <si>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</si>
  <si>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</si>
  <si>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</si>
  <si>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</si>
  <si>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</si>
  <si>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</si>
  <si>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</si>
  <si>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</si>
  <si>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</si>
  <si>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</si>
  <si>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</si>
  <si>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</si>
  <si>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</si>
  <si>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</si>
  <si>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</si>
  <si>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</si>
  <si>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</si>
  <si>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</si>
  <si>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</si>
  <si>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</si>
  <si>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</si>
  <si>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</si>
  <si>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</si>
  <si>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</si>
  <si>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</si>
  <si>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</si>
  <si>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</si>
  <si>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</si>
  <si>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</si>
  <si>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</si>
  <si>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</si>
  <si>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</si>
  <si>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</si>
  <si>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</si>
  <si>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</si>
  <si>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</si>
  <si>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</si>
  <si>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</si>
  <si>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</si>
  <si>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</si>
  <si>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</si>
  <si>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</si>
  <si>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</si>
  <si>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</si>
  <si>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</si>
  <si>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</si>
  <si>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</si>
  <si>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</si>
  <si>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</si>
  <si>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</si>
  <si>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</si>
  <si>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</si>
  <si>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</si>
  <si>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</si>
  <si>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</si>
  <si>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</si>
  <si>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</si>
  <si>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</si>
  <si>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</si>
  <si>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</si>
  <si>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</si>
  <si>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</si>
  <si>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</si>
  <si>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</si>
  <si>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</si>
  <si>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</si>
  <si>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</si>
  <si>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</si>
  <si>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</si>
  <si>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</si>
  <si>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</si>
  <si>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</si>
  <si>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</si>
  <si>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</si>
  <si>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</si>
  <si>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</si>
  <si>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</si>
  <si>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</si>
  <si>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</si>
  <si>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</si>
  <si>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</si>
  <si>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</si>
  <si>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</si>
  <si>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</si>
  <si>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</si>
  <si>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</si>
  <si>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</si>
  <si>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</si>
  <si>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</si>
  <si>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</si>
  <si>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</si>
  <si>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</si>
  <si>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</si>
  <si>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</si>
  <si>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</si>
  <si>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</si>
  <si>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</si>
  <si>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</si>
  <si>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</si>
  <si>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</si>
  <si>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</si>
  <si>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</si>
  <si>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</si>
  <si>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</si>
  <si>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</si>
  <si>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</si>
  <si>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</si>
  <si>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</si>
  <si>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</si>
  <si>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</si>
  <si>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</si>
  <si>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</si>
  <si>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</si>
  <si>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</si>
  <si>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</si>
  <si>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</si>
  <si>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</si>
  <si>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</si>
  <si>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</si>
  <si>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</si>
  <si>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</si>
  <si>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</si>
  <si>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</si>
  <si>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</si>
  <si>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</si>
  <si>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</si>
  <si>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</si>
  <si>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</si>
  <si>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</si>
  <si>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</si>
  <si>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</si>
  <si>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</si>
  <si>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</si>
  <si>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</si>
  <si>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</si>
  <si>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</si>
  <si>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</si>
  <si>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</si>
  <si>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</si>
  <si>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</si>
  <si>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</si>
  <si>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</si>
  <si>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</si>
  <si>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</si>
  <si>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</si>
  <si>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</si>
  <si>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</si>
  <si>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</si>
  <si>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</si>
  <si>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</si>
  <si>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</si>
  <si>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</si>
  <si>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</si>
  <si>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</si>
  <si>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</si>
  <si>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</si>
  <si>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</si>
  <si>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</si>
  <si>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</si>
  <si>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</si>
  <si>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</si>
  <si>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</si>
  <si>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</si>
  <si>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</si>
  <si>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</si>
  <si>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</si>
  <si>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</si>
  <si>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</si>
  <si>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</si>
  <si>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</si>
  <si>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</si>
  <si>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</si>
  <si>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</si>
  <si>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</si>
  <si>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</si>
  <si>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</si>
  <si>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</si>
  <si>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</si>
  <si>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</si>
  <si>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</si>
  <si>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</si>
  <si>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</si>
  <si>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</si>
  <si>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</si>
  <si>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</si>
  <si>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</si>
  <si>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</si>
  <si>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</si>
  <si>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</si>
  <si>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</si>
  <si>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</si>
  <si>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</si>
  <si>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</si>
  <si>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</si>
  <si>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</si>
  <si>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</si>
  <si>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</si>
  <si>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</si>
  <si>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</si>
  <si>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</si>
  <si>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</si>
  <si>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</si>
  <si>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</si>
  <si>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</si>
  <si>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</si>
  <si>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</si>
  <si>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</si>
  <si>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</si>
  <si>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</si>
  <si>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</si>
  <si>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</si>
  <si>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</si>
  <si>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</si>
  <si>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</si>
  <si>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</si>
  <si>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</si>
  <si>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</si>
  <si>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</si>
  <si>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</si>
  <si>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</si>
  <si>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</si>
  <si>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</si>
  <si>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</si>
  <si>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</si>
  <si>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</si>
  <si>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</si>
  <si>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</si>
  <si>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</si>
  <si>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</si>
  <si>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</si>
  <si>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</si>
  <si>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</si>
  <si>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</si>
  <si>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</si>
  <si>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</si>
  <si>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</si>
  <si>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</si>
  <si>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</si>
  <si>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</si>
  <si>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</si>
  <si>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</si>
  <si>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</si>
  <si>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</si>
  <si>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</si>
  <si>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</si>
  <si>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</si>
  <si>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</si>
  <si>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</si>
  <si>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</si>
  <si>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</si>
  <si>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</si>
  <si>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</si>
  <si>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</si>
  <si>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</si>
  <si>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</si>
  <si>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</si>
  <si>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</si>
  <si>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</si>
  <si>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</si>
  <si>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جملة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</si>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</sst>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3" applyFont="1" fillId="0" borderId="0" applyProtection="1"/>
    <xf numFmtId="9" applyNumberFormat="1" fontId="95" applyFont="1" fillId="0" borderId="0" applyProtection="1"/>
  </cellStyleXfs>
  <cellXfs count="807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7" applyFont="1" fillId="0" borderId="0" xfId="0" applyProtection="1" applyAlignment="1">
      <alignment horizontal="center"/>
    </xf>
    <xf numFmtId="0" fontId="47" applyFont="1" fillId="0" borderId="0" xfId="0" applyProtection="1" applyAlignment="1">
      <alignment horizontal="center"/>
      <protection locked="0"/>
    </xf>
    <xf numFmtId="0" fontId="47" applyFont="1" fillId="0" borderId="0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0" fontId="47" applyFont="1" fillId="0" borderId="0" xfId="0" applyProtection="1" applyAlignment="1">
      <alignment horizontal="center" shrinkToFit="1"/>
    </xf>
    <xf numFmtId="0" fontId="48" applyFont="1" fillId="0" borderId="0" xfId="0" applyProtection="1" applyAlignment="1">
      <alignment horizontal="center"/>
    </xf>
    <xf numFmtId="0" fontId="49" applyFont="1" fillId="0" borderId="0" xfId="0" applyProtection="1" applyAlignment="1">
      <alignment horizontal="center"/>
    </xf>
    <xf numFmtId="2" applyNumberFormat="1" fontId="47" applyFont="1" fillId="12" applyFill="1" borderId="0" xfId="0" applyProtection="1" applyAlignment="1">
      <alignment horizontal="center"/>
    </xf>
    <xf numFmtId="9" applyNumberFormat="1" fontId="48" applyFont="1" fillId="0" borderId="0" xfId="0" applyProtection="1" applyAlignment="1">
      <alignment horizont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50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50" applyFont="1" fillId="0" borderId="0" xfId="0" applyProtection="1" applyAlignment="1">
      <alignment horizontal="center" vertical="center"/>
    </xf>
    <xf numFmtId="0" fontId="50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1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3" applyNumberFormat="1" fontId="61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23" applyBorder="1" xfId="0" applyProtection="1" applyAlignment="1">
      <alignment horizontal="center" vertical="center"/>
    </xf>
    <xf numFmtId="3" applyNumberFormat="1" fontId="60" applyFont="1" fillId="16" applyFill="1" borderId="0" xfId="0" applyProtection="1"/>
    <xf numFmtId="0" fontId="62" applyFont="1" fillId="16" applyFill="1" borderId="46" applyBorder="1" xfId="0" applyProtection="1" applyAlignment="1">
      <alignment vertical="center"/>
    </xf>
    <xf numFmtId="0" fontId="63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4" applyFont="1" fillId="16" applyFill="1" borderId="48" applyBorder="1" xfId="0" applyProtection="1" applyAlignment="1">
      <alignment vertical="center"/>
    </xf>
    <xf numFmtId="0" fontId="63" applyFont="1" fillId="16" applyFill="1" borderId="49" applyBorder="1" xfId="0" applyProtection="1" applyAlignment="1">
      <alignment horizontal="center" vertical="center"/>
    </xf>
    <xf numFmtId="0" fontId="64" applyFont="1" fillId="16" applyFill="1" borderId="50" applyBorder="1" xfId="0" applyProtection="1" applyAlignment="1">
      <alignment vertical="center"/>
    </xf>
    <xf numFmtId="0" fontId="63" applyFont="1" fillId="16" applyFill="1" borderId="51" applyBorder="1" xfId="0" applyProtection="1" applyAlignment="1">
      <alignment horizontal="center" vertical="center"/>
    </xf>
    <xf numFmtId="0" fontId="62" applyFont="1" fillId="16" applyFill="1" borderId="52" applyBorder="1" xfId="0" applyProtection="1" applyAlignment="1">
      <alignment vertical="center"/>
    </xf>
    <xf numFmtId="0" fontId="64" applyFont="1" fillId="16" applyFill="1" borderId="52" applyBorder="1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6" applyFont="1" fillId="17" applyFill="1" borderId="0" xfId="0" applyProtection="1" applyAlignment="1">
      <alignment vertical="center"/>
    </xf>
    <xf numFmtId="0" fontId="64" applyFont="1" fillId="16" applyFill="1" borderId="45" applyBorder="1" xfId="0" applyProtection="1" applyAlignment="1">
      <alignment horizontal="center" vertical="center"/>
    </xf>
    <xf numFmtId="0" fontId="59" applyFont="1" fillId="15" applyFill="1" borderId="0" xfId="0" applyProtection="1" applyAlignment="1">
      <alignment vertical="center"/>
    </xf>
    <xf numFmtId="0" fontId="68" applyFont="1" fillId="16" applyFill="1" borderId="0" xfId="0" applyProtection="1" applyAlignment="1">
      <alignment vertical="center"/>
    </xf>
    <xf numFmtId="0" fontId="59" applyFont="1" fillId="16" applyFill="1" borderId="52" applyBorder="1" xfId="0" applyProtection="1" applyAlignment="1">
      <alignment vertical="center"/>
    </xf>
    <xf numFmtId="0" fontId="62" applyFont="1" fillId="16" applyFill="1" borderId="50" applyBorder="1" xfId="0" applyProtection="1" applyAlignment="1">
      <alignment vertical="center"/>
    </xf>
    <xf numFmtId="0" fontId="67" applyFont="1" fillId="16" applyFill="1" borderId="0" xfId="0" applyProtection="1"/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0" fontId="70" applyFont="1" fillId="16" applyFill="1" borderId="57" applyBorder="1" xfId="0" applyProtection="1" applyAlignment="1">
      <alignment horizontal="center" vertical="center"/>
    </xf>
    <xf numFmtId="165" applyNumberFormat="1" fontId="68" applyFont="1" fillId="16" applyFill="1" borderId="58" applyBorder="1" xfId="1" applyProtection="1" applyAlignment="1">
      <alignment horizontal="center" vertical="center"/>
    </xf>
    <xf numFmtId="0" fontId="71" applyFont="1" fillId="16" applyFill="1" borderId="55" applyBorder="1" xfId="0" applyProtection="1" applyAlignment="1">
      <alignment horizontal="center" vertical="center"/>
    </xf>
    <xf numFmtId="0" fontId="69" applyFont="1" fillId="16" applyFill="1" borderId="59" applyBorder="1" xfId="0" applyProtection="1" applyAlignment="1">
      <alignment horizontal="center" vertical="center"/>
    </xf>
    <xf numFmtId="0" fontId="69" applyFont="1" fillId="18" applyFill="1" borderId="60" applyBorder="1" xfId="0" applyProtection="1" applyAlignment="1">
      <alignment horizontal="center" vertical="center"/>
    </xf>
    <xf numFmtId="0" fontId="69" applyFont="1" fillId="18" applyFill="1" borderId="56" applyBorder="1" xfId="0" applyProtection="1" applyAlignment="1">
      <alignment horizontal="center" vertical="center"/>
    </xf>
    <xf numFmtId="0" fontId="72" applyFont="1" fillId="16" applyFill="1" borderId="0" xfId="0" applyProtection="1"/>
    <xf numFmtId="0" fontId="72" applyFont="1" fillId="16" applyFill="1" borderId="61" applyBorder="1" xfId="0" applyProtection="1"/>
    <xf numFmtId="0" fontId="72" applyFont="1" fillId="16" applyFill="1" borderId="56" applyBorder="1" xfId="0" applyProtection="1"/>
    <xf numFmtId="0" fontId="69" applyFont="1" fillId="16" applyFill="1" borderId="62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0" fontId="69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3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9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1" applyFont="1" fillId="16" applyFill="1" borderId="58" applyBorder="1" xfId="0" applyProtection="1" applyAlignment="1">
      <alignment horizontal="center" vertical="center"/>
    </xf>
    <xf numFmtId="0" fontId="74" applyFont="1" fillId="7" applyFill="1" borderId="45" applyBorder="1" xfId="0" applyProtection="1" applyAlignment="1">
      <alignment horizontal="center"/>
    </xf>
    <xf numFmtId="0" fontId="60" applyFont="1" fillId="16" applyFill="1" borderId="0" xfId="0" applyProtection="1"/>
    <xf numFmtId="3" applyNumberFormat="1" fontId="77" applyFont="1" fillId="16" applyFill="1" borderId="0" xfId="0" applyProtection="1"/>
    <xf numFmtId="0" fontId="75" applyFont="1" fillId="16" applyFill="1" borderId="0" xfId="0" applyProtection="1" applyAlignment="1">
      <alignment vertical="center"/>
    </xf>
    <xf numFmtId="0" fontId="69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5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9" applyFont="1" fillId="8" applyFill="1" borderId="0" xfId="0" applyProtection="1" applyAlignment="1">
      <alignment vertical="center"/>
    </xf>
    <xf numFmtId="0" fontId="58" applyFont="1" fillId="0" borderId="0" xfId="0" applyProtection="1" applyAlignment="1">
      <alignment vertical="center"/>
    </xf>
    <xf numFmtId="3" applyNumberFormat="1" fontId="60" applyFont="1" fillId="0" borderId="0" xfId="0" applyProtection="1" applyAlignment="1">
      <alignment vertical="center"/>
    </xf>
    <xf numFmtId="3" applyNumberFormat="1" fontId="60" applyFont="1" fillId="0" borderId="0" xfId="0" applyProtection="1"/>
    <xf numFmtId="0" fontId="65" applyFont="1" fillId="0" borderId="0" xfId="0" applyProtection="1" applyAlignment="1">
      <alignment vertical="center"/>
    </xf>
    <xf numFmtId="0" fontId="63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9" applyFont="1" fillId="0" borderId="0" xfId="0" applyProtection="1" applyAlignment="1">
      <alignment vertical="center"/>
    </xf>
    <xf numFmtId="0" fontId="64" applyFont="1" fillId="0" borderId="0" xfId="0" applyProtection="1" applyAlignment="1">
      <alignment horizontal="center" vertical="center"/>
    </xf>
    <xf numFmtId="1" applyNumberFormat="1" fontId="58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73" applyFont="1" fillId="16" applyFill="1" borderId="56" applyBorder="1" xfId="0" applyProtection="1" applyAlignment="1">
      <alignment vertical="center"/>
    </xf>
    <xf numFmtId="0" fontId="66" applyFont="1" fillId="8" applyFill="1" borderId="0" xfId="0" applyProtection="1" applyAlignment="1">
      <alignment vertical="center"/>
    </xf>
    <xf numFmtId="0" fontId="62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6" applyFont="1" fillId="0" borderId="0" xfId="0" applyProtection="1" applyAlignment="1">
      <alignment vertical="center"/>
    </xf>
    <xf numFmtId="1" applyNumberFormat="1" fontId="58" applyFont="1" fillId="16" applyFill="1" borderId="56" applyBorder="1" xfId="0" applyProtection="1" applyAlignment="1">
      <alignment horizontal="center" vertical="center"/>
    </xf>
    <xf numFmtId="0" fontId="67" applyFont="1" fillId="16" applyFill="1" borderId="56" applyBorder="1" xfId="0" applyProtection="1"/>
    <xf numFmtId="0" fontId="64" applyFont="1" fillId="16" applyFill="1" borderId="31" applyBorder="1" xfId="0" applyProtection="1" applyAlignment="1">
      <alignment horizontal="center" vertical="center"/>
    </xf>
    <xf numFmtId="0" fontId="56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2" applyFont="1" fillId="16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9" applyFont="1" fillId="16" applyFill="1" borderId="22" applyBorder="1" xfId="0" applyProtection="1" applyAlignment="1">
      <alignment horizontal="center" vertical="center"/>
    </xf>
    <xf numFmtId="0" fontId="62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3" applyFont="1" fillId="16" applyFill="1" borderId="56" applyBorder="1" xfId="0" applyProtection="1" applyAlignment="1">
      <alignment horizontal="center" vertical="center"/>
    </xf>
    <xf numFmtId="0" fontId="63" applyFont="1" fillId="16" applyFill="1" borderId="59" applyBorder="1" xfId="0" applyProtection="1" applyAlignment="1">
      <alignment horizontal="center" vertical="center"/>
    </xf>
    <xf numFmtId="0" fontId="67" applyFont="1" fillId="16" applyFill="1" borderId="59" applyBorder="1" xfId="0" applyProtection="1"/>
    <xf numFmtId="0" fontId="67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6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7" applyFont="1" fillId="0" borderId="23" applyBorder="1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shrinkToFit="1"/>
    </xf>
    <xf numFmtId="0" fontId="110" applyFont="1" fillId="0" borderId="0" xfId="0" applyProtection="1" applyAlignment="1">
      <alignment horizontal="center"/>
    </xf>
    <xf numFmtId="2" applyNumberFormat="1" fontId="108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11" applyFont="1" fillId="0" borderId="0" xfId="3" applyProtection="1" applyAlignment="1">
      <alignment horizontal="center"/>
      <protection locked="0"/>
    </xf>
    <xf numFmtId="0" fontId="111" applyFont="1" fillId="0" borderId="0" xfId="0" applyProtection="1" applyAlignment="1">
      <alignment horizontal="center" vertical="center" shrinkToFit="1"/>
      <protection locked="0"/>
    </xf>
    <xf numFmtId="0" fontId="111" applyFont="1" fillId="0" borderId="0" xfId="3" applyProtection="1" applyAlignment="1">
      <alignment horizontal="center" vertical="center" shrinkToFit="1"/>
    </xf>
    <xf numFmtId="0" fontId="111" applyFont="1" fillId="0" borderId="0" xfId="0" applyProtection="1" applyAlignment="1">
      <alignment horizontal="center" vertical="center" shrinkToFit="1"/>
    </xf>
    <xf numFmtId="0" fontId="111" applyFont="1" fillId="0" borderId="0" xfId="3" applyProtection="1" applyAlignment="1">
      <alignment horizontal="center" shrinkToFit="1"/>
    </xf>
    <xf numFmtId="0" fontId="111" applyFont="1" fillId="0" borderId="0" xfId="0" applyProtection="1" applyAlignment="1">
      <alignment horizontal="center" shrinkToFit="1"/>
    </xf>
    <xf numFmtId="0" fontId="111" applyFont="1" fillId="0" borderId="0" xfId="3" applyProtection="1" applyAlignment="1">
      <alignment horizontal="center"/>
    </xf>
    <xf numFmtId="0" fontId="111" applyFont="1" fillId="0" borderId="0" xfId="0" applyProtection="1" applyAlignment="1">
      <alignment horizontal="center"/>
    </xf>
    <xf numFmtId="0" fontId="111" applyFont="1" fillId="0" borderId="0" xfId="0" applyProtection="1" applyAlignment="1">
      <alignment horizontal="center" vertic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60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8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6" applyFont="1" fillId="16" applyFill="1" borderId="23" applyBorder="1" xfId="0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6" applyFont="1" fillId="0" borderId="0" xfId="0" applyProtection="1" applyAlignment="1">
      <alignment horizontal="center" vertical="center"/>
    </xf>
    <xf numFmtId="164" applyNumberFormat="1" fontId="74" applyFont="1" fillId="7" applyFill="1" borderId="29" applyBorder="1" xfId="1" applyProtection="1" applyAlignment="1">
      <alignment horizontal="center"/>
    </xf>
    <xf numFmtId="164" applyNumberFormat="1" fontId="74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4" applyFont="1" fillId="7" applyFill="1" borderId="25" applyBorder="1" xfId="1" applyProtection="1" applyAlignment="1">
      <alignment horizontal="center"/>
    </xf>
    <xf numFmtId="164" applyNumberFormat="1" fontId="74" applyFont="1" fillId="7" applyFill="1" borderId="27" applyBorder="1" xfId="1" applyProtection="1" applyAlignment="1">
      <alignment horizontal="center"/>
    </xf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60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9" applyFont="1" fillId="7" applyFill="1" borderId="0" xfId="0" applyProtection="1" applyAlignment="1">
      <alignment horizontal="center" vertical="center"/>
    </xf>
    <xf numFmtId="166" applyNumberFormat="1" fontId="80" applyFont="1" fillId="7" applyFill="1" borderId="0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60" applyFont="1" fillId="16" applyFill="1" borderId="0" xfId="0" applyProtection="1" applyAlignment="1">
      <alignment horizontal="left"/>
    </xf>
    <xf numFmtId="0" fontId="54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57" applyFont="1" fillId="0" borderId="0" xfId="0" applyProtection="1" applyAlignment="1">
      <alignment horizontal="center" vertical="center"/>
    </xf>
    <xf numFmtId="0" fontId="53" applyFont="1" fillId="0" borderId="0" xfId="2" applyProtection="1" applyAlignment="1">
      <alignment horizontal="center" vertical="center"/>
    </xf>
    <xf numFmtId="0" fontId="78" applyFont="1" fillId="16" applyFill="1" borderId="0" xfId="0" applyProtection="1" applyAlignment="1">
      <alignment horizontal="center"/>
    </xf>
    <xf numFmtId="0" fontId="67" applyFont="1" fillId="16" applyFill="1" borderId="0" xfId="0" applyProtection="1" applyAlignment="1">
      <alignment horizontal="center"/>
    </xf>
    <xf numFmtId="0" fontId="67" applyFont="1" fillId="16" applyFill="1" borderId="53" applyBorder="1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top"/>
    </xf>
    <xf numFmtId="0" fontId="55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</xf>
    <xf numFmtId="0" fontId="2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left"/>
    </xf>
    <xf numFmtId="0" fontId="6" applyFont="1" fillId="0" borderId="0" xfId="3" applyProtection="1" applyAlignment="1">
      <alignment horizontal="left" wrapTex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8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xmlns="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xmlns="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xmlns="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xmlns="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xmlns="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xmlns="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xmlns="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xmlns="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xmlns="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xmlns="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xmlns="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xmlns="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xmlns="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xmlns="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xmlns="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xmlns="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xmlns="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xmlns="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xmlns="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xmlns="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xmlns="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xmlns="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xmlns="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xmlns="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xmlns="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xmlns="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xmlns="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xmlns="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xmlns="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xmlns="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xmlns="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xmlns="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xmlns="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xmlns="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xmlns="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xmlns="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xmlns="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xmlns="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xmlns="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xmlns="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xmlns="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xmlns="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xmlns="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xmlns="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xmlns="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xmlns="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xmlns="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xmlns="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xmlns="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xmlns="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xmlns="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xmlns="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xmlns="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xmlns="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xmlns="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xmlns="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xmlns="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xmlns="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xmlns="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xmlns="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xmlns="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xmlns="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xmlns="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xmlns="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xmlns="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xmlns="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xmlns="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xmlns="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xmlns="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xmlns="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xmlns="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xmlns="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xmlns="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68"/>
    <tableColumn id="2" name="المعدل" dataDxfId="1344"/>
    <tableColumn id="3" name="الوحدة" dataDxfId="1344"/>
    <tableColumn id="4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334" totalsRowDxfId="1335"/>
    <tableColumn id="2" name="عدد" dataDxfId="1336" totalsRowDxfId="13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BP28</calculatedColumnFormula>
    </tableColumn>
    <tableColumn id="8" name="اجمالي" totalsRowFunction="sum" dataDxfId="1339" totalsRowDxfId="1340">
      <calculatedColumnFormula>BH98*BP99</calculatedColumnFormula>
    </tableColumn>
    <tableColumn id="9" name="%" totalsRowFunction="custom" totalsRowDxfId="1341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334" totalsRowDxfId="1335"/>
    <tableColumn id="2" name="عدد" dataDxfId="1336" totalsRowDxfId="1335">
      <calculatedColumnFormula>IF((#REF!="بالتات"),0,4)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55" totalsRowDxfId="1338">
      <calculatedColumnFormula>Sheet2!AW26</calculatedColumnFormula>
    </tableColumn>
    <tableColumn id="8" name="اجمالي" totalsRowFunction="sum" dataDxfId="1339" totalsRowDxfId="1340">
      <calculatedColumnFormula>BH84*BP84</calculatedColumnFormula>
    </tableColumn>
    <tableColumn id="9" name="%" totalsRowFunction="custom" totalsRowDxfId="1341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334"/>
    <tableColumn id="2" name="عدد" totalsRowFunction="sum" dataDxfId="1334">
      <calculatedColumnFormula>BH90*4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(Table16627394105[[#This Row],[Column1]]*Table16627394105[[#This Row],[Column2]])*Table16627394105[[#This Row],[عدد]]</calculatedColumnFormula>
    </tableColumn>
    <tableColumn id="4" name="الوحده" dataDxfId="1334"/>
    <tableColumn id="5" name="الوزن" totalsRowFunction="custom">
      <totalsRowFormula>(BN93*BH93)+(BH94*BN94)</totalsRowFormula>
    </tableColumn>
    <tableColumn id="6" name="سعر الكيلو" dataDxfId="1336"/>
    <tableColumn id="7" name="سعر الشبك " dataDxfId="1337">
      <calculatedColumnFormula>BN92*$S$2/1000</calculatedColumnFormula>
    </tableColumn>
    <tableColumn id="8" name="اجمالي" totalsRowFunction="sum" dataDxfId="1339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334"/>
    <tableColumn id="2" name="عدد" dataDxfId="1350">
      <calculatedColumnFormula>IF((تسعير!$AU$14="بالتات"),0,BH119-2)</calculatedColumnFormula>
    </tableColumn>
    <tableColumn id="3" name="بيان" totalsRowLabel="Total" dataDxfId="1347"/>
    <tableColumn id="5" name="اليومية / الاجرة" dataDxfId="1347"/>
    <tableColumn id="6" name="بدل الوجبة" dataDxfId="1348"/>
    <tableColumn id="11" name="موقع العمل" dataDxfId="1345">
      <calculatedColumnFormula>تسعير!$BE$44</calculatedColumnFormula>
    </tableColumn>
    <tableColumn id="10" name="شيفت العمل" dataDxfId="1334"/>
    <tableColumn id="12" name="Column12" totalsRowFunction="sum" dataDxfId="1342">
      <calculatedColumnFormula>SUMIF(Table17697899110[Column1],Table1612677697108[[#This Row],[موقع العمل]],$AE$2:$AE$8)</calculatedColumnFormula>
    </tableColumn>
    <tableColumn id="4" name="عدد الايام" dataDxfId="1356"/>
    <tableColumn id="7" name="اجمالي التكلفة للعامل" dataDxfId="1357">
      <calculatedColumnFormula>Table1612677697108[[#This Row],[Column12]]</calculatedColumnFormula>
    </tableColumn>
    <tableColumn id="8" name="اجمالي" totalsRowFunction="sum" dataDxfId="1339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345"/>
    <tableColumn id="2" name="عدد" dataDxfId="1350">
      <calculatedColumnFormula>IF((BL133="الاسكندرية"),0.25,0.1)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BQ116</calculatedColumnFormula>
    </tableColumn>
    <tableColumn id="8" name="اجمالي" totalsRowFunction="sum" dataDxfId="1339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IF((BL133="المقطم"),0.3,IF((BL133="التجمع"),0.3,IF((BL133="الشيخ زايد"),0.3,IF((BL133="الاسكندرية"),0.5,0.35))))</calculatedColumnFormula>
    </tableColumn>
    <tableColumn id="2" name="Column2" dataDxfId="135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334" totalsRowDxfId="1335"/>
    <tableColumn id="2" name="عدد" dataDxfId="1334" totalsRowDxfId="1335">
      <calculatedColumnFormula>IF(OR((BI69="B11"),(BI69="B12"),(BI69="B21"),(BI69="B22"),(BI69="B31"),(BI69="B32")),3,0)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(Table15880101112[[#This Row],[Column1]]+Table15880101112[[#This Row],[Column2]])*12*Table15880101112[[#This Row],[عدد]]</calculatedColumnFormula>
    </tableColumn>
    <tableColumn id="4" name="الوحده" dataDxfId="1334" totalsRowDxfId="1335"/>
    <tableColumn id="5" name="الوزن" totalsRowFunction="custom" totalsRowDxfId="1335">
      <totalsRowFormula>(BN76*BH76)+(BN77*BH77)+(BN78*BH78)+(BN79*BH79)</totalsRowFormula>
    </tableColumn>
    <tableColumn id="6" name="اجمالي المسطح" totalsRowFunction="sum" dataDxfId="1336" totalsRowDxfId="1335">
      <calculatedColumnFormula>Table15880101112[[#This Row],[المسطح]]*Table15880101112[[#This Row],[عدد]]</calculatedColumnFormula>
    </tableColumn>
    <tableColumn id="7" name="سعر الشبك " dataDxfId="1363" totalsRowDxfId="1338">
      <calculatedColumnFormula>BN76*$S$2/1000</calculatedColumnFormula>
    </tableColumn>
    <tableColumn id="8" name="اجمالي" totalsRowFunction="sum" dataDxfId="1339" totalsRowDxfId="1340">
      <calculatedColumnFormula>BH76*BP76</calculatedColumnFormula>
    </tableColumn>
    <tableColumn id="9" name="%" totalsRowFunction="custom" totalsRowDxfId="1341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334"/>
    <tableColumn id="2" name="عدد" dataDxfId="121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65"/>
    <tableColumn id="11" name="Column2" dataDxfId="1345"/>
    <tableColumn id="10" name="Column1" dataDxfId="79"/>
    <tableColumn id="12" name="Column12" totalsRowFunction="sum" dataDxfId="1059"/>
    <tableColumn id="4" name="الوحده" dataDxfId="1058"/>
    <tableColumn id="5" name="الوزن" dataDxfId="1057"/>
    <tableColumn id="6" name="سعر الكيلو" dataDxfId="1346"/>
    <tableColumn id="7" name="سعر الشبك " dataDxfId="76">
      <calculatedColumnFormula>Sheet2!B31</calculatedColumnFormula>
    </tableColumn>
    <tableColumn id="8" name="اجمالي" totalsRowFunction="sum" dataDxfId="1339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373" totalsRowDxfId="1375"/>
    <tableColumn id="2" name="عدد" totalsRowFunction="custom" totalsRowDxfId="1376">
      <totalsRowFormula>(Table80102113[[#Totals],[price]]*1.1)/(BA72*AY72/10000)</totalsRowFormula>
    </tableColumn>
    <tableColumn id="3" name="طول" dataDxfId="1373" totalsRowDxfId="1374"/>
    <tableColumn id="4" name="Column2" dataDxfId="1373" totalsRowDxfId="1374"/>
    <tableColumn id="5" name="wt/m" dataDxfId="1373" totalsRowDxfId="1374"/>
    <tableColumn id="6" name="price" totalsRowFunction="sum" dataDxfId="1373" totalsRowDxfId="1374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" dataDxfId="1" totalsRowDxfId="12">
  <autoFilter ref="A2:F23"/>
  <tableColumns count="6">
    <tableColumn id="1" name="Column1" totalsRowLabel="Total" dataDxfId="1377" totalsRowDxfId="1375"/>
    <tableColumn id="2" name="عدد" totalsRowFunction="custom" dataDxfId="1377" totalsRowDxfId="1376">
      <totalsRowFormula>(Table80102114[[#Totals],[price]]*1.1)/(F1*D1/10000)</totalsRowFormula>
    </tableColumn>
    <tableColumn id="3" name="طول" dataDxfId="1377" totalsRowDxfId="1374"/>
    <tableColumn id="4" name="Column2" dataDxfId="1377" totalsRowDxfId="1374"/>
    <tableColumn id="5" name="wt/m" dataDxfId="1377" totalsRowDxfId="1374"/>
    <tableColumn id="6" name="price" totalsRowFunction="sum" dataDxfId="1377" totalsRowDxfId="1374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378" dataDxfId="1377" totalsRowDxfId="1379">
  <autoFilter ref="A75:F96"/>
  <tableColumns count="6">
    <tableColumn id="1" name="Column1" totalsRowLabel="Total" dataDxfId="1377" totalsRowDxfId="1375"/>
    <tableColumn id="2" name="عدد" totalsRowFunction="custom" dataDxfId="1377" totalsRowDxfId="1376">
      <totalsRowFormula>(Table80102114115[[#Totals],[price]]*1.1)/(F74*D74/10000)</totalsRowFormula>
    </tableColumn>
    <tableColumn id="3" name="طول" dataDxfId="1377" totalsRowDxfId="1374"/>
    <tableColumn id="4" name="Column2" dataDxfId="1377" totalsRowDxfId="1374"/>
    <tableColumn id="5" name="wt/m" dataDxfId="1377" totalsRowDxfId="1374"/>
    <tableColumn id="6" name="price" totalsRowFunction="sum" dataDxfId="1377" totalsRowDxfId="1374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334"/>
    <tableColumn id="2" name="عدد" dataDxfId="1334">
      <calculatedColumnFormula>IF((F74="الاسكندرية"),0.25,0.1)</calculatedColumnFormula>
    </tableColumn>
    <tableColumn id="3" name="بيان برجولا رويال" totalsRowLabel="Total" dataDxfId="1334"/>
    <tableColumn id="12" name="Column12" totalsRowFunction="sum" dataDxfId="1342"/>
    <tableColumn id="5" name="Column1" dataDxfId="1334"/>
    <tableColumn id="11" name="العرض" dataDxfId="1345"/>
    <tableColumn id="10" name="الامتداد" dataDxfId="1336"/>
    <tableColumn id="4" name="سعر المتر" dataDxfId="1346"/>
    <tableColumn id="6" name="Column2" dataDxfId="92"/>
    <tableColumn id="7" name="سعر البرجولا كاملة" dataDxfId="1337">
      <calculatedColumnFormula>(K57)</calculatedColumnFormula>
    </tableColumn>
    <tableColumn id="8" name="اجمالي" totalsRowFunction="sum" dataDxfId="1339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334" totalsRowDxfId="1335"/>
    <tableColumn id="2" name="عدد" dataDxfId="63" totalsRowDxfId="1335">
      <calculatedColumnFormula>B60</calculatedColumnFormula>
    </tableColumn>
    <tableColumn id="3" name="بيان" totalsRowLabel="Total" dataDxfId="93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SUMIF(Table17[Column1],Table1612[[#This Row],[موقع العمل]],$T$2:$T$20)</calculatedColumnFormula>
    </tableColumn>
    <tableColumn id="4" name="عدد الايام" dataDxfId="88" totalsRowDxfId="1335"/>
    <tableColumn id="7" name="اجمالي التكلفة للعامل" dataDxfId="87" totalsRowDxfId="1338">
      <calculatedColumnFormula>Table1612[[#This Row],[Column12]]</calculatedColumnFormula>
    </tableColumn>
    <tableColumn id="8" name="اجمالي" totalsRowFunction="sum" dataDxfId="1339" totalsRowDxfId="1340">
      <calculatedColumnFormula>B63*J63</calculatedColumnFormula>
    </tableColumn>
    <tableColumn id="9" name="%" totalsRowFunction="custom" totalsRowDxfId="1341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667"/>
    <tableColumn id="2" name="خارجي" dataDxfId="1349"/>
    <tableColumn id="3" name="داخلي" dataDxfId="1349"/>
    <tableColumn id="4" name="بدل الوجبة" dataDxfId="1349"/>
    <tableColumn id="5" name="دبابة" dataDxfId="1349"/>
    <tableColumn id="6" name="جامبو" dataDxfId="1349"/>
    <tableColumn id="7" name="الاقامة" dataDxfId="13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345"/>
    <tableColumn id="4" name="Column22" dataDxfId="1345"/>
    <tableColumn id="5" name="Column23" dataDxfId="1345"/>
    <tableColumn id="3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350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334" totalsRowDxfId="1335"/>
    <tableColumn id="2" name="عدد" dataDxfId="1334" totalsRowDxfId="13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(Table118[[#This Row],[Column1]]+Table118[[#This Row],[Column2]])*12*Table118[[#This Row],[عدد]]</calculatedColumnFormula>
    </tableColumn>
    <tableColumn id="4" name="الوحده" dataDxfId="1334" totalsRowDxfId="1335"/>
    <tableColumn id="5" name="الوزن" totalsRowFunction="custom" dataDxfId="1334" totalsRowDxfId="1335">
      <totalsRowFormula>H9*B9+B8*H8+H7*B7</totalsRowFormula>
    </tableColumn>
    <tableColumn id="6" name="اجمالي الميزان" totalsRowFunction="sum" dataDxfId="1336" totalsRowDxfId="1335">
      <calculatedColumnFormula>Table118[[#This Row],[الوزن]]*Table118[[#This Row],[عدد]]</calculatedColumnFormula>
    </tableColumn>
    <tableColumn id="7" name="سعر الشبك " dataDxfId="1337" totalsRowDxfId="1338">
      <calculatedColumnFormula>H6*$H$2/1000</calculatedColumnFormula>
    </tableColumn>
    <tableColumn id="8" name="اجمالي" totalsRowFunction="sum" dataDxfId="1339" totalsRowDxfId="1340">
      <calculatedColumnFormula>B6*J6</calculatedColumnFormula>
    </tableColumn>
    <tableColumn id="9" name="%" totalsRowFunction="custom" totalsRowDxfId="1341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334" totalsRowDxfId="1335"/>
    <tableColumn id="2" name="عدد" dataDxfId="1336" totalsRowDxfId="13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6" totalsRowDxfId="13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334" totalsRowDxfId="1335">
      <calculatedColumnFormula>Sheet2!B7</calculatedColumnFormula>
    </tableColumn>
    <tableColumn id="7" name="سعر الشبك " dataDxfId="1337" totalsRowDxfId="1338"/>
    <tableColumn id="8" name="اجمالي" totalsRowFunction="sum" dataDxfId="1339" totalsRowDxfId="1340">
      <calculatedColumnFormula>B36*Table1319[[#This Row],[سعر الكيلو]]</calculatedColumnFormula>
    </tableColumn>
    <tableColumn id="9" name="%" totalsRowFunction="custom" totalsRowDxfId="1341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334"/>
    <tableColumn id="2" name="عدد" dataDxfId="1334">
      <calculatedColumnFormula>IF((تسعير!X30&lt;800),0,IF(AND((تسعير!X30&gt;800),(600&gt;=تسعير!AA32)),1,0))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36">
      <calculatedColumnFormula>(Table1421[[#This Row],[Column1]]+Table1421[[#This Row],[Column2]])*12*Table1421[[#This Row],[عدد]]</calculatedColumnFormula>
    </tableColumn>
    <tableColumn id="4" name="الوحده" dataDxfId="1334"/>
    <tableColumn id="5" name="الوزن" dataDxfId="1334"/>
    <tableColumn id="6" name="سعر الكيلو" totalsRowFunction="sum" dataDxfId="1336">
      <calculatedColumnFormula>Table1421[[#This Row],[الوزن]]*Table1421[[#This Row],[عدد]]</calculatedColumnFormula>
    </tableColumn>
    <tableColumn id="7" name="سعر الشبك " dataDxfId="1337">
      <calculatedColumnFormula>H13*$I$2/1000</calculatedColumnFormula>
    </tableColumn>
    <tableColumn id="8" name="اجمالي" totalsRowFunction="sum" dataDxfId="1339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334" totalsRowDxfId="1335"/>
    <tableColumn id="2" name="عدد" dataDxfId="1336" totalsRowDxfId="13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Sheet2!B22</calculatedColumnFormula>
    </tableColumn>
    <tableColumn id="8" name="اجمالي" totalsRowFunction="sum" dataDxfId="1339" totalsRowDxfId="1340">
      <calculatedColumnFormula>B18*J18</calculatedColumnFormula>
    </tableColumn>
    <tableColumn id="9" name="%" totalsRowFunction="custom" totalsRowDxfId="1341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334"/>
    <tableColumn id="2" name="عدد" totalsRowFunction="count" dataDxfId="1336">
      <calculatedColumnFormula>B30*4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(Table1624[[#This Row],[Column1]]*Table1624[[#This Row],[Column2]])*Table1624[[#This Row],[عدد]]</calculatedColumnFormula>
    </tableColumn>
    <tableColumn id="4" name="الوحده" dataDxfId="1334"/>
    <tableColumn id="5" name="الوزن" totalsRowFunction="custom">
      <totalsRowFormula>H31*B31+H32*B32</totalsRowFormula>
    </tableColumn>
    <tableColumn id="6" name="سعر الكيلو" dataDxfId="1336">
      <calculatedColumnFormula>$H$2/1000</calculatedColumnFormula>
    </tableColumn>
    <tableColumn id="7" name="سعر الشبك " dataDxfId="1337">
      <calculatedColumnFormula>H31*$H$2/1000</calculatedColumnFormula>
    </tableColumn>
    <tableColumn id="8" name="اجمالي" totalsRowFunction="sum" dataDxfId="1339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334"/>
    <tableColumn id="2" name="عدد" dataDxfId="1063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345"/>
    <tableColumn id="11" name="Column2" dataDxfId="1345"/>
    <tableColumn id="10" name="Column1" dataDxfId="1346"/>
    <tableColumn id="12" name="Column12" totalsRowFunction="sum" dataDxfId="1352"/>
    <tableColumn id="4" name="الوحده" dataDxfId="1353"/>
    <tableColumn id="5" name="الوزن" dataDxfId="1354"/>
    <tableColumn id="6" name="سعر الكيلو" dataDxfId="1346"/>
    <tableColumn id="7" name="سعر الشبك " dataDxfId="1355">
      <calculatedColumnFormula>Sheet2!B31</calculatedColumnFormula>
    </tableColumn>
    <tableColumn id="8" name="اجمالي" totalsRowFunction="sum" dataDxfId="1339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334"/>
    <tableColumn id="2" name="عدد" dataDxfId="1334">
      <calculatedColumnFormula>IF((F79="الاسكندرية"),0.25,0.1)</calculatedColumnFormula>
    </tableColumn>
    <tableColumn id="3" name="بيان برجولا رويال" totalsRowLabel="Total" dataDxfId="1334"/>
    <tableColumn id="12" name="Column12" totalsRowFunction="sum" dataDxfId="1342"/>
    <tableColumn id="5" name="Column1" dataDxfId="1334"/>
    <tableColumn id="11" name="العرض" dataDxfId="1345"/>
    <tableColumn id="10" name="الامتداد" dataDxfId="1336"/>
    <tableColumn id="4" name="سعر المتر" dataDxfId="1346"/>
    <tableColumn id="6" name="Column2" dataDxfId="1348"/>
    <tableColumn id="7" name="سعر البرجولا كاملة" dataDxfId="1337">
      <calculatedColumnFormula>K58</calculatedColumnFormula>
    </tableColumn>
    <tableColumn id="8" name="اجمالي" totalsRowFunction="sum" dataDxfId="1339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334" totalsRowDxfId="1335"/>
    <tableColumn id="2" name="عدد" dataDxfId="1350" totalsRowDxfId="1335">
      <calculatedColumnFormula>B65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تسعير!$T$24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SUMIF(Table1731[Column1],Table161229[[#This Row],[موقع العمل]],$T$2:$T$26)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Table161229[[#This Row],[Column12]]</calculatedColumnFormula>
    </tableColumn>
    <tableColumn id="8" name="اجمالي" totalsRowFunction="sum" dataDxfId="1339" totalsRowDxfId="1340">
      <calculatedColumnFormula>B68*J68</calculatedColumnFormula>
    </tableColumn>
    <tableColumn id="9" name="%" totalsRowFunction="custom" totalsRowDxfId="1341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345" totalsRowDxfId="1335"/>
    <tableColumn id="2" name="عدد" dataDxfId="1350" totalsRowDxfId="1335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1345" totalsRowDxfId="1335"/>
    <tableColumn id="11" name="Column2" dataDxfId="1345" totalsRowDxfId="1335"/>
    <tableColumn id="10" name="Column1" dataDxfId="1345" totalsRowDxfId="1335"/>
    <tableColumn id="12" name="Column12" totalsRowFunction="sum" dataDxfId="80" totalsRowDxfId="1343"/>
    <tableColumn id="4" name="الوحده" dataDxfId="1346" totalsRowDxfId="1335"/>
    <tableColumn id="5" name="الوزن" dataDxfId="1345" totalsRowDxfId="1335"/>
    <tableColumn id="6" name="سعر الكيلو" dataDxfId="1345" totalsRowDxfId="1335"/>
    <tableColumn id="7" name="سعر الشبك " dataDxfId="1355" totalsRowDxfId="1338"/>
    <tableColumn id="8" name="اجمالي" totalsRowFunction="sum" dataDxfId="1339" totalsRowDxfId="1340">
      <calculatedColumnFormula>B64*Table161330[[#This Row],[سعر الشبك ]]</calculatedColumnFormula>
    </tableColumn>
    <tableColumn id="9" name="%" totalsRowFunction="custom" totalsRowDxfId="997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350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349" totalsRowDxfId="826"/>
    <tableColumn id="6" name="الطول بالمتر" dataDxfId="1349" totalsRowDxfId="1359"/>
    <tableColumn id="5" name="وزن المتر " dataDxfId="1349" totalsRowDxfId="1359"/>
    <tableColumn id="4" name="سعر الكيلو" dataDxfId="1349" totalsRowDxfId="1359"/>
    <tableColumn id="3" name="اجمالي عدد " totalsRowFunction="custom" totalsRowDxfId="1359">
      <totalsRowFormula>Table8[[#Totals],[اجمالي التكلفة]]/B1</totalsRowFormula>
    </tableColumn>
    <tableColumn id="2" name="اجمالي التكلفة" totalsRowFunction="sum" dataDxfId="835" totalsRowDxfId="834">
      <calculatedColumnFormula>B3*D3</calculatedColumnFormula>
    </tableColumn>
    <tableColumn id="9" name="Column1" dataDxfId="1349" totalsRowDxfId="1359"/>
    <tableColumn id="10" name="Column2" dataDxfId="1349" totalsRowDxfId="1359"/>
    <tableColumn id="11" name="Column3" dataDxfId="1349" totalsRowDxfId="1359"/>
    <tableColumn id="12" name="Column4" dataDxfId="1349" totalsRowDxfId="1359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</calculatedColumnFormula>
    </tableColumn>
    <tableColumn id="8" name="اجمالي" totalsRowFunction="sum" dataDxfId="1339" totalsRowDxfId="1340">
      <calculatedColumnFormula>M26*U26</calculatedColumnFormula>
    </tableColumn>
    <tableColumn id="9" name="%" totalsRowFunction="custom" totalsRowDxfId="1341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Sheet2!B24</calculatedColumnFormula>
    </tableColumn>
    <tableColumn id="8" name="اجمالي" totalsRowFunction="sum" dataDxfId="1339" totalsRowDxfId="1340">
      <calculatedColumnFormula>M11*U11</calculatedColumnFormula>
    </tableColumn>
    <tableColumn id="9" name="%" totalsRowFunction="custom" totalsRowDxfId="1341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334"/>
    <tableColumn id="2" name="عدد" totalsRowFunction="count" dataDxfId="1334">
      <calculatedColumnFormula>M20*4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(Table1662[[#This Row],[Column1]]*Table1662[[#This Row],[Column2]])*Table1662[[#This Row],[عدد]]</calculatedColumnFormula>
    </tableColumn>
    <tableColumn id="4" name="الوحده" dataDxfId="1334"/>
    <tableColumn id="5" name="الوزن" totalsRowFunction="custom">
      <totalsRowFormula>(S21*M21)+(M22*S22)</totalsRowFormula>
    </tableColumn>
    <tableColumn id="6" name="سعر الكيلو" dataDxfId="1336"/>
    <tableColumn id="7" name="سعر الشبك " dataDxfId="1337">
      <calculatedColumnFormula>S21*$S$2/1000</calculatedColumnFormula>
    </tableColumn>
    <tableColumn id="8" name="اجمالي" totalsRowFunction="sum" dataDxfId="1339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334" totalsRowDxfId="1335"/>
    <tableColumn id="2" name="عدد" dataDxfId="1350" totalsRowDxfId="1335">
      <calculatedColumnFormula>IF((تسعير!$AU$14="بالتات"),0,M52-2)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تسعير!$AT$4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SUMIF(Table1769[Column1],Table161267[[#This Row],[موقع العمل]],$AE$2:$AE$8)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Table161267[[#This Row],[Column12]]</calculatedColumnFormula>
    </tableColumn>
    <tableColumn id="8" name="اجمالي" totalsRowFunction="sum" dataDxfId="1339" totalsRowDxfId="1340">
      <calculatedColumnFormula>M55*U55</calculatedColumnFormula>
    </tableColumn>
    <tableColumn id="9" name="%" totalsRowFunction="custom" totalsRowDxfId="1341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345"/>
    <tableColumn id="2" name="عدد" dataDxfId="1350">
      <calculatedColumnFormula>IF((Q65="الاسكندرية"),0.25,0.1)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V48</calculatedColumnFormula>
    </tableColumn>
    <tableColumn id="8" name="اجمالي" totalsRowFunction="sum" dataDxfId="1339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IF((Q66="المقطم"),0.3,IF((Q66="التجمع"),0.3,IF((Q66="الشيخ زايد"),0.3,IF((Q66="الاسكندرية"),0.5,0.35))))</calculatedColumnFormula>
    </tableColumn>
    <tableColumn id="2" name="Column2" dataDxfId="1350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334"/>
    <tableColumn id="2" name="عدد" dataDxfId="1334">
      <calculatedColumnFormula>IF((N2="A1"),2,IF((N2="A2"),3,IF((N2="B1"),2.5,IF((N2="B2"),3,0))))</calculatedColumnFormula>
    </tableColumn>
    <tableColumn id="3" name="بيان" totalsRowLabel="Total" dataDxfId="1334"/>
    <tableColumn id="11" name="Column2" dataDxfId="1334"/>
    <tableColumn id="10" name="Column1" dataDxfId="1334"/>
    <tableColumn id="12" name="المسطح" totalsRowFunction="sum" dataDxfId="1342">
      <calculatedColumnFormula>(Table158[[#This Row],[Column1]]+Table158[[#This Row],[Column2]])*12*Table158[[#This Row],[عدد]]</calculatedColumnFormula>
    </tableColumn>
    <tableColumn id="4" name="الوحده" dataDxfId="1334"/>
    <tableColumn id="5" name="الوزن" totalsRowFunction="custom">
      <totalsRowFormula>(S7*M7)</totalsRowFormula>
    </tableColumn>
    <tableColumn id="6" name="سعر الكيلو" totalsRowFunction="sum" dataDxfId="1336">
      <calculatedColumnFormula>Table158[[#This Row],[المسطح]]*Table158[[#This Row],[عدد]]</calculatedColumnFormula>
    </tableColumn>
    <tableColumn id="7" name="سعر الشبك " dataDxfId="45">
      <calculatedColumnFormula>S6*$S$2/1000</calculatedColumnFormula>
    </tableColumn>
    <tableColumn id="8" name="اجمالي" totalsRowFunction="sum" dataDxfId="1339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349" totalsRowDxfId="1359"/>
    <tableColumn id="6" name="الطول بالمتر" dataDxfId="1349" totalsRowDxfId="1359"/>
    <tableColumn id="5" name="وزن المتر " dataDxfId="1349" totalsRowDxfId="1359"/>
    <tableColumn id="4" name="سعر الكيلو" dataDxfId="1349" totalsRowDxfId="1359"/>
    <tableColumn id="3" name="اجمالي عدد " totalsRowFunction="custom" totalsRowDxfId="1359">
      <totalsRowFormula>Table823[[#Totals],[اجمالي التكلفة]]/B1</totalsRowFormula>
    </tableColumn>
    <tableColumn id="2" name="اجمالي التكلفة" totalsRowFunction="sum" dataDxfId="1361" totalsRowDxfId="1362"/>
    <tableColumn id="9" name="Column1" dataDxfId="1349" totalsRowDxfId="1359"/>
    <tableColumn id="10" name="Column2" dataDxfId="1349" totalsRowDxfId="1359"/>
    <tableColumn id="11" name="Column3" dataDxfId="1349" totalsRowDxfId="1359"/>
    <tableColumn id="12" name="Column4" dataDxfId="1349" totalsRowDxfId="1359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</calculatedColumnFormula>
    </tableColumn>
    <tableColumn id="8" name="اجمالي" totalsRowFunction="sum" dataDxfId="1339" totalsRowDxfId="1340">
      <calculatedColumnFormula>M26*U26</calculatedColumnFormula>
    </tableColumn>
    <tableColumn id="9" name="%" totalsRowFunction="custom" totalsRowDxfId="1341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Sheet2!B24</calculatedColumnFormula>
    </tableColumn>
    <tableColumn id="8" name="اجمالي" totalsRowFunction="sum" dataDxfId="1339" totalsRowDxfId="1340">
      <calculatedColumnFormula>M11*U11</calculatedColumnFormula>
    </tableColumn>
    <tableColumn id="9" name="%" totalsRowFunction="custom" totalsRowDxfId="1341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334"/>
    <tableColumn id="2" name="عدد" totalsRowFunction="count" dataDxfId="1334">
      <calculatedColumnFormula>M20*4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(Table166241[[#This Row],[Column1]]*Table166241[[#This Row],[Column2]])*Table166241[[#This Row],[عدد]]</calculatedColumnFormula>
    </tableColumn>
    <tableColumn id="4" name="الوحده" dataDxfId="1334"/>
    <tableColumn id="5" name="الوزن" totalsRowFunction="custom">
      <totalsRowFormula>(S21*M21)+(M22*S22)</totalsRowFormula>
    </tableColumn>
    <tableColumn id="6" name="سعر الكيلو" dataDxfId="1336"/>
    <tableColumn id="7" name="سعر الشبك " dataDxfId="1337">
      <calculatedColumnFormula>S21*$S$2/1000</calculatedColumnFormula>
    </tableColumn>
    <tableColumn id="8" name="اجمالي" totalsRowFunction="sum" dataDxfId="1339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334" totalsRowDxfId="1335"/>
    <tableColumn id="2" name="عدد" dataDxfId="1350" totalsRowDxfId="1335">
      <calculatedColumnFormula>IF((تسعير!$BF$14="بالتات"),0,M52-2)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تسعير!$BE$4</calculatedColumnFormula>
    </tableColumn>
    <tableColumn id="10" name="شيفت العمل" dataDxfId="1334" totalsRowDxfId="1335"/>
    <tableColumn id="12" name="Column12" totalsRowFunction="sum" dataDxfId="1342" totalsRowDxfId="1343"/>
    <tableColumn id="4" name="عدد الايام" dataDxfId="1356" totalsRowDxfId="1335"/>
    <tableColumn id="7" name="اجمالي التكلفة للعامل" dataDxfId="1357" totalsRowDxfId="1338">
      <calculatedColumnFormula>Table16126744[[#This Row],[Column12]]</calculatedColumnFormula>
    </tableColumn>
    <tableColumn id="8" name="اجمالي" totalsRowFunction="sum" dataDxfId="1339" totalsRowDxfId="1340">
      <calculatedColumnFormula>M55*U55</calculatedColumnFormula>
    </tableColumn>
    <tableColumn id="9" name="%" totalsRowFunction="custom" totalsRowDxfId="1341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345"/>
    <tableColumn id="2" name="عدد" dataDxfId="1350">
      <calculatedColumnFormula>IF((Q65="الاسكندرية"),0.25,0.1)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V48</calculatedColumnFormula>
    </tableColumn>
    <tableColumn id="8" name="اجمالي" totalsRowFunction="sum" dataDxfId="1339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349"/>
    <tableColumn id="2" name="خارجي" dataDxfId="1349"/>
    <tableColumn id="3" name="داخلي" dataDxfId="1349"/>
    <tableColumn id="4" name="بدل الوجبة" dataDxfId="1349"/>
    <tableColumn id="5" name="دبابة" dataDxfId="1349"/>
    <tableColumn id="6" name="جامبو" dataDxfId="1349"/>
    <tableColumn id="7" name="الاقامة" dataDxfId="13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IF((Q66="المقطم"),0.3,IF((Q66="التجمع"),0.3,IF((Q66="الشيخ زايد"),0.3,IF((Q66="الاسكندرية"),0.5,0.35))))</calculatedColumnFormula>
    </tableColumn>
    <tableColumn id="2" name="Column2" dataDxfId="135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334"/>
    <tableColumn id="2" name="عدد" dataDxfId="1334">
      <calculatedColumnFormula>IF((N2="c1"),3,IF((N2="c2"),4,IF((N2="d1"),4,IF((N2="d2"),5,0))))</calculatedColumnFormula>
    </tableColumn>
    <tableColumn id="3" name="بيان" totalsRowLabel="Total" dataDxfId="1334"/>
    <tableColumn id="11" name="Column2" dataDxfId="1334"/>
    <tableColumn id="10" name="Column1" dataDxfId="1334"/>
    <tableColumn id="12" name="المسطح" totalsRowFunction="sum" dataDxfId="1342">
      <calculatedColumnFormula>(Table15855[[#This Row],[Column1]]+Table15855[[#This Row],[Column2]])*12*Table15855[[#This Row],[عدد]]</calculatedColumnFormula>
    </tableColumn>
    <tableColumn id="4" name="الوحده" dataDxfId="1334"/>
    <tableColumn id="5" name="الوزن" totalsRowFunction="custom">
      <totalsRowFormula>(S7*M7)</totalsRowFormula>
    </tableColumn>
    <tableColumn id="6" name="سعر الكيلو" dataDxfId="1336"/>
    <tableColumn id="7" name="سعر الشبك " dataDxfId="1363">
      <calculatedColumnFormula>S6*$S$2/1000</calculatedColumnFormula>
    </tableColumn>
    <tableColumn id="8" name="اجمالي" totalsRowFunction="sum" dataDxfId="1339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1349"/>
    <tableColumn id="2" name="المقاس" dataDxfId="1349"/>
    <tableColumn id="4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50" totalsRowDxfId="46"/>
    <tableColumn id="2" name="عدد" dataDxfId="1334" totalsRowDxfId="1335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52" totalsRowDxfId="51">
      <calculatedColumnFormula>(Table1[[#This Row],[Column1]]+Table1[[#This Row],[Column2]])*12*Table1[[#This Row],[عدد]]</calculatedColumnFormula>
    </tableColumn>
    <tableColumn id="4" name="الوحده" dataDxfId="1334" totalsRowDxfId="1335"/>
    <tableColumn id="5" name="الوزن" totalsRowFunction="custom" totalsRowDxfId="1335">
      <totalsRowFormula>(H6*B6)+(H8*B8)+(H7*B7)</totalsRowFormula>
    </tableColumn>
    <tableColumn id="6" name="مسطح" dataDxfId="47" totalsRowDxfId="1335"/>
    <tableColumn id="7" name="سعر الشبك " dataDxfId="107" totalsRowDxfId="44">
      <calculatedColumnFormula>H6*$H$2/1000</calculatedColumnFormula>
    </tableColumn>
    <tableColumn id="8" name="اجمالي" totalsRowFunction="sum" dataDxfId="43" totalsRowDxfId="42">
      <calculatedColumnFormula>B6*J6</calculatedColumnFormula>
    </tableColumn>
    <tableColumn id="9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82"/>
    <tableColumn id="2" name="Column2" dataDxfId="13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349" totalsRowDxfId="702"/>
    <tableColumn id="2" name="عدد/الشمسية" dataDxfId="701" totalsRowDxfId="698"/>
    <tableColumn id="3" name="سعر الوحدة" dataDxfId="1349" totalsRowDxfId="1364"/>
    <tableColumn id="4" name="قيمة" totalsRowFunction="sum" dataDxfId="13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1349"/>
    <tableColumn id="2" name="امتار عادية" dataDxfId="1349"/>
    <tableColumn id="4" name="امتار single" dataDxfId="1349"/>
    <tableColumn id="6" name="امتار douple" dataDxfId="13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349"/>
    <tableColumn id="2" name="Column2" dataDxfId="13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85"/>
    <tableColumn id="2" name="الناتج" dataDxfId="686"/>
    <tableColumn id="3" name="Column1" dataDxfId="1365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84"/>
    <tableColumn id="4" name="ميزان" dataDxfId="136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367"/>
    <tableColumn id="2" name="Column2" dataDxfId="13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349" totalsRowDxfId="1343"/>
    <tableColumn id="2" name="عدد/الشمسية" dataDxfId="678" totalsRowDxfId="1343"/>
    <tableColumn id="3" name="سعر الوحدة" dataDxfId="1349" totalsRowDxfId="1343"/>
    <tableColumn id="4" name="قيمة" totalsRowFunction="sum" dataDxfId="1349" totalsRowDxfId="1343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349"/>
    <tableColumn id="2" name="امتار عادية" dataDxfId="1349"/>
    <tableColumn id="4" name="امتار single" dataDxfId="1349"/>
    <tableColumn id="6" name="امتار douple" dataDxfId="13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334" totalsRowDxfId="1335"/>
    <tableColumn id="2" name="عدد" dataDxfId="1336" totalsRowDxfId="13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Sheet2!B8</calculatedColumnFormula>
    </tableColumn>
    <tableColumn id="8" name="اجمالي" totalsRowFunction="sum" dataDxfId="1339" totalsRowDxfId="1340">
      <calculatedColumnFormula>B35*J35</calculatedColumnFormula>
    </tableColumn>
    <tableColumn id="9" name="%" totalsRowFunction="custom" totalsRowDxfId="1341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349"/>
    <tableColumn id="2" name="Column2" dataDxfId="13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662"/>
    <tableColumn id="2" name="Column2" dataDxfId="1368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368"/>
    <tableColumn id="2" name="الناتج" dataDxfId="663"/>
    <tableColumn id="3" name="Column1" dataDxfId="1368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622" totalsRowDxfId="621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369">
      <calculatedColumnFormula>Table12[[#This Row],[سعر]]*Table12[[#This Row],[ميزان]]*Table12[[#This Row],[عدد]]</calculatedColumnFormula>
    </tableColumn>
    <tableColumn id="6" name="Column6" totalsRowFunction="custom" totalsRowDxfId="1369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350" totalsRowDxfId="1335">
      <calculatedColumnFormula>I28</calculatedColumnFormula>
    </tableColumn>
    <tableColumn id="3" name="بيان" totalsRowLabel="Total" dataDxfId="60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تسعير!$T$45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SUMIF(Table17[Column1],Table161243[[#This Row],[موقع العمل]],Table17[الاقامة])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Table161243[[#This Row],[Column12]]</calculatedColumnFormula>
    </tableColumn>
    <tableColumn id="8" name="اجمالي" totalsRowFunction="sum" dataDxfId="1339" totalsRowDxfId="1340">
      <calculatedColumnFormula>I31*Q31</calculatedColumnFormula>
    </tableColumn>
    <tableColumn id="9" name="%" totalsRowFunction="custom" totalsRowDxfId="1341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35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1370" totalsRowDxfId="1371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369">
      <calculatedColumnFormula>Table1257[[#This Row],[سعر]]*Table1257[[#This Row],[ميزان]]*Table1257[[#This Row],[عدد]]</calculatedColumnFormula>
    </tableColumn>
    <tableColumn id="6" name="Column6" totalsRowFunction="custom" totalsRowDxfId="1369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350" totalsRowDxfId="1335">
      <calculatedColumnFormula>I61</calculatedColumnFormula>
    </tableColumn>
    <tableColumn id="3" name="بيان" totalsRowLabel="Total" dataDxfId="1372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تسعير!$T$63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SUMIF(Table17[Column1],Table16124360[[#This Row],[موقع العمل]],Table17[الاقامة])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Table16124360[[#This Row],[Column12]]</calculatedColumnFormula>
    </tableColumn>
    <tableColumn id="8" name="اجمالي" totalsRowFunction="sum" dataDxfId="1339" totalsRowDxfId="1340">
      <calculatedColumnFormula>I64*Q64</calculatedColumnFormula>
    </tableColumn>
    <tableColumn id="9" name="%" totalsRowFunction="custom" totalsRowDxfId="1341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35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Sheet2!B6</calculatedColumnFormula>
    </tableColumn>
    <tableColumn id="8" name="اجمالي" totalsRowFunction="sum" dataDxfId="1339" totalsRowDxfId="1340">
      <calculatedColumnFormula>M28*U28</calculatedColumnFormula>
    </tableColumn>
    <tableColumn id="9" name="%" totalsRowFunction="custom" totalsRowDxfId="1341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334"/>
    <tableColumn id="2" name="عدد" dataDxfId="1334">
      <calculatedColumnFormula>IF((تسعير!X7&lt;800),0,IF(AND((تسعير!X7&gt;800),(600&gt;=تسعير!AA9)),1,0))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36">
      <calculatedColumnFormula>(Table14[[#This Row],[Column1]]+Table14[[#This Row],[Column2]])*12*Table14[[#This Row],[عدد]]</calculatedColumnFormula>
    </tableColumn>
    <tableColumn id="4" name="الوحده" dataDxfId="1334"/>
    <tableColumn id="5" name="الوزن" totalsRowFunction="custom">
      <totalsRowFormula>H12*B12+H13*B13</totalsRowFormula>
    </tableColumn>
    <tableColumn id="6" name="مسطح" dataDxfId="1336">
      <calculatedColumnFormula>Table14[[#This Row],[Column12]]*Table14[[#This Row],[عدد]]</calculatedColumnFormula>
    </tableColumn>
    <tableColumn id="7" name="سعر الشبك " dataDxfId="1337">
      <calculatedColumnFormula>H12*$I$2/1000</calculatedColumnFormula>
    </tableColumn>
    <tableColumn id="8" name="اجمالي" totalsRowFunction="sum" dataDxfId="1339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Sheet2!B26</calculatedColumnFormula>
    </tableColumn>
    <tableColumn id="8" name="اجمالي" totalsRowFunction="sum" dataDxfId="1339" totalsRowDxfId="1340">
      <calculatedColumnFormula>M14*U14</calculatedColumnFormula>
    </tableColumn>
    <tableColumn id="9" name="%" totalsRowFunction="custom" totalsRowDxfId="1341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334"/>
    <tableColumn id="2" name="عدد" totalsRowFunction="count" dataDxfId="1334">
      <calculatedColumnFormula>M20*4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(Table166273[[#This Row],[Column1]]*Table166273[[#This Row],[Column2]])*Table166273[[#This Row],[عدد]]</calculatedColumnFormula>
    </tableColumn>
    <tableColumn id="4" name="الوحده" dataDxfId="1334"/>
    <tableColumn id="5" name="الوزن" totalsRowFunction="custom">
      <totalsRowFormula>(S23*M23)+(M24*S24)</totalsRowFormula>
    </tableColumn>
    <tableColumn id="6" name="سعر الكيلو" dataDxfId="1336"/>
    <tableColumn id="7" name="سعر الشبك " dataDxfId="1337">
      <calculatedColumnFormula>S22*$S$2/1000</calculatedColumnFormula>
    </tableColumn>
    <tableColumn id="8" name="اجمالي" totalsRowFunction="sum" dataDxfId="1339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334" totalsRowDxfId="1335"/>
    <tableColumn id="2" name="عدد" dataDxfId="1350" totalsRowDxfId="1335">
      <calculatedColumnFormula>IF((تسعير!$AU$14="بالتات"),0,M49-2)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تسعير!$AT$24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SUMIF(Table176978[Column1],Table16126776[[#This Row],[موقع العمل]],$AE$2:$AE$8)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Table16126776[[#This Row],[Column12]]</calculatedColumnFormula>
    </tableColumn>
    <tableColumn id="8" name="اجمالي" totalsRowFunction="sum" dataDxfId="1339" totalsRowDxfId="1340">
      <calculatedColumnFormula>M52*U52</calculatedColumnFormula>
    </tableColumn>
    <tableColumn id="9" name="%" totalsRowFunction="custom" totalsRowDxfId="1341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345" totalsRowDxfId="1335"/>
    <tableColumn id="2" name="عدد" dataDxfId="1350" totalsRowDxfId="1335">
      <calculatedColumnFormula>IF((Q63="الاسكندرية"),0.25,0.1)</calculatedColumnFormula>
    </tableColumn>
    <tableColumn id="3" name="بيان" totalsRowLabel="Total" dataDxfId="1345" totalsRowDxfId="1335"/>
    <tableColumn id="11" name="Column2" dataDxfId="1345" totalsRowDxfId="1335"/>
    <tableColumn id="10" name="Column1" dataDxfId="1345" totalsRowDxfId="1335"/>
    <tableColumn id="12" name="Column12" totalsRowFunction="sum" dataDxfId="1360" totalsRowDxfId="1343"/>
    <tableColumn id="4" name="الوحده" dataDxfId="1346" totalsRowDxfId="1335"/>
    <tableColumn id="5" name="الوزن" dataDxfId="1345" totalsRowDxfId="1335"/>
    <tableColumn id="6" name="سعر الكيلو" dataDxfId="1345" totalsRowDxfId="1335"/>
    <tableColumn id="7" name="سعر الشبك " dataDxfId="1355" totalsRowDxfId="1338">
      <calculatedColumnFormula>Table80102114[[#Totals],[price]]</calculatedColumnFormula>
    </tableColumn>
    <tableColumn id="8" name="اجمالي" totalsRowFunction="sum" dataDxfId="1339" totalsRowDxfId="1340">
      <calculatedColumnFormula>M47*Table16136877[[#This Row],[سعر الشبك ]]</calculatedColumnFormula>
    </tableColumn>
    <tableColumn id="9" name="%" totalsRowFunction="custom" totalsRowDxfId="1341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IF((Q63="المقطم"),0.3,IF((Q63="التجمع"),0.3,IF((Q63="الشيخ زايد"),0.3,IF((Q63="الاسكندرية"),0.5,0.35))))</calculatedColumnFormula>
    </tableColumn>
    <tableColumn id="2" name="Column2" dataDxfId="135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334" totalsRowDxfId="1335"/>
    <tableColumn id="2" name="عدد" dataDxfId="1334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(Table15880[[#This Row],[Column1]]+Table15880[[#This Row],[Column2]])*12*Table15880[[#This Row],[عدد]]</calculatedColumnFormula>
    </tableColumn>
    <tableColumn id="4" name="الوحده" dataDxfId="1334" totalsRowDxfId="1335"/>
    <tableColumn id="5" name="الوزن" totalsRowFunction="custom" totalsRowDxfId="1335">
      <totalsRowFormula>(S6*M6)+(S7*M7)+(M8*S8)+(S9*M9)</totalsRowFormula>
    </tableColumn>
    <tableColumn id="6" name="اجمالي المسطح" totalsRowFunction="sum" dataDxfId="1336" totalsRowDxfId="1335">
      <calculatedColumnFormula>Table15880[[#This Row],[المسطح]]*Table15880[[#This Row],[عدد]]</calculatedColumnFormula>
    </tableColumn>
    <tableColumn id="7" name="سعر الشبك " dataDxfId="1363" totalsRowDxfId="1338">
      <calculatedColumnFormula>S6*$S$2/1000</calculatedColumnFormula>
    </tableColumn>
    <tableColumn id="8" name="اجمالي" totalsRowFunction="sum" dataDxfId="1339" totalsRowDxfId="1340">
      <calculatedColumnFormula>M6*U6</calculatedColumnFormula>
    </tableColumn>
    <tableColumn id="9" name="%" totalsRowFunction="custom" totalsRowDxfId="1341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334" totalsRowDxfId="1335"/>
    <tableColumn id="2" name="عدد" dataDxfId="1336" totalsRowDxfId="13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Sheet2!B6</calculatedColumnFormula>
    </tableColumn>
    <tableColumn id="8" name="اجمالي" totalsRowFunction="sum" dataDxfId="1339" totalsRowDxfId="1340">
      <calculatedColumnFormula>M99*U100</calculatedColumnFormula>
    </tableColumn>
    <tableColumn id="9" name="%" totalsRowFunction="custom" totalsRowDxfId="1341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Sheet2!B22</calculatedColumnFormula>
    </tableColumn>
    <tableColumn id="8" name="اجمالي" totalsRowFunction="sum" dataDxfId="1339" totalsRowDxfId="1340">
      <calculatedColumnFormula>B17*J17</calculatedColumnFormula>
    </tableColumn>
    <tableColumn id="9" name="%" totalsRowFunction="custom" totalsRowDxfId="1341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334" totalsRowDxfId="1335"/>
    <tableColumn id="2" name="عدد" dataDxfId="1336" totalsRowDxfId="1335">
      <calculatedColumnFormula>IF((I70="بالتات"),0,4)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Sheet2!B26</calculatedColumnFormula>
    </tableColumn>
    <tableColumn id="8" name="اجمالي" totalsRowFunction="sum" dataDxfId="1339" totalsRowDxfId="1340">
      <calculatedColumnFormula>M85*U85</calculatedColumnFormula>
    </tableColumn>
    <tableColumn id="9" name="%" totalsRowFunction="custom" totalsRowDxfId="1341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334"/>
    <tableColumn id="2" name="عدد" totalsRowFunction="sum" dataDxfId="1334">
      <calculatedColumnFormula>M91*4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(Table16627394[[#This Row],[Column1]]*Table16627394[[#This Row],[Column2]])*Table16627394[[#This Row],[عدد]]</calculatedColumnFormula>
    </tableColumn>
    <tableColumn id="4" name="الوحده" dataDxfId="1334"/>
    <tableColumn id="5" name="الوزن" totalsRowFunction="custom">
      <totalsRowFormula>(S94*M94)+(M95*S95)</totalsRowFormula>
    </tableColumn>
    <tableColumn id="6" name="سعر الكيلو" dataDxfId="1336"/>
    <tableColumn id="7" name="سعر الشبك " dataDxfId="1337">
      <calculatedColumnFormula>S93*$S$2/1000</calculatedColumnFormula>
    </tableColumn>
    <tableColumn id="8" name="اجمالي" totalsRowFunction="sum" dataDxfId="1339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334" totalsRowDxfId="1335"/>
    <tableColumn id="2" name="عدد" dataDxfId="1350" totalsRowDxfId="1335">
      <calculatedColumnFormula>IF((تسعير!$AU$14="بالتات"),0,M120-2)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تسعير!$AT$44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SUMIF(Table17697899[Column1],Table1612677697[[#This Row],[موقع العمل]],$AE$2:$AE$8)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Table1612677697[[#This Row],[Column12]]</calculatedColumnFormula>
    </tableColumn>
    <tableColumn id="8" name="اجمالي" totalsRowFunction="sum" dataDxfId="1339" totalsRowDxfId="1340">
      <calculatedColumnFormula>M123*U123</calculatedColumnFormula>
    </tableColumn>
    <tableColumn id="9" name="%" totalsRowFunction="custom" totalsRowDxfId="1341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345" totalsRowDxfId="1335"/>
    <tableColumn id="2" name="عدد" dataDxfId="1350" totalsRowDxfId="1335">
      <calculatedColumnFormula>IF((Q134="الاسكندرية"),0.25,0.1)</calculatedColumnFormula>
    </tableColumn>
    <tableColumn id="3" name="بيان" totalsRowLabel="Total" dataDxfId="1345" totalsRowDxfId="1335"/>
    <tableColumn id="11" name="Column2" dataDxfId="1345" totalsRowDxfId="1335"/>
    <tableColumn id="10" name="Column1" dataDxfId="1345" totalsRowDxfId="1335"/>
    <tableColumn id="12" name="Column12" totalsRowFunction="sum" dataDxfId="1360" totalsRowDxfId="1343"/>
    <tableColumn id="4" name="الوحده" dataDxfId="1346" totalsRowDxfId="1335"/>
    <tableColumn id="5" name="الوزن" dataDxfId="1345" totalsRowDxfId="1335"/>
    <tableColumn id="6" name="سعر الكيلو" dataDxfId="1345" totalsRowDxfId="1335"/>
    <tableColumn id="7" name="سعر الشبك " dataDxfId="1355" totalsRowDxfId="1338">
      <calculatedColumnFormula>F96</calculatedColumnFormula>
    </tableColumn>
    <tableColumn id="8" name="اجمالي" totalsRowFunction="sum" dataDxfId="1339" totalsRowDxfId="1340">
      <calculatedColumnFormula>M118*Table1613687798[[#This Row],[سعر الشبك ]]</calculatedColumnFormula>
    </tableColumn>
    <tableColumn id="9" name="%" totalsRowFunction="custom" totalsRowDxfId="1341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IF((Q134="المقطم"),0.3,IF((Q134="التجمع"),0.3,IF((Q134="الشيخ زايد"),0.3,IF((Q134="الاسكندرية"),0.5,0.35))))</calculatedColumnFormula>
    </tableColumn>
    <tableColumn id="2" name="Column2" dataDxfId="135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334" totalsRowDxfId="1335"/>
    <tableColumn id="2" name="عدد" dataDxfId="1334" totalsRowDxfId="1335">
      <calculatedColumnFormula>IF(OR((N70="B11"),(N70="B12"),(N70="B21"),(N70="B22"),(N70="B31"),(N70="B32")),3,0)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(Table15880101[[#This Row],[Column1]]+Table15880101[[#This Row],[Column2]])*12*Table15880101[[#This Row],[عدد]]</calculatedColumnFormula>
    </tableColumn>
    <tableColumn id="4" name="الوحده" dataDxfId="1334" totalsRowDxfId="1335"/>
    <tableColumn id="5" name="الوزن" totalsRowFunction="custom" totalsRowDxfId="1335">
      <totalsRowFormula>(S77*M77)+(S78*M78)+(M79*S79)+(S80*M80)</totalsRowFormula>
    </tableColumn>
    <tableColumn id="6" name="اجمالي المسطح" totalsRowFunction="sum" dataDxfId="1336" totalsRowDxfId="1335">
      <calculatedColumnFormula>Table15880101[[#This Row],[المسطح]]*Table15880101[[#This Row],[عدد]]</calculatedColumnFormula>
    </tableColumn>
    <tableColumn id="7" name="سعر الشبك " dataDxfId="1363" totalsRowDxfId="1338">
      <calculatedColumnFormula>S77*$S$2/1000</calculatedColumnFormula>
    </tableColumn>
    <tableColumn id="8" name="اجمالي" totalsRowFunction="sum" dataDxfId="1339" totalsRowDxfId="1340">
      <calculatedColumnFormula>M77*U77</calculatedColumnFormula>
    </tableColumn>
    <tableColumn id="9" name="%" totalsRowFunction="custom" totalsRowDxfId="1341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Sheet2!AW6</calculatedColumnFormula>
    </tableColumn>
    <tableColumn id="8" name="اجمالي" totalsRowFunction="sum" dataDxfId="1339" totalsRowDxfId="1340">
      <calculatedColumnFormula>BH28*BP28</calculatedColumnFormula>
    </tableColumn>
    <tableColumn id="9" name="%" totalsRowFunction="custom" totalsRowDxfId="1341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334" totalsRowDxfId="1335"/>
    <tableColumn id="2" name="عدد" totalsRowFunction="count" dataDxfId="1334" totalsRowDxfId="1335">
      <calculatedColumnFormula>B29*4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totalsRowFunction="sum" dataDxfId="1342" totalsRowDxfId="1343">
      <calculatedColumnFormula>(Table16[[#This Row],[Column1]]*Table16[[#This Row],[Column2]])*Table16[[#This Row],[عدد]]</calculatedColumnFormula>
    </tableColumn>
    <tableColumn id="4" name="الوحده" dataDxfId="1334" totalsRowDxfId="1335"/>
    <tableColumn id="5" name="الوزن" totalsRowFunction="custom" totalsRowDxfId="1335">
      <totalsRowFormula>H30*B30+H31*B31</totalsRowFormula>
    </tableColumn>
    <tableColumn id="6" name="Column3" dataDxfId="1336" totalsRowDxfId="1335"/>
    <tableColumn id="7" name="سعر الشبك " dataDxfId="1337" totalsRowDxfId="1338">
      <calculatedColumnFormula>H30*$H$2/1000</calculatedColumnFormula>
    </tableColumn>
    <tableColumn id="8" name="اجمالي" totalsRowFunction="sum" dataDxfId="1339" totalsRowDxfId="1340">
      <calculatedColumnFormula>B30*J30</calculatedColumnFormula>
    </tableColumn>
    <tableColumn id="9" name="%" totalsRowFunction="custom" totalsRowDxfId="1341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Sheet2!AW26</calculatedColumnFormula>
    </tableColumn>
    <tableColumn id="8" name="اجمالي" totalsRowFunction="sum" dataDxfId="1339" totalsRowDxfId="1340">
      <calculatedColumnFormula>BH14*BP14</calculatedColumnFormula>
    </tableColumn>
    <tableColumn id="9" name="%" totalsRowFunction="custom" totalsRowDxfId="1341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334"/>
    <tableColumn id="2" name="عدد" totalsRowFunction="count" dataDxfId="1334">
      <calculatedColumnFormula>BH20*4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(Table16627383[[#This Row],[Column1]]*Table16627383[[#This Row],[Column2]])*Table16627383[[#This Row],[عدد]]</calculatedColumnFormula>
    </tableColumn>
    <tableColumn id="4" name="الوحده" dataDxfId="1334"/>
    <tableColumn id="5" name="الوزن" totalsRowFunction="custom">
      <totalsRowFormula>(BN23*BH23)+(BH24*BN24)</totalsRowFormula>
    </tableColumn>
    <tableColumn id="6" name="سعر الكيلو" dataDxfId="1336"/>
    <tableColumn id="7" name="سعر الشبك " dataDxfId="1337">
      <calculatedColumnFormula>BN22*$S$2/1000</calculatedColumnFormula>
    </tableColumn>
    <tableColumn id="8" name="اجمالي" totalsRowFunction="sum" dataDxfId="1339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334"/>
    <tableColumn id="2" name="عدد" dataDxfId="1350">
      <calculatedColumnFormula>IF((تسعير!$AU$14="بالتات"),0,BH48-2)</calculatedColumnFormula>
    </tableColumn>
    <tableColumn id="3" name="بيان" totalsRowLabel="Total" dataDxfId="1347"/>
    <tableColumn id="5" name="اليومية / الاجرة" dataDxfId="1347"/>
    <tableColumn id="6" name="بدل الوجبة" dataDxfId="1348"/>
    <tableColumn id="11" name="موقع العمل" dataDxfId="1345">
      <calculatedColumnFormula>تسعير!$AT$44</calculatedColumnFormula>
    </tableColumn>
    <tableColumn id="10" name="شيفت العمل" dataDxfId="1334"/>
    <tableColumn id="12" name="Column12" totalsRowFunction="sum" dataDxfId="1342">
      <calculatedColumnFormula>SUMIF(Table17697888[Column1],Table1612677686[[#This Row],[موقع العمل]],$AE$2:$AE$8)</calculatedColumnFormula>
    </tableColumn>
    <tableColumn id="4" name="عدد الايام" dataDxfId="1356"/>
    <tableColumn id="7" name="اجمالي التكلفة للعامل" dataDxfId="1357">
      <calculatedColumnFormula>Table1612677686[[#This Row],[Column12]]</calculatedColumnFormula>
    </tableColumn>
    <tableColumn id="8" name="اجمالي" totalsRowFunction="sum" dataDxfId="1339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345"/>
    <tableColumn id="2" name="عدد" dataDxfId="1350">
      <calculatedColumnFormula>IF((BL62="الاسكندرية"),0.25,0.1)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BQ45</calculatedColumnFormula>
    </tableColumn>
    <tableColumn id="8" name="اجمالي" totalsRowFunction="sum" dataDxfId="1339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IF((BL62="المقطم"),0.3,IF((BL62="التجمع"),0.3,IF((BL62="الشيخ زايد"),0.3,IF((BL62="الاسكندرية"),0.5,0.35))))</calculatedColumnFormula>
    </tableColumn>
    <tableColumn id="2" name="Column2" dataDxfId="135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334" totalsRowDxfId="1335"/>
    <tableColumn id="2" name="عدد" dataDxfId="1334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(Table1588090[[#This Row],[Column1]]+Table1588090[[#This Row],[Column2]])*12*Table1588090[[#This Row],[عدد]]</calculatedColumnFormula>
    </tableColumn>
    <tableColumn id="4" name="الوحده" dataDxfId="1334" totalsRowDxfId="1335"/>
    <tableColumn id="5" name="الوزن" totalsRowFunction="custom" totalsRowDxfId="1335">
      <totalsRowFormula>(BN6*BH6)+(BN7*BG7)+(BN8*BG8)+(BN9*BG9)</totalsRowFormula>
    </tableColumn>
    <tableColumn id="6" name="اجمالي المسطح" totalsRowFunction="sum" dataDxfId="1336" totalsRowDxfId="1335">
      <calculatedColumnFormula>Table1588090[[#This Row],[المسطح]]*Table1588090[[#This Row],[عدد]]</calculatedColumnFormula>
    </tableColumn>
    <tableColumn id="7" name="سعر الشبك " dataDxfId="1363" totalsRowDxfId="1338">
      <calculatedColumnFormula>BN6*$S$2/1000</calculatedColumnFormula>
    </tableColumn>
    <tableColumn id="8" name="اجمالي" totalsRowFunction="sum" dataDxfId="1339" totalsRowDxfId="1340">
      <calculatedColumnFormula>BH6*BP6</calculatedColumnFormula>
    </tableColumn>
    <tableColumn id="9" name="%" totalsRowFunction="custom" totalsRowDxfId="1341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31" totalsRowDxfId="10"/>
    <tableColumn id="2" name="عدد" totalsRowFunction="custom" totalsRowDxfId="8">
      <totalsRowFormula>(Table8091[[#Totals],[price]]*1.1)/(BA1*AY1/10000)</totalsRowFormula>
    </tableColumn>
    <tableColumn id="3" name="طول" dataDxfId="1373" totalsRowDxfId="0"/>
    <tableColumn id="4" name="Column2" dataDxfId="1373" totalsRowDxfId="1374"/>
    <tableColumn id="5" name="wt/m" dataDxfId="1373" totalsRowDxfId="1374"/>
    <tableColumn id="6" name="price" totalsRowFunction="sum" dataDxfId="1373" totalsRowDxfId="1374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7"/>
  <sheetViews>
    <sheetView rightToLeft="1" zoomScale="85" zoomScaleNormal="85" zoomScaleSheetLayoutView="70" workbookViewId="0">
      <selection activeCell="B15" sqref="B15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184</v>
      </c>
      <c r="B1" s="369" t="s">
        <v>165</v>
      </c>
      <c r="C1" s="369" t="s">
        <v>167</v>
      </c>
      <c r="D1" s="369" t="s">
        <v>154</v>
      </c>
      <c r="E1" s="500"/>
      <c r="F1" s="501"/>
      <c r="G1" s="585" t="s">
        <v>217</v>
      </c>
      <c r="H1" s="585"/>
      <c r="I1" s="585"/>
      <c r="J1" s="514"/>
    </row>
    <row r="2" ht="21">
      <c r="A2" s="502" t="s">
        <v>185</v>
      </c>
      <c r="B2" s="559" t="s">
        <v>197</v>
      </c>
      <c r="C2" s="503" t="s">
        <v>168</v>
      </c>
      <c r="D2" s="504" t="s">
        <v>192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166</v>
      </c>
      <c r="C3" s="507" t="s">
        <v>176</v>
      </c>
      <c r="D3" s="508" t="s">
        <v>191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19581.25</v>
      </c>
      <c r="J3" s="515"/>
    </row>
    <row r="4" ht="21">
      <c r="A4" s="509"/>
      <c r="B4" s="510"/>
      <c r="C4" s="510"/>
      <c r="D4" s="511"/>
      <c r="E4" s="500"/>
      <c r="F4" s="505"/>
      <c r="G4" s="586" t="s">
        <v>218</v>
      </c>
      <c r="H4" s="586"/>
      <c r="I4" s="586"/>
      <c r="J4" s="515"/>
    </row>
    <row r="5" ht="21">
      <c r="A5" s="502" t="s">
        <v>185</v>
      </c>
      <c r="B5" s="559" t="s">
        <v>197</v>
      </c>
      <c r="C5" s="503" t="s">
        <v>168</v>
      </c>
      <c r="D5" s="504" t="s">
        <v>192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204</v>
      </c>
      <c r="B6" s="560" t="s">
        <v>166</v>
      </c>
      <c r="C6" s="507" t="s">
        <v>176</v>
      </c>
      <c r="D6" s="508" t="s">
        <v>191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114935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87" t="s">
        <v>219</v>
      </c>
      <c r="B10" s="587"/>
    </row>
    <row r="11">
      <c r="A11" s="233" t="s">
        <v>220</v>
      </c>
      <c r="B11" s="233" t="s">
        <v>221</v>
      </c>
    </row>
    <row r="12">
      <c r="A12" s="233" t="s">
        <v>222</v>
      </c>
      <c r="B12" s="568">
        <v>45000</v>
      </c>
    </row>
    <row r="13">
      <c r="A13" s="233" t="s">
        <v>223</v>
      </c>
      <c r="B13" s="568">
        <v>45000</v>
      </c>
    </row>
    <row r="14">
      <c r="A14" s="558" t="s">
        <v>224</v>
      </c>
      <c r="B14" s="568">
        <v>225000</v>
      </c>
    </row>
    <row r="15">
      <c r="A15" s="233" t="s">
        <v>225</v>
      </c>
      <c r="B15" s="568">
        <v>60000</v>
      </c>
    </row>
    <row r="16">
      <c r="A16" s="233" t="s">
        <v>226</v>
      </c>
      <c r="B16" s="568">
        <v>275</v>
      </c>
    </row>
    <row r="17">
      <c r="A17" s="233" t="s">
        <v>227</v>
      </c>
      <c r="B17" s="568">
        <v>175</v>
      </c>
    </row>
    <row r="18">
      <c r="A18" s="233" t="s">
        <v>62</v>
      </c>
      <c r="B18" s="568">
        <v>475</v>
      </c>
    </row>
    <row r="19">
      <c r="A19" s="233" t="s">
        <v>66</v>
      </c>
      <c r="B19" s="568">
        <v>250</v>
      </c>
    </row>
    <row r="20">
      <c r="A20" s="233" t="s">
        <v>70</v>
      </c>
      <c r="B20" s="568">
        <v>525</v>
      </c>
    </row>
    <row r="21">
      <c r="A21" s="233" t="s">
        <v>73</v>
      </c>
      <c r="B21" s="568">
        <v>575</v>
      </c>
    </row>
    <row r="22">
      <c r="A22" s="233" t="s">
        <v>78</v>
      </c>
      <c r="B22" s="568">
        <v>160</v>
      </c>
    </row>
    <row r="23">
      <c r="A23" s="233" t="s">
        <v>80</v>
      </c>
      <c r="B23" s="568">
        <v>160</v>
      </c>
    </row>
    <row r="24">
      <c r="A24" s="233" t="s">
        <v>103</v>
      </c>
      <c r="B24" s="568">
        <v>400</v>
      </c>
    </row>
    <row r="25">
      <c r="A25" s="233" t="s">
        <v>45</v>
      </c>
      <c r="B25" s="568">
        <v>105</v>
      </c>
    </row>
    <row r="26">
      <c r="A26" s="233" t="s">
        <v>106</v>
      </c>
      <c r="B26" s="568">
        <v>250</v>
      </c>
    </row>
    <row r="27">
      <c r="A27" s="233" t="s">
        <v>107</v>
      </c>
      <c r="B27" s="568">
        <v>510</v>
      </c>
    </row>
    <row r="28">
      <c r="A28" s="233" t="s">
        <v>81</v>
      </c>
      <c r="B28" s="568">
        <v>400</v>
      </c>
    </row>
    <row r="29">
      <c r="A29" s="233" t="s">
        <v>94</v>
      </c>
      <c r="B29" s="568">
        <v>1000</v>
      </c>
    </row>
    <row r="30">
      <c r="A30" s="233" t="s">
        <v>97</v>
      </c>
      <c r="B30" s="568">
        <v>1200</v>
      </c>
    </row>
    <row r="31">
      <c r="A31" s="233" t="s">
        <v>98</v>
      </c>
      <c r="B31" s="568">
        <v>450</v>
      </c>
    </row>
    <row r="32">
      <c r="A32" s="233" t="s">
        <v>121</v>
      </c>
      <c r="B32" s="568">
        <v>7000</v>
      </c>
    </row>
    <row r="33">
      <c r="A33" s="537" t="s">
        <v>228</v>
      </c>
      <c r="B33" s="568">
        <v>11000</v>
      </c>
    </row>
    <row r="34">
      <c r="A34" s="233" t="s">
        <v>229</v>
      </c>
      <c r="B34" s="568">
        <v>2000</v>
      </c>
    </row>
    <row r="35">
      <c r="A35" s="233" t="s">
        <v>230</v>
      </c>
      <c r="B35" s="568">
        <v>1500</v>
      </c>
    </row>
    <row r="36">
      <c r="A36" s="233" t="s">
        <v>231</v>
      </c>
      <c r="B36" s="568">
        <v>1500</v>
      </c>
    </row>
    <row r="37">
      <c r="A37" s="233" t="s">
        <v>232</v>
      </c>
      <c r="B37" s="568">
        <v>5000</v>
      </c>
    </row>
    <row r="38">
      <c r="A38" s="233" t="s">
        <v>233</v>
      </c>
      <c r="B38" s="568">
        <v>800</v>
      </c>
    </row>
    <row r="39">
      <c r="A39" s="233" t="s">
        <v>234</v>
      </c>
      <c r="B39" s="568">
        <v>130</v>
      </c>
    </row>
    <row r="40">
      <c r="A40" s="233" t="s">
        <v>235</v>
      </c>
      <c r="B40" s="568">
        <v>90</v>
      </c>
    </row>
    <row r="41">
      <c r="A41" s="233" t="s">
        <v>236</v>
      </c>
      <c r="B41" s="568">
        <v>25</v>
      </c>
    </row>
    <row r="42" ht="18.75">
      <c r="A42" s="331" t="s">
        <v>237</v>
      </c>
      <c r="B42" s="568">
        <v>450</v>
      </c>
    </row>
    <row r="43" ht="18.75">
      <c r="A43" s="331" t="s">
        <v>238</v>
      </c>
      <c r="B43" s="568">
        <v>130</v>
      </c>
    </row>
    <row r="44" ht="18.75">
      <c r="A44" s="331" t="s">
        <v>239</v>
      </c>
      <c r="B44" s="568">
        <v>175</v>
      </c>
    </row>
    <row r="45">
      <c r="A45" s="558" t="s">
        <v>240</v>
      </c>
      <c r="B45" s="568">
        <v>4000</v>
      </c>
    </row>
    <row r="46">
      <c r="A46" s="558" t="s">
        <v>241</v>
      </c>
      <c r="B46" s="568">
        <v>3000</v>
      </c>
    </row>
    <row r="47">
      <c r="A47" s="233" t="s">
        <v>242</v>
      </c>
      <c r="B47" s="568">
        <v>130</v>
      </c>
    </row>
    <row r="48">
      <c r="A48" s="233" t="s">
        <v>243</v>
      </c>
      <c r="B48" s="568">
        <v>25</v>
      </c>
    </row>
    <row r="49">
      <c r="A49" s="233" t="s">
        <v>244</v>
      </c>
      <c r="B49" s="568">
        <v>1200</v>
      </c>
    </row>
    <row r="50">
      <c r="A50" s="233" t="s">
        <v>245</v>
      </c>
      <c r="B50" s="568">
        <v>150</v>
      </c>
    </row>
    <row r="51">
      <c r="A51" s="233" t="s">
        <v>246</v>
      </c>
      <c r="B51" s="568">
        <v>150</v>
      </c>
    </row>
    <row r="52">
      <c r="A52" s="233" t="s">
        <v>247</v>
      </c>
      <c r="B52" s="568">
        <v>250</v>
      </c>
    </row>
    <row r="53">
      <c r="A53" s="233" t="s">
        <v>248</v>
      </c>
      <c r="B53" s="568">
        <v>80</v>
      </c>
    </row>
    <row r="54">
      <c r="A54" s="558" t="s">
        <v>249</v>
      </c>
      <c r="B54" s="568">
        <v>1200</v>
      </c>
    </row>
    <row r="55">
      <c r="A55" s="537" t="s">
        <v>250</v>
      </c>
      <c r="B55" s="568">
        <v>23000</v>
      </c>
    </row>
    <row r="56">
      <c r="A56" s="537" t="s">
        <v>251</v>
      </c>
      <c r="B56" s="568">
        <v>5000</v>
      </c>
    </row>
    <row r="57">
      <c r="A57" s="567" t="s">
        <v>252</v>
      </c>
      <c r="B57" s="568">
        <v>9000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76" t="s">
        <v>595</v>
      </c>
      <c r="B1" s="677"/>
      <c r="C1" s="677"/>
      <c r="D1" s="677"/>
      <c r="E1" s="677"/>
      <c r="F1" s="677"/>
      <c r="G1" s="677"/>
      <c r="H1" s="677"/>
      <c r="I1" s="677"/>
      <c r="J1" s="677"/>
      <c r="K1" s="677"/>
      <c r="L1" s="677"/>
      <c r="M1" s="677"/>
      <c r="N1" s="678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356</v>
      </c>
      <c r="Y1" s="136" t="e">
        <f>Royal!#REF!</f>
        <v>#REF!</v>
      </c>
      <c r="Z1" s="151" t="s">
        <v>357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2" t="s">
        <v>358</v>
      </c>
      <c r="B3" s="692"/>
      <c r="C3" s="692"/>
      <c r="D3" s="694">
        <f>تسجيل1!B2</f>
        <v>0</v>
      </c>
      <c r="E3" s="694"/>
      <c r="F3" s="694"/>
      <c r="G3" s="694"/>
      <c r="H3" s="694"/>
      <c r="I3" s="694"/>
      <c r="J3" s="694"/>
      <c r="K3" s="694"/>
      <c r="L3" s="694"/>
      <c r="M3" s="679" t="s">
        <v>359</v>
      </c>
      <c r="N3" s="679"/>
      <c r="O3" s="89"/>
      <c r="P3" s="90"/>
      <c r="Q3" s="90"/>
      <c r="R3" s="90"/>
      <c r="Z3" s="151"/>
      <c r="AA3" s="60"/>
      <c r="AB3" s="60"/>
    </row>
    <row r="4" ht="13.5" customHeight="1">
      <c r="A4" s="693"/>
      <c r="B4" s="693"/>
      <c r="C4" s="693"/>
      <c r="D4" s="695"/>
      <c r="E4" s="695"/>
      <c r="F4" s="695"/>
      <c r="G4" s="694"/>
      <c r="H4" s="694"/>
      <c r="I4" s="695"/>
      <c r="J4" s="695"/>
      <c r="K4" s="695"/>
      <c r="L4" s="695"/>
      <c r="M4" s="680"/>
      <c r="N4" s="680"/>
      <c r="O4" s="91"/>
      <c r="P4" s="92"/>
      <c r="Q4" s="92"/>
      <c r="R4" s="92"/>
      <c r="Z4" s="151"/>
      <c r="AA4" s="60"/>
      <c r="AB4" s="60"/>
    </row>
    <row r="5" ht="13.5" customHeight="1">
      <c r="A5" s="681" t="e">
        <f>Y1</f>
        <v>#REF!</v>
      </c>
      <c r="B5" s="682"/>
      <c r="C5" s="683"/>
      <c r="D5" s="684" t="s">
        <v>357</v>
      </c>
      <c r="E5" s="685"/>
      <c r="F5" s="686"/>
      <c r="G5" s="63"/>
      <c r="H5" s="63"/>
      <c r="I5" s="681">
        <f>W1</f>
        <v>245000</v>
      </c>
      <c r="J5" s="682"/>
      <c r="K5" s="683"/>
      <c r="L5" s="684" t="s">
        <v>360</v>
      </c>
      <c r="M5" s="685"/>
      <c r="N5" s="686"/>
      <c r="O5" s="93"/>
      <c r="P5" s="92"/>
      <c r="Q5" s="92"/>
      <c r="R5" s="92"/>
      <c r="Z5" s="151"/>
      <c r="AA5" s="60"/>
      <c r="AB5" s="60"/>
    </row>
    <row r="6" ht="16.5" customHeight="1">
      <c r="A6" s="760" t="s">
        <v>253</v>
      </c>
      <c r="B6" s="761"/>
      <c r="C6" s="762"/>
      <c r="D6" s="754" t="s">
        <v>361</v>
      </c>
      <c r="E6" s="687" t="s">
        <v>362</v>
      </c>
      <c r="F6" s="688"/>
      <c r="G6" s="689"/>
      <c r="H6" s="689"/>
      <c r="I6" s="688"/>
      <c r="J6" s="690"/>
      <c r="K6" s="691">
        <f>تسجيل1!C7</f>
        <v>300</v>
      </c>
      <c r="L6" s="691"/>
      <c r="M6" s="94" t="s">
        <v>363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0"/>
      <c r="B7" s="761"/>
      <c r="C7" s="762"/>
      <c r="D7" s="754"/>
      <c r="E7" s="696" t="s">
        <v>364</v>
      </c>
      <c r="F7" s="689"/>
      <c r="G7" s="689"/>
      <c r="H7" s="689"/>
      <c r="I7" s="689"/>
      <c r="J7" s="697"/>
      <c r="K7" s="698">
        <f>K6*N6/10000</f>
        <v>21</v>
      </c>
      <c r="L7" s="698"/>
      <c r="M7" s="698"/>
      <c r="N7" s="98" t="s">
        <v>365</v>
      </c>
      <c r="O7" s="99">
        <f>AA41/K7</f>
        <v>3014.2535679959346</v>
      </c>
      <c r="S7" s="60" t="s">
        <v>127</v>
      </c>
      <c r="T7" s="61" t="s">
        <v>366</v>
      </c>
      <c r="Z7" s="151"/>
      <c r="AA7" s="60"/>
      <c r="AB7" s="60"/>
    </row>
    <row r="8">
      <c r="A8" s="763"/>
      <c r="B8" s="764"/>
      <c r="C8" s="765"/>
      <c r="D8" s="755"/>
      <c r="E8" s="699" t="s">
        <v>367</v>
      </c>
      <c r="F8" s="700"/>
      <c r="G8" s="700"/>
      <c r="H8" s="700"/>
      <c r="I8" s="700"/>
      <c r="J8" s="701"/>
      <c r="K8" s="702">
        <f>K6-1</f>
        <v>299</v>
      </c>
      <c r="L8" s="702"/>
      <c r="M8" s="100" t="s">
        <v>368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63299.324927914626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03" t="s">
        <v>369</v>
      </c>
      <c r="B10" s="703"/>
      <c r="C10" s="703"/>
      <c r="D10" s="703"/>
      <c r="E10" s="703"/>
      <c r="F10" s="703"/>
      <c r="G10" s="704" t="s">
        <v>370</v>
      </c>
      <c r="H10" s="704"/>
      <c r="I10" s="704" t="s">
        <v>371</v>
      </c>
      <c r="J10" s="704"/>
      <c r="K10" s="104"/>
      <c r="L10" s="705" t="s">
        <v>306</v>
      </c>
      <c r="M10" s="705"/>
      <c r="N10" s="705"/>
      <c r="O10" s="105"/>
      <c r="P10" s="97"/>
      <c r="Q10" s="97"/>
      <c r="R10" s="97"/>
      <c r="S10" s="90" t="s">
        <v>372</v>
      </c>
      <c r="T10" s="90" t="s">
        <v>373</v>
      </c>
      <c r="U10" s="90" t="s">
        <v>374</v>
      </c>
      <c r="V10" s="90" t="s">
        <v>375</v>
      </c>
      <c r="W10" s="60" t="s">
        <v>376</v>
      </c>
      <c r="X10" s="60" t="s">
        <v>221</v>
      </c>
      <c r="Z10" s="151"/>
      <c r="AA10" s="60"/>
      <c r="AB10" s="60"/>
    </row>
    <row r="11" ht="20.1" customHeight="1">
      <c r="A11" s="706" t="s">
        <v>377</v>
      </c>
      <c r="B11" s="707"/>
      <c r="C11" s="707"/>
      <c r="D11" s="707"/>
      <c r="E11" s="707"/>
      <c r="F11" s="708"/>
      <c r="G11" s="709">
        <f>L11</f>
        <v>2</v>
      </c>
      <c r="H11" s="709"/>
      <c r="I11" s="710">
        <f>'Format διαστασης οδηγου'!F8</f>
        <v>665</v>
      </c>
      <c r="J11" s="710"/>
      <c r="K11" s="106"/>
      <c r="L11" s="705">
        <f>IF(Format!A7=1,تسجيل1!H27,IF(Format!A7=2,تسجيل1!H27,IF(Format!A7=3,تسجيل1!H27,IF(Format!A7=4,تسجيل1!H27,IF(Format!A7=5,تسجيل1!H27,"-------")))))</f>
        <v>2</v>
      </c>
      <c r="M11" s="705"/>
      <c r="N11" s="705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15285.030303030319</v>
      </c>
      <c r="Z11" s="151"/>
      <c r="AA11" s="60"/>
      <c r="AB11" s="60"/>
    </row>
    <row r="12" ht="20.1" customHeight="1">
      <c r="A12" s="711" t="s">
        <v>378</v>
      </c>
      <c r="B12" s="711"/>
      <c r="C12" s="711"/>
      <c r="D12" s="711"/>
      <c r="E12" s="711"/>
      <c r="F12" s="711"/>
      <c r="G12" s="712">
        <f>IF(L11&gt;2,4,IF(L11=2,2))</f>
        <v>2</v>
      </c>
      <c r="H12" s="712"/>
      <c r="I12" s="713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3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2739.7674418604615</v>
      </c>
      <c r="Z12" s="151"/>
      <c r="AA12" s="60"/>
      <c r="AB12" s="60"/>
    </row>
    <row r="13" ht="20.1" customHeight="1">
      <c r="A13" s="711" t="s">
        <v>379</v>
      </c>
      <c r="B13" s="711"/>
      <c r="C13" s="711"/>
      <c r="D13" s="711"/>
      <c r="E13" s="711"/>
      <c r="F13" s="711"/>
      <c r="G13" s="712" t="str">
        <f>IF(L11&lt;=3,"0",(L11-3)*2)</f>
        <v>0</v>
      </c>
      <c r="H13" s="712"/>
      <c r="I13" s="713">
        <f>IF(G13="-------","-------",L17-5)</f>
        <v>286</v>
      </c>
      <c r="J13" s="713"/>
      <c r="K13" s="106"/>
      <c r="L13" s="714" t="s">
        <v>280</v>
      </c>
      <c r="M13" s="714"/>
      <c r="N13" s="714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1" t="s">
        <v>380</v>
      </c>
      <c r="B14" s="711"/>
      <c r="C14" s="711"/>
      <c r="D14" s="711"/>
      <c r="E14" s="711"/>
      <c r="F14" s="711"/>
      <c r="G14" s="712">
        <f>IF(L11&gt;2,2*L14,IF(L11=2,L14))</f>
        <v>10</v>
      </c>
      <c r="H14" s="712"/>
      <c r="I14" s="713">
        <f>I12</f>
        <v>299</v>
      </c>
      <c r="J14" s="713"/>
      <c r="K14" s="106"/>
      <c r="L14" s="109">
        <f>تسجيل1!H28</f>
        <v>10</v>
      </c>
      <c r="M14" s="110" t="s">
        <v>284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7730.1724137930705</v>
      </c>
      <c r="Z14" s="151"/>
      <c r="AA14" s="60"/>
      <c r="AB14" s="60"/>
    </row>
    <row r="15" ht="20.1" customHeight="1">
      <c r="A15" s="711" t="s">
        <v>381</v>
      </c>
      <c r="B15" s="711"/>
      <c r="C15" s="711"/>
      <c r="D15" s="711"/>
      <c r="E15" s="711"/>
      <c r="F15" s="711"/>
      <c r="G15" s="712" t="str">
        <f>IF(L11&lt;=3,"0",(L11-3)*L14)</f>
        <v>0</v>
      </c>
      <c r="H15" s="712"/>
      <c r="I15" s="713">
        <f>IF(G15="-------","---------",I13)</f>
        <v>286</v>
      </c>
      <c r="J15" s="713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1" t="s">
        <v>382</v>
      </c>
      <c r="B16" s="711"/>
      <c r="C16" s="711"/>
      <c r="D16" s="711"/>
      <c r="E16" s="711"/>
      <c r="F16" s="711"/>
      <c r="G16" s="712">
        <v>1</v>
      </c>
      <c r="H16" s="712"/>
      <c r="I16" s="713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3"/>
      <c r="K16" s="106"/>
      <c r="L16" s="715" t="s">
        <v>383</v>
      </c>
      <c r="M16" s="715"/>
      <c r="N16" s="715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11" t="s">
        <v>384</v>
      </c>
      <c r="B17" s="711"/>
      <c r="C17" s="711"/>
      <c r="D17" s="711"/>
      <c r="E17" s="711"/>
      <c r="F17" s="711"/>
      <c r="G17" s="712" t="str">
        <f>IF(L11=2,"0",1)</f>
        <v>0</v>
      </c>
      <c r="H17" s="712"/>
      <c r="I17" s="713">
        <f>IF(G17="-------","-------",IF(Format!A7=1,(L17+3),IF(Format!A7=2,(L17+3.5),IF(Format!A7=3,(L17+3),IF(Format!A7=4,(L17+4.25),IF(Format!A7=5,(L17+5),"--------"))))))</f>
        <v>294.5</v>
      </c>
      <c r="J17" s="713"/>
      <c r="K17" s="106"/>
      <c r="L17" s="716">
        <f>IF(Format!A7=1,(K6-2-6)/(L11-1),IF(Format!A7=2,(K6-2-7)/(L11-1),IF(Format!A7=3,(K6-2-6)/(L11-1),IF(Format!A7=4,(K6-2-8.5)/(L11-1),IF(Format!A7=5,(K6-2-10)/(L11-1),"--------")))))</f>
        <v>291</v>
      </c>
      <c r="M17" s="716"/>
      <c r="N17" s="716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1" t="s">
        <v>385</v>
      </c>
      <c r="B18" s="711"/>
      <c r="C18" s="711"/>
      <c r="D18" s="711"/>
      <c r="E18" s="711"/>
      <c r="F18" s="711"/>
      <c r="G18" s="712" t="str">
        <f>IF(L11&lt;=3,"0",(L11-3))</f>
        <v>0</v>
      </c>
      <c r="H18" s="712"/>
      <c r="I18" s="713">
        <f>IF(G18="-------","-------",L17)</f>
        <v>291</v>
      </c>
      <c r="J18" s="713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1" t="str">
        <f>IF(Format!H4=1,"Balloon","-------")</f>
        <v>-------</v>
      </c>
      <c r="B19" s="711"/>
      <c r="C19" s="711"/>
      <c r="D19" s="711"/>
      <c r="E19" s="711"/>
      <c r="F19" s="711"/>
      <c r="G19" s="712" t="str">
        <f>IF([1]Format!H4=1,'[1]تقطيع البرجولة'!L14,"0")</f>
        <v>0</v>
      </c>
      <c r="H19" s="712"/>
      <c r="I19" s="713">
        <f>IF(G19="-------","-------",K6-2.5)</f>
        <v>297.5</v>
      </c>
      <c r="J19" s="713"/>
      <c r="K19" s="106"/>
      <c r="L19" s="717" t="s">
        <v>309</v>
      </c>
      <c r="M19" s="718"/>
      <c r="N19" s="719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0" t="s">
        <v>386</v>
      </c>
      <c r="B20" s="721"/>
      <c r="C20" s="721"/>
      <c r="D20" s="721"/>
      <c r="E20" s="721"/>
      <c r="F20" s="722"/>
      <c r="G20" s="720">
        <f>(G12+G13)/2</f>
        <v>1</v>
      </c>
      <c r="H20" s="721"/>
      <c r="I20" s="713">
        <f>L17-7</f>
        <v>284</v>
      </c>
      <c r="J20" s="713"/>
      <c r="K20" s="106"/>
      <c r="L20" s="114" t="s">
        <v>370</v>
      </c>
      <c r="M20" s="723" t="s">
        <v>387</v>
      </c>
      <c r="N20" s="723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1212.75</v>
      </c>
      <c r="Z20" s="151"/>
      <c r="AA20" s="60"/>
      <c r="AB20" s="60"/>
    </row>
    <row r="21" ht="20.1" customHeight="1">
      <c r="A21" s="724" t="s">
        <v>388</v>
      </c>
      <c r="B21" s="724"/>
      <c r="C21" s="724"/>
      <c r="D21" s="724"/>
      <c r="E21" s="724"/>
      <c r="F21" s="724"/>
      <c r="G21" s="725">
        <f>L11</f>
        <v>2</v>
      </c>
      <c r="H21" s="725"/>
      <c r="I21" s="726">
        <f>(I11*2)+45</f>
        <v>1375</v>
      </c>
      <c r="J21" s="726"/>
      <c r="K21" s="106"/>
      <c r="L21" s="112">
        <f>IF(Format!E7=1,"-------",IF(Format!E7=5,"-------",تسجيل1!H30))</f>
        <v>2</v>
      </c>
      <c r="M21" s="715" t="str">
        <f>IF(L21="-------","-------",تسجيل1!D11)</f>
        <v>4Χ220- 1Χ250</v>
      </c>
      <c r="N21" s="715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31592.700927914622</v>
      </c>
      <c r="Z22" s="151"/>
      <c r="AA22" s="60"/>
      <c r="AB22" s="60"/>
    </row>
    <row r="23" ht="20.1" customHeight="1">
      <c r="A23" s="727" t="s">
        <v>389</v>
      </c>
      <c r="B23" s="728"/>
      <c r="C23" s="728"/>
      <c r="D23" s="728"/>
      <c r="E23" s="729"/>
      <c r="F23" s="67" t="s">
        <v>390</v>
      </c>
      <c r="G23" s="68"/>
      <c r="H23" s="727" t="s">
        <v>391</v>
      </c>
      <c r="I23" s="728"/>
      <c r="J23" s="728"/>
      <c r="K23" s="728"/>
      <c r="L23" s="729"/>
      <c r="M23" s="67" t="s">
        <v>370</v>
      </c>
      <c r="N23" s="119"/>
      <c r="O23" s="119"/>
      <c r="P23" s="120"/>
      <c r="Q23" s="120"/>
      <c r="R23" s="120"/>
      <c r="S23" s="146"/>
      <c r="T23" s="147" t="s">
        <v>392</v>
      </c>
      <c r="U23" s="146" t="s">
        <v>393</v>
      </c>
      <c r="V23" s="146" t="s">
        <v>394</v>
      </c>
      <c r="W23" s="146" t="s">
        <v>395</v>
      </c>
      <c r="X23" s="146" t="s">
        <v>393</v>
      </c>
      <c r="Y23" s="146" t="s">
        <v>394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0" t="s">
        <v>396</v>
      </c>
      <c r="C24" s="730"/>
      <c r="D24" s="730"/>
      <c r="E24" s="730"/>
      <c r="F24" s="70">
        <f>L11</f>
        <v>2</v>
      </c>
      <c r="G24" s="71"/>
      <c r="H24" s="69">
        <v>16</v>
      </c>
      <c r="I24" s="730" t="s">
        <v>297</v>
      </c>
      <c r="J24" s="730"/>
      <c r="K24" s="730"/>
      <c r="L24" s="730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31" t="s">
        <v>397</v>
      </c>
      <c r="C25" s="731"/>
      <c r="D25" s="731"/>
      <c r="E25" s="731"/>
      <c r="F25" s="73">
        <f>L11</f>
        <v>2</v>
      </c>
      <c r="G25" s="71"/>
      <c r="H25" s="72">
        <v>17</v>
      </c>
      <c r="I25" s="731" t="s">
        <v>229</v>
      </c>
      <c r="J25" s="731"/>
      <c r="K25" s="731"/>
      <c r="L25" s="73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1" t="s">
        <v>398</v>
      </c>
      <c r="C26" s="731"/>
      <c r="D26" s="731"/>
      <c r="E26" s="731"/>
      <c r="F26" s="73">
        <f>M24</f>
        <v>1</v>
      </c>
      <c r="G26" s="71"/>
      <c r="H26" s="72">
        <v>18</v>
      </c>
      <c r="I26" s="731" t="s">
        <v>399</v>
      </c>
      <c r="J26" s="731"/>
      <c r="K26" s="731"/>
      <c r="L26" s="731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2" t="s">
        <v>400</v>
      </c>
      <c r="C27" s="733"/>
      <c r="D27" s="733"/>
      <c r="E27" s="734"/>
      <c r="F27" s="73">
        <v>4</v>
      </c>
      <c r="G27" s="71"/>
      <c r="H27" s="72">
        <v>19</v>
      </c>
      <c r="I27" s="731" t="s">
        <v>401</v>
      </c>
      <c r="J27" s="731"/>
      <c r="K27" s="731"/>
      <c r="L27" s="73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2" t="s">
        <v>402</v>
      </c>
      <c r="C28" s="733"/>
      <c r="D28" s="733"/>
      <c r="E28" s="734"/>
      <c r="F28" s="73">
        <f>L14</f>
        <v>10</v>
      </c>
      <c r="G28" s="71"/>
      <c r="H28" s="72">
        <v>20</v>
      </c>
      <c r="I28" s="731" t="s">
        <v>403</v>
      </c>
      <c r="J28" s="731"/>
      <c r="K28" s="731"/>
      <c r="L28" s="73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2" t="s">
        <v>404</v>
      </c>
      <c r="C29" s="733"/>
      <c r="D29" s="733"/>
      <c r="E29" s="734"/>
      <c r="F29" s="73">
        <f>L11*2</f>
        <v>4</v>
      </c>
      <c r="G29" s="71"/>
      <c r="H29" s="72">
        <v>21</v>
      </c>
      <c r="I29" s="731" t="s">
        <v>230</v>
      </c>
      <c r="J29" s="731"/>
      <c r="K29" s="731"/>
      <c r="L29" s="731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8</v>
      </c>
      <c r="AB29" s="60">
        <f t="shared" si="11"/>
        <v>3000</v>
      </c>
    </row>
    <row r="30" ht="20.1" customHeight="1">
      <c r="A30" s="72">
        <v>7</v>
      </c>
      <c r="B30" s="732" t="s">
        <v>405</v>
      </c>
      <c r="C30" s="733"/>
      <c r="D30" s="733"/>
      <c r="E30" s="734"/>
      <c r="F30" s="73">
        <f>L14*L11</f>
        <v>20</v>
      </c>
      <c r="G30" s="71"/>
      <c r="H30" s="72">
        <v>22</v>
      </c>
      <c r="I30" s="731" t="s">
        <v>231</v>
      </c>
      <c r="J30" s="731"/>
      <c r="K30" s="731"/>
      <c r="L30" s="731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40</v>
      </c>
      <c r="AB30" s="60">
        <f t="shared" si="11"/>
        <v>3000</v>
      </c>
    </row>
    <row r="31" ht="20.1" customHeight="1">
      <c r="A31" s="72">
        <v>8</v>
      </c>
      <c r="B31" s="732" t="s">
        <v>406</v>
      </c>
      <c r="C31" s="733"/>
      <c r="D31" s="733"/>
      <c r="E31" s="734"/>
      <c r="F31" s="73">
        <f>(L14+N14)*2</f>
        <v>24</v>
      </c>
      <c r="G31" s="71"/>
      <c r="H31" s="72">
        <v>23</v>
      </c>
      <c r="I31" s="731" t="s">
        <v>407</v>
      </c>
      <c r="J31" s="731"/>
      <c r="K31" s="731"/>
      <c r="L31" s="731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2" t="s">
        <v>408</v>
      </c>
      <c r="C32" s="733"/>
      <c r="D32" s="733"/>
      <c r="E32" s="734"/>
      <c r="F32" s="73">
        <f>(L14+N14)*2</f>
        <v>24</v>
      </c>
      <c r="G32" s="71"/>
      <c r="H32" s="72">
        <v>24</v>
      </c>
      <c r="I32" s="731" t="s">
        <v>409</v>
      </c>
      <c r="J32" s="731"/>
      <c r="K32" s="731"/>
      <c r="L32" s="731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2" t="s">
        <v>410</v>
      </c>
      <c r="C33" s="733"/>
      <c r="D33" s="733"/>
      <c r="E33" s="734"/>
      <c r="F33" s="73">
        <f>L11*3</f>
        <v>6</v>
      </c>
      <c r="G33" s="71"/>
      <c r="H33" s="72">
        <v>25</v>
      </c>
      <c r="I33" s="731" t="s">
        <v>411</v>
      </c>
      <c r="J33" s="731"/>
      <c r="K33" s="731"/>
      <c r="L33" s="73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2" t="s">
        <v>412</v>
      </c>
      <c r="C34" s="733"/>
      <c r="D34" s="733"/>
      <c r="E34" s="734"/>
      <c r="F34" s="73">
        <f>L11*3</f>
        <v>6</v>
      </c>
      <c r="G34" s="71"/>
      <c r="H34" s="72">
        <v>26</v>
      </c>
      <c r="I34" s="731" t="s">
        <v>232</v>
      </c>
      <c r="J34" s="731"/>
      <c r="K34" s="731"/>
      <c r="L34" s="73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2" t="s">
        <v>413</v>
      </c>
      <c r="C35" s="733"/>
      <c r="D35" s="733"/>
      <c r="E35" s="734"/>
      <c r="F35" s="73" t="str">
        <f>IF(L11&gt;2,(L11-2)*2,"0")</f>
        <v>0</v>
      </c>
      <c r="G35" s="74"/>
      <c r="H35" s="72">
        <v>27</v>
      </c>
      <c r="I35" s="731" t="s">
        <v>233</v>
      </c>
      <c r="J35" s="731"/>
      <c r="K35" s="731"/>
      <c r="L35" s="73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2" t="s">
        <v>414</v>
      </c>
      <c r="C36" s="733"/>
      <c r="D36" s="733"/>
      <c r="E36" s="734"/>
      <c r="F36" s="73" t="str">
        <f>IF(L11&gt;2,(L11-2)*L14,"0")</f>
        <v>0</v>
      </c>
      <c r="G36" s="74"/>
      <c r="H36" s="72">
        <v>28</v>
      </c>
      <c r="I36" s="731" t="s">
        <v>415</v>
      </c>
      <c r="J36" s="731"/>
      <c r="K36" s="731"/>
      <c r="L36" s="731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2" t="s">
        <v>416</v>
      </c>
      <c r="C37" s="733"/>
      <c r="D37" s="733"/>
      <c r="E37" s="734"/>
      <c r="F37" s="73">
        <f>M24</f>
        <v>1</v>
      </c>
      <c r="G37" s="74"/>
      <c r="H37" s="72">
        <v>29</v>
      </c>
      <c r="I37" s="731" t="s">
        <v>417</v>
      </c>
      <c r="J37" s="731"/>
      <c r="K37" s="731"/>
      <c r="L37" s="73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1" t="s">
        <v>234</v>
      </c>
      <c r="C38" s="731"/>
      <c r="D38" s="731"/>
      <c r="E38" s="731"/>
      <c r="F38" s="73">
        <f>تسجيل1!C21</f>
        <v>20</v>
      </c>
      <c r="G38" s="74"/>
      <c r="H38" s="72">
        <v>30</v>
      </c>
      <c r="I38" s="731" t="s">
        <v>418</v>
      </c>
      <c r="J38" s="731"/>
      <c r="K38" s="731"/>
      <c r="L38" s="731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56">
        <f>SUM(AA24:AB38)</f>
        <v>25076</v>
      </c>
      <c r="AB39" s="756"/>
    </row>
    <row r="40" ht="20.45" customHeight="1" s="58" customFormat="1">
      <c r="A40" s="766" t="s">
        <v>419</v>
      </c>
      <c r="B40" s="767"/>
      <c r="C40" s="767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56"/>
      <c r="AB40" s="756"/>
    </row>
    <row r="41" ht="18.75" customHeight="1" s="58" customFormat="1">
      <c r="A41" s="757" t="str">
        <f>IF(Format!I5=1,"-------",IF(Format!I5=2,Format!I3,Format!I4))</f>
        <v>صونفي </v>
      </c>
      <c r="B41" s="758"/>
      <c r="C41" s="759"/>
      <c r="D41" s="81"/>
      <c r="E41" s="81"/>
      <c r="F41" s="76"/>
      <c r="G41" s="68"/>
      <c r="H41" s="75"/>
      <c r="I41" s="81"/>
      <c r="J41" s="81"/>
      <c r="K41" s="81"/>
      <c r="L41" s="768" t="s">
        <v>290</v>
      </c>
      <c r="M41" s="769"/>
      <c r="N41" s="770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1">
        <f>AA39+X22+U8</f>
        <v>63299.324927914626</v>
      </c>
      <c r="AB41" s="771"/>
    </row>
    <row r="42" ht="13.9" customHeight="1" s="58" customFormat="1">
      <c r="A42" s="757"/>
      <c r="B42" s="758"/>
      <c r="C42" s="759"/>
      <c r="D42" s="10"/>
      <c r="E42" s="10"/>
      <c r="F42" s="10"/>
      <c r="G42" s="10"/>
      <c r="H42" s="10"/>
      <c r="I42" s="10"/>
      <c r="J42" s="10"/>
      <c r="K42" s="10"/>
      <c r="L42" s="735" t="str">
        <f>IF(Format!B5=1,Format!B2,IF(Format!B5=2,Format!B3,تسجيل1!F4))</f>
        <v>بيج  Ral 1013</v>
      </c>
      <c r="M42" s="736"/>
      <c r="N42" s="737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38" t="str">
        <f>IF(Format!P5=1,"Τηλεχειρισμος",IF(Format!P5=2,"-------","Διακοπτης"))</f>
        <v>Τηλεχειρισμος</v>
      </c>
      <c r="B43" s="739"/>
      <c r="C43" s="740"/>
      <c r="D43" s="10"/>
      <c r="E43" s="10"/>
      <c r="F43" s="10"/>
      <c r="G43" s="10"/>
      <c r="H43" s="10"/>
      <c r="I43" s="10"/>
      <c r="J43" s="10"/>
      <c r="K43" s="10"/>
      <c r="L43" s="741" t="s">
        <v>291</v>
      </c>
      <c r="M43" s="742"/>
      <c r="N43" s="743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44" t="str">
        <f>IF(Format!C8=1,Format!C2,IF(Format!C8=2,Format!C3,IF(Format!C8=3,Format!C4,IF(Format!C8=4,Format!C5,IF(Format!C8=5,Format!C6,تسجيل1!F5)))))</f>
        <v>بيج  Ral 1013</v>
      </c>
      <c r="M44" s="745"/>
      <c r="N44" s="746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47" t="str">
        <f>A3</f>
        <v>اسم العميل </v>
      </c>
      <c r="B96" s="748"/>
      <c r="C96" s="748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49">
        <f>N8</f>
        <v>672</v>
      </c>
      <c r="N97" s="750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1" t="str">
        <f>L44</f>
        <v>بيج  Ral 1013</v>
      </c>
      <c r="K98" s="752"/>
      <c r="L98" s="752"/>
      <c r="M98" s="752"/>
      <c r="N98" s="753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5" t="s">
        <v>420</v>
      </c>
      <c r="K1" s="665"/>
      <c r="L1" s="665"/>
      <c r="M1" s="665"/>
      <c r="N1" s="665"/>
      <c r="O1" s="665"/>
      <c r="P1" s="665"/>
      <c r="Q1" s="665"/>
      <c r="R1" s="665"/>
      <c r="S1" s="665"/>
    </row>
    <row r="2" ht="18" customHeight="1">
      <c r="A2" s="11" t="s">
        <v>358</v>
      </c>
      <c r="B2" s="654">
        <f>Royal!C3</f>
        <v>0</v>
      </c>
      <c r="C2" s="655"/>
      <c r="D2" s="655"/>
      <c r="E2" s="655"/>
      <c r="F2" s="656"/>
      <c r="G2" s="1">
        <v>2</v>
      </c>
      <c r="J2" s="665"/>
      <c r="K2" s="665"/>
      <c r="L2" s="665"/>
      <c r="M2" s="665"/>
      <c r="N2" s="665"/>
      <c r="O2" s="665"/>
      <c r="P2" s="665"/>
      <c r="Q2" s="665"/>
      <c r="R2" s="665"/>
      <c r="S2" s="665"/>
    </row>
    <row r="3" ht="18" customHeight="1">
      <c r="A3" s="11" t="s">
        <v>421</v>
      </c>
      <c r="F3" s="657" t="s">
        <v>422</v>
      </c>
      <c r="G3" s="657"/>
    </row>
    <row r="4" ht="18" customHeight="1">
      <c r="A4" s="11" t="s">
        <v>290</v>
      </c>
      <c r="F4" s="658" t="s">
        <v>423</v>
      </c>
      <c r="G4" s="659"/>
      <c r="H4" s="659"/>
      <c r="I4" s="660"/>
      <c r="J4" s="10"/>
    </row>
    <row r="5" ht="18" customHeight="1">
      <c r="A5" s="11" t="s">
        <v>291</v>
      </c>
      <c r="F5" s="661" t="s">
        <v>424</v>
      </c>
      <c r="G5" s="662"/>
      <c r="H5" s="662"/>
      <c r="I5" s="663"/>
      <c r="J5" s="10"/>
    </row>
    <row r="6" ht="18" customHeight="1">
      <c r="A6" s="11" t="s">
        <v>362</v>
      </c>
      <c r="Q6" s="664"/>
      <c r="R6" s="664"/>
      <c r="S6" s="664"/>
    </row>
    <row r="7" ht="18" customHeight="1">
      <c r="B7" s="180" t="s">
        <v>125</v>
      </c>
      <c r="C7" s="181">
        <f>تسعير!AA33</f>
        <v>1200</v>
      </c>
      <c r="D7" s="182" t="s">
        <v>425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292</v>
      </c>
    </row>
    <row r="10" ht="18" customHeight="1">
      <c r="A10" s="11" t="s">
        <v>293</v>
      </c>
    </row>
    <row r="11" ht="18" customHeight="1">
      <c r="A11" s="11" t="s">
        <v>309</v>
      </c>
      <c r="B11" s="666" t="s">
        <v>426</v>
      </c>
      <c r="C11" s="667"/>
      <c r="D11" s="662" t="s">
        <v>427</v>
      </c>
      <c r="E11" s="663"/>
    </row>
    <row r="12" ht="18" customHeight="1">
      <c r="A12" s="11" t="s">
        <v>294</v>
      </c>
    </row>
    <row r="13" ht="18" customHeight="1">
      <c r="A13" s="11" t="s">
        <v>428</v>
      </c>
    </row>
    <row r="14" ht="18" customHeight="1"/>
    <row r="15" ht="24.6" customHeight="1">
      <c r="A15" s="11" t="s">
        <v>297</v>
      </c>
      <c r="Q15" s="664"/>
      <c r="R15" s="664"/>
      <c r="S15" s="664"/>
    </row>
    <row r="16" ht="18" customHeight="1">
      <c r="C16" s="657" t="s">
        <v>429</v>
      </c>
      <c r="D16" s="657"/>
      <c r="E16" s="657"/>
      <c r="F16" s="1" t="s">
        <v>430</v>
      </c>
    </row>
    <row r="17" ht="18" customHeight="1">
      <c r="A17" s="657" t="s">
        <v>295</v>
      </c>
      <c r="B17" s="657"/>
      <c r="C17" s="657"/>
    </row>
    <row r="18" ht="18" customHeight="1">
      <c r="A18" s="668" t="s">
        <v>431</v>
      </c>
      <c r="B18" s="669"/>
      <c r="C18" s="14">
        <f>'Format Φωτισμου (2)'!B9</f>
        <v>5</v>
      </c>
    </row>
    <row r="19" ht="18" customHeight="1">
      <c r="A19" s="668" t="s">
        <v>432</v>
      </c>
      <c r="B19" s="669"/>
      <c r="C19" s="14">
        <f>'Format Φωτισμου (2)'!B12</f>
        <v>35</v>
      </c>
    </row>
    <row r="20" ht="18" customHeight="1">
      <c r="A20" s="668" t="s">
        <v>433</v>
      </c>
      <c r="B20" s="669"/>
      <c r="C20" s="14">
        <f>C19/C18</f>
        <v>7</v>
      </c>
    </row>
    <row r="21" ht="18" customHeight="1">
      <c r="A21" s="670" t="s">
        <v>434</v>
      </c>
      <c r="B21" s="671"/>
      <c r="C21" s="672">
        <v>20</v>
      </c>
      <c r="D21" s="673"/>
      <c r="E21" s="666" t="s">
        <v>435</v>
      </c>
      <c r="F21" s="667"/>
      <c r="G21" s="667"/>
      <c r="H21" s="14">
        <f>C21/C18</f>
        <v>4</v>
      </c>
      <c r="J21" s="675"/>
      <c r="K21" s="675"/>
      <c r="L21" s="675"/>
      <c r="M21" s="675"/>
      <c r="N21" s="675"/>
      <c r="O21" s="675"/>
      <c r="P21" s="675"/>
      <c r="Q21" s="675"/>
      <c r="R21" s="675"/>
      <c r="S21" s="675"/>
    </row>
    <row r="22" ht="18" customHeight="1">
      <c r="A22" s="668" t="s">
        <v>436</v>
      </c>
      <c r="B22" s="669"/>
      <c r="C22" s="179">
        <v>50</v>
      </c>
      <c r="D22" s="184" t="s">
        <v>437</v>
      </c>
      <c r="J22" s="675"/>
      <c r="K22" s="675"/>
      <c r="L22" s="675"/>
      <c r="M22" s="675"/>
      <c r="N22" s="675"/>
      <c r="O22" s="675"/>
      <c r="P22" s="675"/>
      <c r="Q22" s="675"/>
      <c r="R22" s="675"/>
      <c r="S22" s="675"/>
    </row>
    <row r="23" ht="18" customHeight="1">
      <c r="J23" s="675"/>
      <c r="K23" s="675"/>
      <c r="L23" s="675"/>
      <c r="M23" s="675"/>
      <c r="N23" s="675"/>
      <c r="O23" s="675"/>
      <c r="P23" s="675"/>
      <c r="Q23" s="675"/>
      <c r="R23" s="675"/>
      <c r="S23" s="675"/>
    </row>
    <row r="24" ht="18" customHeight="1"/>
    <row r="25" ht="18" customHeight="1">
      <c r="A25" s="11" t="s">
        <v>438</v>
      </c>
      <c r="J25" s="674"/>
      <c r="K25" s="674"/>
      <c r="L25" s="674"/>
      <c r="M25" s="674"/>
      <c r="N25" s="674"/>
      <c r="O25" s="674"/>
      <c r="P25" s="674"/>
      <c r="Q25" s="674"/>
      <c r="R25" s="15"/>
      <c r="S25" s="10"/>
    </row>
    <row r="26" ht="18" customHeight="1">
      <c r="G26" s="1" t="s">
        <v>439</v>
      </c>
      <c r="H26" s="1" t="s">
        <v>440</v>
      </c>
    </row>
    <row r="27" ht="18" customHeight="1">
      <c r="A27" s="11" t="s">
        <v>306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64"/>
      <c r="K27" s="664"/>
      <c r="L27" s="664"/>
      <c r="M27" s="664"/>
      <c r="N27" s="664"/>
      <c r="O27" s="664"/>
      <c r="P27" s="664"/>
      <c r="Q27" s="664"/>
      <c r="R27" s="664"/>
      <c r="S27" s="664"/>
    </row>
    <row r="28" ht="18" customHeight="1">
      <c r="A28" s="11" t="s">
        <v>307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309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76" t="s">
        <v>355</v>
      </c>
      <c r="B1" s="677"/>
      <c r="C1" s="677"/>
      <c r="D1" s="677"/>
      <c r="E1" s="677"/>
      <c r="F1" s="677"/>
      <c r="G1" s="677"/>
      <c r="H1" s="677"/>
      <c r="I1" s="677"/>
      <c r="J1" s="677"/>
      <c r="K1" s="677"/>
      <c r="L1" s="677"/>
      <c r="M1" s="677"/>
      <c r="N1" s="678"/>
      <c r="O1" s="87"/>
      <c r="P1" s="88"/>
      <c r="Q1" s="88"/>
      <c r="R1" s="88"/>
      <c r="W1" s="136">
        <f>IF(تسعير!T26="سادة",Royal2!J2+20000,IF(تسعير!T26="خشبي",Royal2!J2+40000,0))</f>
        <v>245000</v>
      </c>
      <c r="X1" s="60" t="s">
        <v>356</v>
      </c>
      <c r="Y1" s="136" t="e">
        <f>Royal!#REF!</f>
        <v>#REF!</v>
      </c>
      <c r="Z1" s="151" t="s">
        <v>357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2" t="s">
        <v>358</v>
      </c>
      <c r="B3" s="692"/>
      <c r="C3" s="692"/>
      <c r="D3" s="694">
        <f>تسجيل1!B2</f>
        <v>0</v>
      </c>
      <c r="E3" s="694"/>
      <c r="F3" s="694"/>
      <c r="G3" s="694"/>
      <c r="H3" s="694"/>
      <c r="I3" s="694"/>
      <c r="J3" s="694"/>
      <c r="K3" s="694"/>
      <c r="L3" s="694"/>
      <c r="M3" s="679" t="s">
        <v>359</v>
      </c>
      <c r="N3" s="679"/>
      <c r="O3" s="89"/>
      <c r="P3" s="90"/>
      <c r="Q3" s="90"/>
      <c r="R3" s="90"/>
      <c r="Z3" s="151"/>
      <c r="AA3" s="60"/>
      <c r="AB3" s="60"/>
    </row>
    <row r="4" ht="13.5" customHeight="1">
      <c r="A4" s="693"/>
      <c r="B4" s="693"/>
      <c r="C4" s="693"/>
      <c r="D4" s="695"/>
      <c r="E4" s="695"/>
      <c r="F4" s="695"/>
      <c r="G4" s="694"/>
      <c r="H4" s="694"/>
      <c r="I4" s="695"/>
      <c r="J4" s="695"/>
      <c r="K4" s="695"/>
      <c r="L4" s="695"/>
      <c r="M4" s="680"/>
      <c r="N4" s="680"/>
      <c r="O4" s="91"/>
      <c r="P4" s="92"/>
      <c r="Q4" s="92"/>
      <c r="R4" s="92"/>
      <c r="Z4" s="151"/>
      <c r="AA4" s="60"/>
      <c r="AB4" s="60"/>
    </row>
    <row r="5" ht="13.5" customHeight="1">
      <c r="A5" s="681" t="e">
        <f>Y1</f>
        <v>#REF!</v>
      </c>
      <c r="B5" s="682"/>
      <c r="C5" s="683"/>
      <c r="D5" s="684" t="s">
        <v>357</v>
      </c>
      <c r="E5" s="685"/>
      <c r="F5" s="686"/>
      <c r="G5" s="63"/>
      <c r="H5" s="63"/>
      <c r="I5" s="681">
        <f>W1</f>
        <v>245000</v>
      </c>
      <c r="J5" s="682"/>
      <c r="K5" s="683"/>
      <c r="L5" s="684" t="s">
        <v>360</v>
      </c>
      <c r="M5" s="685"/>
      <c r="N5" s="686"/>
      <c r="O5" s="93"/>
      <c r="P5" s="92"/>
      <c r="Q5" s="92"/>
      <c r="R5" s="92"/>
      <c r="Z5" s="151"/>
      <c r="AA5" s="60"/>
      <c r="AB5" s="60"/>
    </row>
    <row r="6" ht="16.5" customHeight="1">
      <c r="A6" s="760" t="s">
        <v>253</v>
      </c>
      <c r="B6" s="761"/>
      <c r="C6" s="762"/>
      <c r="D6" s="754" t="s">
        <v>361</v>
      </c>
      <c r="E6" s="687" t="s">
        <v>362</v>
      </c>
      <c r="F6" s="688"/>
      <c r="G6" s="689"/>
      <c r="H6" s="689"/>
      <c r="I6" s="688"/>
      <c r="J6" s="690"/>
      <c r="K6" s="691">
        <f>تسجيل2!C7</f>
        <v>1200</v>
      </c>
      <c r="L6" s="691"/>
      <c r="M6" s="94" t="s">
        <v>363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0"/>
      <c r="B7" s="761"/>
      <c r="C7" s="762"/>
      <c r="D7" s="754"/>
      <c r="E7" s="696" t="s">
        <v>364</v>
      </c>
      <c r="F7" s="689"/>
      <c r="G7" s="689"/>
      <c r="H7" s="689"/>
      <c r="I7" s="689"/>
      <c r="J7" s="697"/>
      <c r="K7" s="698">
        <f>K6*N6/10000</f>
        <v>96</v>
      </c>
      <c r="L7" s="698"/>
      <c r="M7" s="698"/>
      <c r="N7" s="98" t="s">
        <v>365</v>
      </c>
      <c r="O7" s="99">
        <f>AA41/K7</f>
        <v>2133.1235057477479</v>
      </c>
      <c r="S7" s="60" t="s">
        <v>127</v>
      </c>
      <c r="T7" s="61" t="s">
        <v>366</v>
      </c>
      <c r="Z7" s="151"/>
      <c r="AA7" s="60"/>
      <c r="AB7" s="60"/>
    </row>
    <row r="8">
      <c r="A8" s="763"/>
      <c r="B8" s="764"/>
      <c r="C8" s="765"/>
      <c r="D8" s="755"/>
      <c r="E8" s="699" t="s">
        <v>367</v>
      </c>
      <c r="F8" s="700"/>
      <c r="G8" s="700"/>
      <c r="H8" s="700"/>
      <c r="I8" s="700"/>
      <c r="J8" s="701"/>
      <c r="K8" s="702">
        <f>K6-1</f>
        <v>1199</v>
      </c>
      <c r="L8" s="702"/>
      <c r="M8" s="100" t="s">
        <v>368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204779.8565517838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03" t="s">
        <v>369</v>
      </c>
      <c r="B10" s="703"/>
      <c r="C10" s="703"/>
      <c r="D10" s="703"/>
      <c r="E10" s="703"/>
      <c r="F10" s="703"/>
      <c r="G10" s="704" t="s">
        <v>370</v>
      </c>
      <c r="H10" s="704"/>
      <c r="I10" s="704" t="s">
        <v>371</v>
      </c>
      <c r="J10" s="704"/>
      <c r="K10" s="104"/>
      <c r="L10" s="705" t="s">
        <v>306</v>
      </c>
      <c r="M10" s="705"/>
      <c r="N10" s="705"/>
      <c r="O10" s="105"/>
      <c r="P10" s="97"/>
      <c r="Q10" s="97"/>
      <c r="R10" s="97"/>
      <c r="S10" s="90" t="s">
        <v>372</v>
      </c>
      <c r="T10" s="90" t="s">
        <v>373</v>
      </c>
      <c r="U10" s="90" t="s">
        <v>374</v>
      </c>
      <c r="V10" s="90" t="s">
        <v>375</v>
      </c>
      <c r="W10" s="60" t="s">
        <v>376</v>
      </c>
      <c r="X10" s="60" t="s">
        <v>221</v>
      </c>
      <c r="Z10" s="151"/>
      <c r="AA10" s="60"/>
      <c r="AB10" s="60"/>
    </row>
    <row r="11" ht="20.1" customHeight="1">
      <c r="A11" s="706" t="s">
        <v>377</v>
      </c>
      <c r="B11" s="707"/>
      <c r="C11" s="707"/>
      <c r="D11" s="707"/>
      <c r="E11" s="707"/>
      <c r="F11" s="708"/>
      <c r="G11" s="709">
        <f>L11</f>
        <v>4</v>
      </c>
      <c r="H11" s="709"/>
      <c r="I11" s="710">
        <f>'Format διαστασης οδηγου (2)'!F8</f>
        <v>765</v>
      </c>
      <c r="J11" s="710"/>
      <c r="K11" s="106"/>
      <c r="L11" s="705">
        <f>IF(Format!A7=1,تسجيل2!H27,IF(Format!A7=2,تسجيل2!H27,IF(Format!A7=3,تسجيل2!H27,IF(Format!A7=4,تسجيل2!H27,IF(Format!A7=5,تسجيل2!H27,"-------")))))</f>
        <v>4</v>
      </c>
      <c r="M11" s="705"/>
      <c r="N11" s="705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34937.212121212156</v>
      </c>
      <c r="Z11" s="151"/>
      <c r="AA11" s="60"/>
      <c r="AB11" s="60"/>
    </row>
    <row r="12" ht="20.1" customHeight="1">
      <c r="A12" s="711" t="s">
        <v>378</v>
      </c>
      <c r="B12" s="711"/>
      <c r="C12" s="711"/>
      <c r="D12" s="711"/>
      <c r="E12" s="711"/>
      <c r="F12" s="711"/>
      <c r="G12" s="712">
        <f>IF(L11&gt;2,4,IF(L11=2,2))</f>
        <v>4</v>
      </c>
      <c r="H12" s="712"/>
      <c r="I12" s="713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3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7306.0465116278974</v>
      </c>
      <c r="Z12" s="151"/>
      <c r="AA12" s="60"/>
      <c r="AB12" s="60"/>
    </row>
    <row r="13" ht="20.1" customHeight="1">
      <c r="A13" s="711" t="s">
        <v>379</v>
      </c>
      <c r="B13" s="711"/>
      <c r="C13" s="711"/>
      <c r="D13" s="711"/>
      <c r="E13" s="711"/>
      <c r="F13" s="711"/>
      <c r="G13" s="712">
        <f>IF(L11&lt;=3,"0",(L11-3)*2)</f>
        <v>2</v>
      </c>
      <c r="H13" s="712"/>
      <c r="I13" s="713">
        <f>IF(G13="-------","-------",L17-5)</f>
        <v>392</v>
      </c>
      <c r="J13" s="713"/>
      <c r="K13" s="106"/>
      <c r="L13" s="714" t="s">
        <v>280</v>
      </c>
      <c r="M13" s="714"/>
      <c r="N13" s="714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3653.0232558139487</v>
      </c>
      <c r="Z13" s="151"/>
      <c r="AA13" s="60"/>
      <c r="AB13" s="60"/>
    </row>
    <row r="14" ht="20.1" customHeight="1">
      <c r="A14" s="711" t="s">
        <v>380</v>
      </c>
      <c r="B14" s="711"/>
      <c r="C14" s="711"/>
      <c r="D14" s="711"/>
      <c r="E14" s="711"/>
      <c r="F14" s="711"/>
      <c r="G14" s="712">
        <f>IF(L11&gt;2,2*L14,IF(L11=2,L14))</f>
        <v>24</v>
      </c>
      <c r="H14" s="712"/>
      <c r="I14" s="713">
        <f>I12</f>
        <v>398.5</v>
      </c>
      <c r="J14" s="713"/>
      <c r="K14" s="106"/>
      <c r="L14" s="109">
        <f>تسجيل2!H28</f>
        <v>12</v>
      </c>
      <c r="M14" s="110" t="s">
        <v>284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24736.551724137826</v>
      </c>
      <c r="Z14" s="151"/>
      <c r="AA14" s="60"/>
      <c r="AB14" s="60"/>
    </row>
    <row r="15" ht="20.1" customHeight="1">
      <c r="A15" s="711" t="s">
        <v>381</v>
      </c>
      <c r="B15" s="711"/>
      <c r="C15" s="711"/>
      <c r="D15" s="711"/>
      <c r="E15" s="711"/>
      <c r="F15" s="711"/>
      <c r="G15" s="712">
        <f>IF(L11&lt;=3,"0",(L11-3)*L14)</f>
        <v>12</v>
      </c>
      <c r="H15" s="712"/>
      <c r="I15" s="713">
        <f>IF(G15="-------","---------",I13)</f>
        <v>392</v>
      </c>
      <c r="J15" s="713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12368.275862068913</v>
      </c>
      <c r="Z15" s="151"/>
      <c r="AA15" s="60"/>
      <c r="AB15" s="60"/>
    </row>
    <row r="16" ht="20.1" customHeight="1">
      <c r="A16" s="711" t="s">
        <v>382</v>
      </c>
      <c r="B16" s="711"/>
      <c r="C16" s="711"/>
      <c r="D16" s="711"/>
      <c r="E16" s="711"/>
      <c r="F16" s="711"/>
      <c r="G16" s="712">
        <v>1</v>
      </c>
      <c r="H16" s="712"/>
      <c r="I16" s="713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3"/>
      <c r="K16" s="106"/>
      <c r="L16" s="715" t="s">
        <v>383</v>
      </c>
      <c r="M16" s="715"/>
      <c r="N16" s="715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1366.9743589743639</v>
      </c>
      <c r="Z16" s="151"/>
      <c r="AA16" s="60"/>
      <c r="AB16" s="60"/>
    </row>
    <row r="17" ht="20.1" customHeight="1">
      <c r="A17" s="711" t="s">
        <v>384</v>
      </c>
      <c r="B17" s="711"/>
      <c r="C17" s="711"/>
      <c r="D17" s="711"/>
      <c r="E17" s="711"/>
      <c r="F17" s="711"/>
      <c r="G17" s="712">
        <f>IF(L11=2,"0",1)</f>
        <v>1</v>
      </c>
      <c r="H17" s="712"/>
      <c r="I17" s="713">
        <f>IF(G17="-------","-------",IF(Format!A7=1,(L17+3),IF(Format!A7=2,(L17+3.5),IF(Format!A7=3,(L17+3),IF(Format!A7=4,(L17+4.25),IF(Format!A7=5,(L17+5),"--------"))))))</f>
        <v>400.5</v>
      </c>
      <c r="J17" s="713"/>
      <c r="K17" s="106"/>
      <c r="L17" s="716">
        <f>IF(Format!A7=1,(K6-2-6)/(L11-1),IF(Format!A7=2,(K6-2-7)/(L11-1),IF(Format!A7=3,(K6-2-6)/(L11-1),IF(Format!A7=4,(K6-2-8.5)/(L11-1),IF(Format!A7=5,(K6-2-10)/(L11-1),"--------")))))</f>
        <v>397</v>
      </c>
      <c r="M17" s="716"/>
      <c r="N17" s="71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1366.9743589743639</v>
      </c>
      <c r="Z17" s="151"/>
      <c r="AA17" s="60"/>
      <c r="AB17" s="60"/>
    </row>
    <row r="18" ht="20.1" customHeight="1">
      <c r="A18" s="711" t="s">
        <v>385</v>
      </c>
      <c r="B18" s="711"/>
      <c r="C18" s="711"/>
      <c r="D18" s="711"/>
      <c r="E18" s="711"/>
      <c r="F18" s="711"/>
      <c r="G18" s="712">
        <f>IF(L11&lt;=3,"0",(L11-3))</f>
        <v>1</v>
      </c>
      <c r="H18" s="712"/>
      <c r="I18" s="713">
        <f>IF(G18="-------","-------",L17)</f>
        <v>397</v>
      </c>
      <c r="J18" s="713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1366.9743589743639</v>
      </c>
      <c r="Z18" s="151"/>
      <c r="AA18" s="60"/>
      <c r="AB18" s="60"/>
    </row>
    <row r="19" ht="20.1" customHeight="1">
      <c r="A19" s="711" t="str">
        <f>IF(Format!H4=1,"Balloon","-------")</f>
        <v>-------</v>
      </c>
      <c r="B19" s="711"/>
      <c r="C19" s="711"/>
      <c r="D19" s="711"/>
      <c r="E19" s="711"/>
      <c r="F19" s="711"/>
      <c r="G19" s="712" t="str">
        <f>IF([1]Format!H4=1,'[1]تقطيع البرجولة'!L14,"0")</f>
        <v>0</v>
      </c>
      <c r="H19" s="712"/>
      <c r="I19" s="713">
        <f>IF(G19="-------","-------",K6-2.5)</f>
        <v>1197.5</v>
      </c>
      <c r="J19" s="713"/>
      <c r="K19" s="106"/>
      <c r="L19" s="717" t="s">
        <v>309</v>
      </c>
      <c r="M19" s="718"/>
      <c r="N19" s="719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0" t="s">
        <v>386</v>
      </c>
      <c r="B20" s="721"/>
      <c r="C20" s="721"/>
      <c r="D20" s="721"/>
      <c r="E20" s="721"/>
      <c r="F20" s="722"/>
      <c r="G20" s="720">
        <f>(G12+G13)/2</f>
        <v>3</v>
      </c>
      <c r="H20" s="721"/>
      <c r="I20" s="713">
        <f>L17-7</f>
        <v>390</v>
      </c>
      <c r="J20" s="713"/>
      <c r="K20" s="106"/>
      <c r="L20" s="114" t="s">
        <v>370</v>
      </c>
      <c r="M20" s="723" t="s">
        <v>387</v>
      </c>
      <c r="N20" s="723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4851</v>
      </c>
      <c r="Z20" s="151"/>
      <c r="AA20" s="60"/>
      <c r="AB20" s="60"/>
    </row>
    <row r="21" ht="20.1" customHeight="1">
      <c r="A21" s="724" t="s">
        <v>388</v>
      </c>
      <c r="B21" s="724"/>
      <c r="C21" s="724"/>
      <c r="D21" s="724"/>
      <c r="E21" s="724"/>
      <c r="F21" s="724"/>
      <c r="G21" s="725">
        <f>L11</f>
        <v>4</v>
      </c>
      <c r="H21" s="725"/>
      <c r="I21" s="726">
        <f>(I11*2)+45</f>
        <v>1575</v>
      </c>
      <c r="J21" s="726"/>
      <c r="K21" s="106"/>
      <c r="L21" s="112">
        <f>IF(Format!E7=1,"-------",IF(Format!E7=5,"-------",تسجيل2!H30))</f>
        <v>4</v>
      </c>
      <c r="M21" s="715" t="str">
        <f>IF(L21="-------","-------",تسجيل2!D11)</f>
        <v>4Χ220- 1Χ250</v>
      </c>
      <c r="N21" s="715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98127.0325517838</v>
      </c>
      <c r="Z22" s="151"/>
      <c r="AA22" s="60"/>
      <c r="AB22" s="60"/>
    </row>
    <row r="23" ht="20.1" customHeight="1">
      <c r="A23" s="727" t="s">
        <v>389</v>
      </c>
      <c r="B23" s="728"/>
      <c r="C23" s="728"/>
      <c r="D23" s="728"/>
      <c r="E23" s="729"/>
      <c r="F23" s="67" t="s">
        <v>390</v>
      </c>
      <c r="G23" s="68"/>
      <c r="H23" s="727" t="s">
        <v>391</v>
      </c>
      <c r="I23" s="728"/>
      <c r="J23" s="728"/>
      <c r="K23" s="728"/>
      <c r="L23" s="729"/>
      <c r="M23" s="67" t="s">
        <v>370</v>
      </c>
      <c r="N23" s="119"/>
      <c r="O23" s="119"/>
      <c r="P23" s="120"/>
      <c r="Q23" s="120"/>
      <c r="R23" s="120"/>
      <c r="S23" s="146"/>
      <c r="T23" s="147" t="s">
        <v>392</v>
      </c>
      <c r="U23" s="146" t="s">
        <v>393</v>
      </c>
      <c r="V23" s="146" t="s">
        <v>394</v>
      </c>
      <c r="W23" s="146" t="s">
        <v>395</v>
      </c>
      <c r="X23" s="146" t="s">
        <v>393</v>
      </c>
      <c r="Y23" s="146" t="s">
        <v>394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0" t="s">
        <v>396</v>
      </c>
      <c r="C24" s="730"/>
      <c r="D24" s="730"/>
      <c r="E24" s="730"/>
      <c r="F24" s="70">
        <f>L11</f>
        <v>4</v>
      </c>
      <c r="G24" s="71"/>
      <c r="H24" s="69">
        <v>16</v>
      </c>
      <c r="I24" s="730" t="s">
        <v>297</v>
      </c>
      <c r="J24" s="730"/>
      <c r="K24" s="730"/>
      <c r="L24" s="730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31" t="s">
        <v>397</v>
      </c>
      <c r="C25" s="731"/>
      <c r="D25" s="731"/>
      <c r="E25" s="731"/>
      <c r="F25" s="73">
        <f>L11</f>
        <v>4</v>
      </c>
      <c r="G25" s="71"/>
      <c r="H25" s="72">
        <v>17</v>
      </c>
      <c r="I25" s="731" t="s">
        <v>229</v>
      </c>
      <c r="J25" s="731"/>
      <c r="K25" s="731"/>
      <c r="L25" s="731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1" t="s">
        <v>398</v>
      </c>
      <c r="C26" s="731"/>
      <c r="D26" s="731"/>
      <c r="E26" s="731"/>
      <c r="F26" s="73">
        <f>M24</f>
        <v>2</v>
      </c>
      <c r="G26" s="71"/>
      <c r="H26" s="72">
        <v>18</v>
      </c>
      <c r="I26" s="731" t="s">
        <v>399</v>
      </c>
      <c r="J26" s="731"/>
      <c r="K26" s="731"/>
      <c r="L26" s="731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2" t="s">
        <v>400</v>
      </c>
      <c r="C27" s="733"/>
      <c r="D27" s="733"/>
      <c r="E27" s="734"/>
      <c r="F27" s="73">
        <v>4</v>
      </c>
      <c r="G27" s="71"/>
      <c r="H27" s="72">
        <v>19</v>
      </c>
      <c r="I27" s="731" t="s">
        <v>401</v>
      </c>
      <c r="J27" s="731"/>
      <c r="K27" s="731"/>
      <c r="L27" s="731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2" t="s">
        <v>402</v>
      </c>
      <c r="C28" s="733"/>
      <c r="D28" s="733"/>
      <c r="E28" s="734"/>
      <c r="F28" s="73">
        <f>L14</f>
        <v>12</v>
      </c>
      <c r="G28" s="71"/>
      <c r="H28" s="72">
        <v>20</v>
      </c>
      <c r="I28" s="731" t="s">
        <v>403</v>
      </c>
      <c r="J28" s="731"/>
      <c r="K28" s="731"/>
      <c r="L28" s="731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2" t="s">
        <v>404</v>
      </c>
      <c r="C29" s="733"/>
      <c r="D29" s="733"/>
      <c r="E29" s="734"/>
      <c r="F29" s="73">
        <f>L11*2</f>
        <v>8</v>
      </c>
      <c r="G29" s="71"/>
      <c r="H29" s="72">
        <v>21</v>
      </c>
      <c r="I29" s="731" t="s">
        <v>230</v>
      </c>
      <c r="J29" s="731"/>
      <c r="K29" s="731"/>
      <c r="L29" s="731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732" t="s">
        <v>405</v>
      </c>
      <c r="C30" s="733"/>
      <c r="D30" s="733"/>
      <c r="E30" s="734"/>
      <c r="F30" s="73">
        <f>L14*L11</f>
        <v>48</v>
      </c>
      <c r="G30" s="71"/>
      <c r="H30" s="72">
        <v>22</v>
      </c>
      <c r="I30" s="731" t="s">
        <v>231</v>
      </c>
      <c r="J30" s="731"/>
      <c r="K30" s="731"/>
      <c r="L30" s="731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732" t="s">
        <v>406</v>
      </c>
      <c r="C31" s="733"/>
      <c r="D31" s="733"/>
      <c r="E31" s="734"/>
      <c r="F31" s="73">
        <f>(L14+N14)*2</f>
        <v>28</v>
      </c>
      <c r="G31" s="71"/>
      <c r="H31" s="72">
        <v>23</v>
      </c>
      <c r="I31" s="731" t="s">
        <v>407</v>
      </c>
      <c r="J31" s="731"/>
      <c r="K31" s="731"/>
      <c r="L31" s="731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2" t="s">
        <v>408</v>
      </c>
      <c r="C32" s="733"/>
      <c r="D32" s="733"/>
      <c r="E32" s="734"/>
      <c r="F32" s="73">
        <f>(L14+N14)*2</f>
        <v>28</v>
      </c>
      <c r="G32" s="71"/>
      <c r="H32" s="72">
        <v>24</v>
      </c>
      <c r="I32" s="731" t="s">
        <v>409</v>
      </c>
      <c r="J32" s="731"/>
      <c r="K32" s="731"/>
      <c r="L32" s="731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2" t="s">
        <v>410</v>
      </c>
      <c r="C33" s="733"/>
      <c r="D33" s="733"/>
      <c r="E33" s="734"/>
      <c r="F33" s="73">
        <f>L11*3</f>
        <v>12</v>
      </c>
      <c r="G33" s="71"/>
      <c r="H33" s="72">
        <v>25</v>
      </c>
      <c r="I33" s="731" t="s">
        <v>411</v>
      </c>
      <c r="J33" s="731"/>
      <c r="K33" s="731"/>
      <c r="L33" s="731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2" t="s">
        <v>412</v>
      </c>
      <c r="C34" s="733"/>
      <c r="D34" s="733"/>
      <c r="E34" s="734"/>
      <c r="F34" s="73">
        <f>L11*3</f>
        <v>12</v>
      </c>
      <c r="G34" s="71"/>
      <c r="H34" s="72">
        <v>26</v>
      </c>
      <c r="I34" s="731" t="s">
        <v>232</v>
      </c>
      <c r="J34" s="731"/>
      <c r="K34" s="731"/>
      <c r="L34" s="731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2" t="s">
        <v>413</v>
      </c>
      <c r="C35" s="733"/>
      <c r="D35" s="733"/>
      <c r="E35" s="734"/>
      <c r="F35" s="73">
        <f>IF(L11&gt;2,(L11-2)*2,"0")</f>
        <v>4</v>
      </c>
      <c r="G35" s="74"/>
      <c r="H35" s="72">
        <v>27</v>
      </c>
      <c r="I35" s="731" t="s">
        <v>233</v>
      </c>
      <c r="J35" s="731"/>
      <c r="K35" s="731"/>
      <c r="L35" s="731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2" t="s">
        <v>414</v>
      </c>
      <c r="C36" s="733"/>
      <c r="D36" s="733"/>
      <c r="E36" s="734"/>
      <c r="F36" s="73">
        <f>IF(L11&gt;2,(L11-2)*L14,"0")</f>
        <v>24</v>
      </c>
      <c r="G36" s="74"/>
      <c r="H36" s="72">
        <v>28</v>
      </c>
      <c r="I36" s="731" t="s">
        <v>415</v>
      </c>
      <c r="J36" s="731"/>
      <c r="K36" s="731"/>
      <c r="L36" s="731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2" t="s">
        <v>416</v>
      </c>
      <c r="C37" s="733"/>
      <c r="D37" s="733"/>
      <c r="E37" s="734"/>
      <c r="F37" s="73">
        <f>M24</f>
        <v>2</v>
      </c>
      <c r="G37" s="74"/>
      <c r="H37" s="72">
        <v>29</v>
      </c>
      <c r="I37" s="731" t="s">
        <v>417</v>
      </c>
      <c r="J37" s="731"/>
      <c r="K37" s="731"/>
      <c r="L37" s="731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1" t="s">
        <v>234</v>
      </c>
      <c r="C38" s="731"/>
      <c r="D38" s="731"/>
      <c r="E38" s="731"/>
      <c r="F38" s="73">
        <f>تسجيل1!C21</f>
        <v>20</v>
      </c>
      <c r="G38" s="74"/>
      <c r="H38" s="72">
        <v>30</v>
      </c>
      <c r="I38" s="731" t="s">
        <v>418</v>
      </c>
      <c r="J38" s="731"/>
      <c r="K38" s="731"/>
      <c r="L38" s="73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56">
        <f>SUM(AA24:AB38)</f>
        <v>76107.1</v>
      </c>
      <c r="AB39" s="756"/>
    </row>
    <row r="40" ht="20.45" customHeight="1" s="58" customFormat="1">
      <c r="A40" s="766" t="s">
        <v>419</v>
      </c>
      <c r="B40" s="767"/>
      <c r="C40" s="767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56"/>
      <c r="AB40" s="756"/>
    </row>
    <row r="41" ht="18.75" customHeight="1" s="58" customFormat="1">
      <c r="A41" s="757" t="str">
        <f>IF(Format!I5=1,"-------",IF(Format!I5=2,Format!I3,Format!I4))</f>
        <v>صونفي </v>
      </c>
      <c r="B41" s="758"/>
      <c r="C41" s="759"/>
      <c r="D41" s="81"/>
      <c r="E41" s="81"/>
      <c r="F41" s="76"/>
      <c r="G41" s="68"/>
      <c r="H41" s="75"/>
      <c r="I41" s="81"/>
      <c r="J41" s="81"/>
      <c r="K41" s="81"/>
      <c r="L41" s="768" t="s">
        <v>290</v>
      </c>
      <c r="M41" s="769"/>
      <c r="N41" s="770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1">
        <f>AA39+X22+U8</f>
        <v>204779.8565517838</v>
      </c>
      <c r="AB41" s="771"/>
    </row>
    <row r="42" ht="13.9" customHeight="1" s="58" customFormat="1">
      <c r="A42" s="757"/>
      <c r="B42" s="758"/>
      <c r="C42" s="759"/>
      <c r="D42" s="10"/>
      <c r="E42" s="10"/>
      <c r="F42" s="10"/>
      <c r="G42" s="10"/>
      <c r="H42" s="10"/>
      <c r="I42" s="10"/>
      <c r="J42" s="10"/>
      <c r="K42" s="10"/>
      <c r="L42" s="735" t="str">
        <f>IF(Format!B5=1,Format!B2,IF(Format!B5=2,Format!B3,تسجيل1!F4))</f>
        <v>بيج  Ral 1013</v>
      </c>
      <c r="M42" s="736"/>
      <c r="N42" s="737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38" t="str">
        <f>IF(Format!P5=1,"Τηλεχειρισμος",IF(Format!P5=2,"-------","Διακοπτης"))</f>
        <v>Τηλεχειρισμος</v>
      </c>
      <c r="B43" s="739"/>
      <c r="C43" s="740"/>
      <c r="D43" s="10"/>
      <c r="E43" s="10"/>
      <c r="F43" s="10"/>
      <c r="G43" s="10"/>
      <c r="H43" s="10"/>
      <c r="I43" s="10"/>
      <c r="J43" s="10"/>
      <c r="K43" s="10"/>
      <c r="L43" s="741" t="s">
        <v>291</v>
      </c>
      <c r="M43" s="742"/>
      <c r="N43" s="743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44" t="str">
        <f>IF(Format!C8=1,Format!C2,IF(Format!C8=2,Format!C3,IF(Format!C8=3,Format!C4,IF(Format!C8=4,Format!C5,IF(Format!C8=5,Format!C6,تسجيل1!F5)))))</f>
        <v>بيج  Ral 1013</v>
      </c>
      <c r="M44" s="745"/>
      <c r="N44" s="746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47" t="str">
        <f>A3</f>
        <v>اسم العميل </v>
      </c>
      <c r="B96" s="748"/>
      <c r="C96" s="748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49">
        <f>N8</f>
        <v>772</v>
      </c>
      <c r="N97" s="750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1" t="str">
        <f>L44</f>
        <v>بيج  Ral 1013</v>
      </c>
      <c r="K98" s="752"/>
      <c r="L98" s="752"/>
      <c r="M98" s="752"/>
      <c r="N98" s="753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253</v>
      </c>
      <c r="B1" s="20" t="s">
        <v>290</v>
      </c>
      <c r="C1" s="20" t="s">
        <v>291</v>
      </c>
      <c r="D1" s="20" t="s">
        <v>292</v>
      </c>
      <c r="E1" s="20" t="s">
        <v>293</v>
      </c>
      <c r="F1" s="20" t="s">
        <v>294</v>
      </c>
      <c r="G1" s="20" t="s">
        <v>295</v>
      </c>
      <c r="H1" s="20" t="s">
        <v>296</v>
      </c>
      <c r="I1" s="20" t="s">
        <v>297</v>
      </c>
      <c r="J1" s="772" t="s">
        <v>298</v>
      </c>
      <c r="K1" s="773"/>
      <c r="L1" s="773"/>
      <c r="M1" s="774"/>
      <c r="N1" s="20" t="s">
        <v>299</v>
      </c>
      <c r="O1" s="20" t="s">
        <v>297</v>
      </c>
      <c r="P1" s="20" t="s">
        <v>300</v>
      </c>
    </row>
    <row r="2">
      <c r="A2" s="21" t="s">
        <v>301</v>
      </c>
      <c r="B2" s="21" t="s">
        <v>302</v>
      </c>
      <c r="C2" s="21" t="s">
        <v>302</v>
      </c>
      <c r="D2" s="21" t="s">
        <v>303</v>
      </c>
      <c r="E2" s="21" t="s">
        <v>304</v>
      </c>
      <c r="F2" s="21" t="s">
        <v>305</v>
      </c>
      <c r="G2" s="21" t="s">
        <v>305</v>
      </c>
      <c r="H2" s="21" t="s">
        <v>305</v>
      </c>
      <c r="I2" s="21" t="s">
        <v>304</v>
      </c>
      <c r="J2" s="4" t="s">
        <v>306</v>
      </c>
      <c r="K2" s="1" t="s">
        <v>307</v>
      </c>
      <c r="L2" s="1" t="s">
        <v>308</v>
      </c>
      <c r="M2" s="18" t="s">
        <v>309</v>
      </c>
      <c r="N2" s="21" t="s">
        <v>310</v>
      </c>
      <c r="O2" s="21" t="s">
        <v>311</v>
      </c>
      <c r="P2" s="21" t="s">
        <v>305</v>
      </c>
    </row>
    <row r="3">
      <c r="A3" s="21" t="s">
        <v>312</v>
      </c>
      <c r="B3" s="21" t="s">
        <v>313</v>
      </c>
      <c r="C3" s="21" t="s">
        <v>313</v>
      </c>
      <c r="D3" s="21" t="s">
        <v>314</v>
      </c>
      <c r="E3" s="21" t="s">
        <v>315</v>
      </c>
      <c r="F3" s="21" t="s">
        <v>304</v>
      </c>
      <c r="G3" s="21" t="s">
        <v>304</v>
      </c>
      <c r="H3" s="21" t="s">
        <v>304</v>
      </c>
      <c r="I3" s="21" t="s">
        <v>316</v>
      </c>
      <c r="J3" s="49">
        <v>-2</v>
      </c>
      <c r="K3" s="10">
        <v>-5</v>
      </c>
      <c r="L3" s="10">
        <v>-5</v>
      </c>
      <c r="M3" s="18">
        <v>-2</v>
      </c>
      <c r="N3" s="21" t="s">
        <v>317</v>
      </c>
      <c r="O3" s="21" t="s">
        <v>318</v>
      </c>
      <c r="P3" s="21" t="s">
        <v>304</v>
      </c>
    </row>
    <row r="4">
      <c r="A4" s="21" t="s">
        <v>319</v>
      </c>
      <c r="B4" s="21" t="s">
        <v>320</v>
      </c>
      <c r="C4" s="21" t="s">
        <v>321</v>
      </c>
      <c r="D4" s="21">
        <v>1</v>
      </c>
      <c r="E4" s="21" t="s">
        <v>322</v>
      </c>
      <c r="F4" s="21">
        <v>1</v>
      </c>
      <c r="G4" s="21">
        <v>1</v>
      </c>
      <c r="H4" s="21">
        <v>2</v>
      </c>
      <c r="I4" s="21" t="s">
        <v>323</v>
      </c>
      <c r="J4" s="49">
        <v>-1</v>
      </c>
      <c r="K4" s="10">
        <v>-4</v>
      </c>
      <c r="L4" s="10">
        <v>-4</v>
      </c>
      <c r="M4" s="18">
        <v>-1</v>
      </c>
      <c r="N4" s="21" t="s">
        <v>324</v>
      </c>
      <c r="O4" s="21">
        <v>1</v>
      </c>
      <c r="P4" s="21" t="s">
        <v>325</v>
      </c>
    </row>
    <row r="5">
      <c r="A5" s="21" t="s">
        <v>326</v>
      </c>
      <c r="B5" s="21">
        <v>1</v>
      </c>
      <c r="C5" s="21" t="s">
        <v>327</v>
      </c>
      <c r="D5" s="21"/>
      <c r="E5" s="21" t="s">
        <v>328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329</v>
      </c>
      <c r="O5" s="21"/>
      <c r="P5" s="21">
        <v>1</v>
      </c>
    </row>
    <row r="6">
      <c r="A6" s="21" t="s">
        <v>330</v>
      </c>
      <c r="B6" s="21"/>
      <c r="C6" s="21" t="s">
        <v>331</v>
      </c>
      <c r="D6" s="21"/>
      <c r="E6" s="21" t="s">
        <v>332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333</v>
      </c>
      <c r="O6" s="21"/>
      <c r="P6" s="21"/>
    </row>
    <row r="7">
      <c r="A7" s="21">
        <v>2</v>
      </c>
      <c r="B7" s="21"/>
      <c r="C7" s="21" t="s">
        <v>320</v>
      </c>
      <c r="D7" s="21"/>
      <c r="E7" s="21" t="s">
        <v>334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335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336</v>
      </c>
      <c r="B17" s="24" t="str">
        <f>IF(A7=1,A2,IF(A7=2,A3,IF(A7=3,A4,IF(A7=4,A5,IF(A7=5,A6,IF(A7=6,A7,IF(A7=7,A8,IF(A7=8,A9,IF(A7=9,A10,IF(A7=10,A11,IF(A7=11,A12,IF(A7=12,A13,A14))))))))))))</f>
        <v>EVO 150X70</v>
      </c>
      <c r="C17" s="775" t="s">
        <v>337</v>
      </c>
      <c r="D17" s="776"/>
      <c r="E17" s="776"/>
      <c r="F17" s="777"/>
      <c r="G17" s="1"/>
      <c r="H17" s="1"/>
      <c r="I17" s="1"/>
    </row>
    <row r="18">
      <c r="A18" s="26" t="s">
        <v>338</v>
      </c>
      <c r="B18" s="27">
        <f>تسجيل2!C7</f>
        <v>1200</v>
      </c>
      <c r="C18" s="28" t="s">
        <v>339</v>
      </c>
      <c r="D18" s="28"/>
      <c r="E18" s="28"/>
      <c r="F18" s="25"/>
      <c r="G18" s="1"/>
      <c r="H18" s="1"/>
      <c r="I18" s="1"/>
    </row>
    <row r="19">
      <c r="A19" s="29" t="s">
        <v>277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8" t="s">
        <v>340</v>
      </c>
      <c r="B29" s="779"/>
      <c r="C29" s="779"/>
      <c r="D29" s="779"/>
      <c r="E29" s="779"/>
      <c r="F29" s="779"/>
      <c r="G29" s="779"/>
      <c r="H29" s="780"/>
      <c r="I29" s="778" t="s">
        <v>341</v>
      </c>
      <c r="J29" s="779"/>
      <c r="K29" s="779"/>
      <c r="L29" s="779"/>
      <c r="M29" s="779"/>
      <c r="N29" s="779"/>
      <c r="O29" s="779"/>
      <c r="P29" s="780"/>
      <c r="Q29" s="778" t="s">
        <v>342</v>
      </c>
      <c r="R29" s="779"/>
      <c r="S29" s="779"/>
      <c r="T29" s="779"/>
      <c r="U29" s="779"/>
      <c r="V29" s="779"/>
      <c r="W29" s="779"/>
      <c r="X29" s="78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1" t="s">
        <v>343</v>
      </c>
      <c r="B31" s="782"/>
      <c r="C31" s="36">
        <f>B19</f>
        <v>800</v>
      </c>
      <c r="D31" s="34" t="s">
        <v>344</v>
      </c>
      <c r="E31" s="36">
        <f>H34</f>
        <v>12</v>
      </c>
      <c r="F31" s="34"/>
      <c r="G31" s="34"/>
      <c r="H31" s="35"/>
      <c r="I31" s="781" t="s">
        <v>343</v>
      </c>
      <c r="J31" s="782"/>
      <c r="K31" s="36">
        <f>B19</f>
        <v>800</v>
      </c>
      <c r="L31" s="34" t="s">
        <v>344</v>
      </c>
      <c r="M31" s="36">
        <f>P34</f>
        <v>10</v>
      </c>
      <c r="N31" s="15"/>
      <c r="O31" s="34"/>
      <c r="P31" s="35"/>
      <c r="Q31" s="783" t="s">
        <v>343</v>
      </c>
      <c r="R31" s="784"/>
      <c r="S31" s="57">
        <f>B19</f>
        <v>800</v>
      </c>
      <c r="T31" s="47" t="s">
        <v>345</v>
      </c>
      <c r="U31" s="57">
        <f>INT((S31-4)/25)+1</f>
        <v>32</v>
      </c>
      <c r="V31" s="47"/>
      <c r="W31" s="47"/>
      <c r="X31" s="48"/>
    </row>
    <row r="32">
      <c r="A32" s="785" t="s">
        <v>344</v>
      </c>
      <c r="B32" s="786"/>
      <c r="C32" s="786"/>
      <c r="D32" s="34"/>
      <c r="E32" s="34"/>
      <c r="F32" s="38"/>
      <c r="G32" s="34"/>
      <c r="H32" s="35"/>
      <c r="I32" s="785" t="s">
        <v>346</v>
      </c>
      <c r="J32" s="786"/>
      <c r="K32" s="786"/>
      <c r="L32" s="34"/>
      <c r="M32" s="34"/>
      <c r="N32" s="54"/>
      <c r="O32" s="34"/>
      <c r="P32" s="35"/>
    </row>
    <row r="33">
      <c r="A33" s="39" t="s">
        <v>347</v>
      </c>
      <c r="B33" s="40" t="s">
        <v>348</v>
      </c>
      <c r="C33" s="40" t="s">
        <v>349</v>
      </c>
      <c r="D33" s="34"/>
      <c r="E33" s="40" t="s">
        <v>347</v>
      </c>
      <c r="F33" s="40" t="s">
        <v>348</v>
      </c>
      <c r="G33" s="40" t="s">
        <v>349</v>
      </c>
      <c r="H33" s="35"/>
      <c r="I33" s="39" t="s">
        <v>347</v>
      </c>
      <c r="J33" s="40" t="s">
        <v>348</v>
      </c>
      <c r="K33" s="40" t="s">
        <v>349</v>
      </c>
      <c r="L33" s="34"/>
      <c r="M33" s="40" t="s">
        <v>347</v>
      </c>
      <c r="N33" s="37" t="s">
        <v>348</v>
      </c>
      <c r="O33" s="40" t="s">
        <v>349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87" t="s">
        <v>263</v>
      </c>
      <c r="B1" s="788"/>
      <c r="C1" s="17"/>
      <c r="D1" s="3" t="s">
        <v>264</v>
      </c>
      <c r="E1" s="3" t="s">
        <v>265</v>
      </c>
      <c r="F1" s="3" t="s">
        <v>266</v>
      </c>
      <c r="G1" s="3" t="s">
        <v>267</v>
      </c>
      <c r="H1" s="7" t="s">
        <v>268</v>
      </c>
    </row>
    <row r="2">
      <c r="A2" s="789"/>
      <c r="B2" s="790"/>
      <c r="C2" s="10" t="s">
        <v>269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89"/>
      <c r="B3" s="790"/>
      <c r="C3" s="10" t="s">
        <v>270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9"/>
      <c r="B4" s="790"/>
      <c r="C4" s="10" t="s">
        <v>271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9"/>
      <c r="B5" s="790"/>
      <c r="H5" s="18"/>
      <c r="K5" s="1" t="s">
        <v>254</v>
      </c>
      <c r="L5" s="10" t="s">
        <v>272</v>
      </c>
    </row>
    <row r="6">
      <c r="A6" s="789"/>
      <c r="B6" s="790"/>
      <c r="C6" s="10" t="s">
        <v>273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274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1"/>
      <c r="B7" s="792"/>
      <c r="C7" s="19" t="s">
        <v>275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93" t="s">
        <v>276</v>
      </c>
      <c r="B10" s="794"/>
      <c r="C10" s="17"/>
      <c r="D10" s="3" t="s">
        <v>264</v>
      </c>
      <c r="E10" s="3" t="s">
        <v>265</v>
      </c>
      <c r="F10" s="3" t="s">
        <v>266</v>
      </c>
      <c r="G10" s="3" t="s">
        <v>267</v>
      </c>
      <c r="H10" s="7" t="s">
        <v>268</v>
      </c>
    </row>
    <row r="11">
      <c r="A11" s="795"/>
      <c r="B11" s="796"/>
      <c r="C11" s="10" t="s">
        <v>269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95"/>
      <c r="B12" s="796"/>
      <c r="C12" s="10" t="s">
        <v>270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95"/>
      <c r="B13" s="796"/>
      <c r="C13" s="10" t="s">
        <v>271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254</v>
      </c>
      <c r="L13" s="10" t="s">
        <v>272</v>
      </c>
    </row>
    <row r="14">
      <c r="A14" s="795"/>
      <c r="B14" s="796"/>
      <c r="H14" s="18"/>
      <c r="J14" s="10" t="s">
        <v>274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95"/>
      <c r="B15" s="796"/>
      <c r="C15" s="10" t="s">
        <v>273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277</v>
      </c>
      <c r="R15" s="10" t="s">
        <v>278</v>
      </c>
    </row>
    <row r="16">
      <c r="A16" s="797"/>
      <c r="B16" s="798"/>
      <c r="C16" s="19" t="s">
        <v>275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99" t="s">
        <v>279</v>
      </c>
      <c r="B19" s="800"/>
      <c r="C19" s="17"/>
      <c r="D19" s="3" t="s">
        <v>264</v>
      </c>
      <c r="E19" s="3" t="s">
        <v>265</v>
      </c>
      <c r="F19" s="3" t="s">
        <v>266</v>
      </c>
      <c r="G19" s="3" t="s">
        <v>267</v>
      </c>
      <c r="H19" s="7" t="s">
        <v>268</v>
      </c>
    </row>
    <row r="20">
      <c r="A20" s="801"/>
      <c r="B20" s="802"/>
      <c r="C20" s="10" t="s">
        <v>269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1"/>
      <c r="B21" s="802"/>
      <c r="C21" s="10" t="s">
        <v>270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1"/>
      <c r="B22" s="802"/>
      <c r="C22" s="10" t="s">
        <v>271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254</v>
      </c>
      <c r="L22" s="10" t="s">
        <v>272</v>
      </c>
    </row>
    <row r="23">
      <c r="A23" s="801"/>
      <c r="B23" s="802"/>
      <c r="H23" s="18"/>
      <c r="J23" s="10" t="s">
        <v>274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1"/>
      <c r="B24" s="802"/>
      <c r="C24" s="10" t="s">
        <v>273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03"/>
      <c r="B25" s="804"/>
      <c r="C25" s="19" t="s">
        <v>275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280</v>
      </c>
      <c r="K2" s="1" t="s">
        <v>281</v>
      </c>
      <c r="O2" s="1" t="s">
        <v>282</v>
      </c>
    </row>
    <row r="3">
      <c r="A3" s="1" t="s">
        <v>253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283</v>
      </c>
      <c r="B4" s="1">
        <f>تسجيل2!C7</f>
        <v>1200</v>
      </c>
      <c r="J4" s="15">
        <v>4</v>
      </c>
      <c r="K4" s="15">
        <v>2</v>
      </c>
    </row>
    <row r="5">
      <c r="A5" s="1" t="s">
        <v>254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280</v>
      </c>
      <c r="B6" s="1">
        <f>'Cutting Ro-2'!L14</f>
        <v>12</v>
      </c>
      <c r="C6" s="1" t="s">
        <v>284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285</v>
      </c>
      <c r="B9" s="1">
        <f>O8</f>
        <v>5</v>
      </c>
      <c r="J9" s="15">
        <v>9</v>
      </c>
      <c r="K9" s="15">
        <v>4</v>
      </c>
    </row>
    <row r="10">
      <c r="A10" s="12" t="s">
        <v>286</v>
      </c>
      <c r="B10" s="13">
        <f>(((B4-(تسجيل2!C22*2))/200)+1)*B9</f>
        <v>32.5</v>
      </c>
      <c r="C10" s="667" t="s">
        <v>287</v>
      </c>
      <c r="D10" s="667"/>
      <c r="E10" s="14">
        <f>ROUND(B10,0)</f>
        <v>33</v>
      </c>
      <c r="J10" s="15">
        <v>10</v>
      </c>
      <c r="K10" s="15">
        <v>4</v>
      </c>
    </row>
    <row r="11">
      <c r="A11" s="12" t="s">
        <v>288</v>
      </c>
      <c r="B11" s="13">
        <f>E10/B9</f>
        <v>6.6</v>
      </c>
      <c r="C11" s="667" t="s">
        <v>287</v>
      </c>
      <c r="D11" s="667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289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253</v>
      </c>
      <c r="B1" s="1" t="s">
        <v>254</v>
      </c>
      <c r="C1" s="1" t="s">
        <v>255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256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257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05" t="s">
        <v>258</v>
      </c>
      <c r="I7" s="805"/>
      <c r="J7" s="805"/>
      <c r="K7" s="806"/>
    </row>
    <row r="8">
      <c r="A8" s="4" t="s">
        <v>259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05"/>
      <c r="I8" s="805"/>
      <c r="J8" s="805"/>
      <c r="K8" s="806"/>
    </row>
    <row r="9">
      <c r="A9" s="4" t="s">
        <v>260</v>
      </c>
      <c r="C9" s="1" t="str">
        <f>IF('Format (2)'!N8=5,'Format διαστασης οδηγου (2)'!B2-35,IF('Format (2)'!N8=6,'Format διαστασης οδηγου (2)'!B2-31,"-------"))</f>
        <v>-------</v>
      </c>
      <c r="H9" s="805"/>
      <c r="I9" s="805"/>
      <c r="J9" s="805"/>
      <c r="K9" s="806"/>
    </row>
    <row r="10">
      <c r="A10" s="4" t="s">
        <v>261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256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257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05" t="s">
        <v>262</v>
      </c>
      <c r="I15" s="805"/>
      <c r="J15" s="805"/>
      <c r="K15" s="806"/>
    </row>
    <row r="16">
      <c r="A16" s="4" t="s">
        <v>259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05"/>
      <c r="I16" s="805"/>
      <c r="J16" s="805"/>
      <c r="K16" s="806"/>
    </row>
    <row r="17">
      <c r="A17" s="4" t="s">
        <v>260</v>
      </c>
      <c r="C17" s="1" t="str">
        <f>IF('Format (2)'!N8=5,'Format διαστασης οδηγου (2)'!B2-6,IF('Format (2)'!N8=6,'Format διαστασης οδηγου (2)'!B2-2,"-------"))</f>
        <v>-------</v>
      </c>
      <c r="H17" s="805"/>
      <c r="I17" s="805"/>
      <c r="J17" s="805"/>
      <c r="K17" s="806"/>
    </row>
    <row r="18">
      <c r="A18" s="4" t="s">
        <v>261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253</v>
      </c>
      <c r="B1" s="20" t="s">
        <v>290</v>
      </c>
      <c r="C1" s="20" t="s">
        <v>291</v>
      </c>
      <c r="D1" s="20" t="s">
        <v>292</v>
      </c>
      <c r="E1" s="20" t="s">
        <v>293</v>
      </c>
      <c r="F1" s="20" t="s">
        <v>294</v>
      </c>
      <c r="G1" s="20" t="s">
        <v>295</v>
      </c>
      <c r="H1" s="20" t="s">
        <v>296</v>
      </c>
      <c r="I1" s="20" t="s">
        <v>297</v>
      </c>
      <c r="J1" s="772" t="s">
        <v>298</v>
      </c>
      <c r="K1" s="773"/>
      <c r="L1" s="773"/>
      <c r="M1" s="774"/>
      <c r="N1" s="20" t="s">
        <v>299</v>
      </c>
      <c r="O1" s="20" t="s">
        <v>297</v>
      </c>
      <c r="P1" s="20" t="s">
        <v>300</v>
      </c>
    </row>
    <row r="2">
      <c r="A2" s="21" t="s">
        <v>301</v>
      </c>
      <c r="B2" s="21" t="s">
        <v>302</v>
      </c>
      <c r="C2" s="21" t="s">
        <v>302</v>
      </c>
      <c r="D2" s="21" t="s">
        <v>303</v>
      </c>
      <c r="E2" s="21" t="s">
        <v>304</v>
      </c>
      <c r="F2" s="21" t="s">
        <v>305</v>
      </c>
      <c r="G2" s="21" t="s">
        <v>305</v>
      </c>
      <c r="H2" s="21" t="s">
        <v>305</v>
      </c>
      <c r="I2" s="21" t="s">
        <v>304</v>
      </c>
      <c r="J2" s="4" t="s">
        <v>306</v>
      </c>
      <c r="K2" s="1" t="s">
        <v>307</v>
      </c>
      <c r="L2" s="1" t="s">
        <v>308</v>
      </c>
      <c r="M2" s="18" t="s">
        <v>309</v>
      </c>
      <c r="N2" s="21" t="s">
        <v>310</v>
      </c>
      <c r="O2" s="21" t="s">
        <v>311</v>
      </c>
      <c r="P2" s="21" t="s">
        <v>305</v>
      </c>
    </row>
    <row r="3">
      <c r="A3" s="21" t="s">
        <v>312</v>
      </c>
      <c r="B3" s="21" t="s">
        <v>313</v>
      </c>
      <c r="C3" s="21" t="s">
        <v>313</v>
      </c>
      <c r="D3" s="21" t="s">
        <v>314</v>
      </c>
      <c r="E3" s="21" t="s">
        <v>315</v>
      </c>
      <c r="F3" s="21" t="s">
        <v>304</v>
      </c>
      <c r="G3" s="21" t="s">
        <v>304</v>
      </c>
      <c r="H3" s="21" t="s">
        <v>304</v>
      </c>
      <c r="I3" s="21" t="s">
        <v>316</v>
      </c>
      <c r="J3" s="49">
        <v>-2</v>
      </c>
      <c r="K3" s="10">
        <v>-5</v>
      </c>
      <c r="L3" s="10">
        <v>-5</v>
      </c>
      <c r="M3" s="18">
        <v>-2</v>
      </c>
      <c r="N3" s="21" t="s">
        <v>317</v>
      </c>
      <c r="O3" s="21" t="s">
        <v>318</v>
      </c>
      <c r="P3" s="21" t="s">
        <v>304</v>
      </c>
    </row>
    <row r="4">
      <c r="A4" s="21" t="s">
        <v>319</v>
      </c>
      <c r="B4" s="21" t="s">
        <v>320</v>
      </c>
      <c r="C4" s="21" t="s">
        <v>321</v>
      </c>
      <c r="D4" s="21">
        <v>1</v>
      </c>
      <c r="E4" s="21" t="s">
        <v>322</v>
      </c>
      <c r="F4" s="21">
        <v>1</v>
      </c>
      <c r="G4" s="21">
        <v>1</v>
      </c>
      <c r="H4" s="21">
        <v>2</v>
      </c>
      <c r="I4" s="21" t="s">
        <v>323</v>
      </c>
      <c r="J4" s="49">
        <v>-1</v>
      </c>
      <c r="K4" s="10">
        <v>-4</v>
      </c>
      <c r="L4" s="10">
        <v>-4</v>
      </c>
      <c r="M4" s="18">
        <v>-1</v>
      </c>
      <c r="N4" s="21" t="s">
        <v>324</v>
      </c>
      <c r="O4" s="21">
        <v>1</v>
      </c>
      <c r="P4" s="21" t="s">
        <v>325</v>
      </c>
    </row>
    <row r="5">
      <c r="A5" s="21" t="s">
        <v>326</v>
      </c>
      <c r="B5" s="21">
        <v>1</v>
      </c>
      <c r="C5" s="21" t="s">
        <v>327</v>
      </c>
      <c r="D5" s="21"/>
      <c r="E5" s="21" t="s">
        <v>328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329</v>
      </c>
      <c r="O5" s="21"/>
      <c r="P5" s="21">
        <v>1</v>
      </c>
    </row>
    <row r="6">
      <c r="A6" s="21" t="s">
        <v>330</v>
      </c>
      <c r="B6" s="21"/>
      <c r="C6" s="21" t="s">
        <v>331</v>
      </c>
      <c r="D6" s="21"/>
      <c r="E6" s="21" t="s">
        <v>332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333</v>
      </c>
      <c r="O6" s="21"/>
      <c r="P6" s="21"/>
    </row>
    <row r="7">
      <c r="A7" s="21">
        <v>2</v>
      </c>
      <c r="B7" s="21"/>
      <c r="C7" s="21" t="s">
        <v>320</v>
      </c>
      <c r="D7" s="21"/>
      <c r="E7" s="21" t="s">
        <v>334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335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336</v>
      </c>
      <c r="B17" s="24" t="str">
        <f>IF(A7=1,A2,IF(A7=2,A3,IF(A7=3,A4,IF(A7=4,A5,IF(A7=5,A6,IF(A7=6,A7,IF(A7=7,A8,IF(A7=8,A9,IF(A7=9,A10,IF(A7=10,A11,IF(A7=11,A12,IF(A7=12,A13,A14))))))))))))</f>
        <v>EVO 150X70</v>
      </c>
      <c r="C17" s="775" t="s">
        <v>337</v>
      </c>
      <c r="D17" s="776"/>
      <c r="E17" s="776"/>
      <c r="F17" s="777"/>
      <c r="G17" s="1"/>
      <c r="H17" s="1"/>
      <c r="I17" s="1"/>
    </row>
    <row r="18">
      <c r="A18" s="26" t="s">
        <v>338</v>
      </c>
      <c r="B18" s="27">
        <f>تسجيل1!C7</f>
        <v>300</v>
      </c>
      <c r="C18" s="28" t="s">
        <v>339</v>
      </c>
      <c r="D18" s="28"/>
      <c r="E18" s="28"/>
      <c r="F18" s="25"/>
      <c r="G18" s="1"/>
      <c r="H18" s="1"/>
      <c r="I18" s="1"/>
    </row>
    <row r="19">
      <c r="A19" s="29" t="s">
        <v>277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8" t="s">
        <v>340</v>
      </c>
      <c r="B29" s="779"/>
      <c r="C29" s="779"/>
      <c r="D29" s="779"/>
      <c r="E29" s="779"/>
      <c r="F29" s="779"/>
      <c r="G29" s="779"/>
      <c r="H29" s="780"/>
      <c r="I29" s="778" t="s">
        <v>341</v>
      </c>
      <c r="J29" s="779"/>
      <c r="K29" s="779"/>
      <c r="L29" s="779"/>
      <c r="M29" s="779"/>
      <c r="N29" s="779"/>
      <c r="O29" s="779"/>
      <c r="P29" s="780"/>
      <c r="Q29" s="778" t="s">
        <v>342</v>
      </c>
      <c r="R29" s="779"/>
      <c r="S29" s="779"/>
      <c r="T29" s="779"/>
      <c r="U29" s="779"/>
      <c r="V29" s="779"/>
      <c r="W29" s="779"/>
      <c r="X29" s="78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1" t="s">
        <v>343</v>
      </c>
      <c r="B31" s="782"/>
      <c r="C31" s="36">
        <f>B19</f>
        <v>700</v>
      </c>
      <c r="D31" s="34" t="s">
        <v>344</v>
      </c>
      <c r="E31" s="36">
        <f>H34</f>
        <v>10</v>
      </c>
      <c r="F31" s="34"/>
      <c r="G31" s="34"/>
      <c r="H31" s="35"/>
      <c r="I31" s="781" t="s">
        <v>343</v>
      </c>
      <c r="J31" s="782"/>
      <c r="K31" s="36">
        <f>B19</f>
        <v>700</v>
      </c>
      <c r="L31" s="34" t="s">
        <v>344</v>
      </c>
      <c r="M31" s="36">
        <f>P34</f>
        <v>9</v>
      </c>
      <c r="N31" s="15"/>
      <c r="O31" s="34"/>
      <c r="P31" s="35"/>
      <c r="Q31" s="783" t="s">
        <v>343</v>
      </c>
      <c r="R31" s="784"/>
      <c r="S31" s="57">
        <f>B19</f>
        <v>700</v>
      </c>
      <c r="T31" s="47" t="s">
        <v>345</v>
      </c>
      <c r="U31" s="57">
        <f>INT((S31-4)/25)+1</f>
        <v>28</v>
      </c>
      <c r="V31" s="47"/>
      <c r="W31" s="47"/>
      <c r="X31" s="48"/>
    </row>
    <row r="32">
      <c r="A32" s="785" t="s">
        <v>344</v>
      </c>
      <c r="B32" s="786"/>
      <c r="C32" s="786"/>
      <c r="D32" s="34"/>
      <c r="E32" s="34"/>
      <c r="F32" s="38"/>
      <c r="G32" s="34"/>
      <c r="H32" s="35"/>
      <c r="I32" s="785" t="s">
        <v>346</v>
      </c>
      <c r="J32" s="786"/>
      <c r="K32" s="786"/>
      <c r="L32" s="34"/>
      <c r="M32" s="34"/>
      <c r="N32" s="54"/>
      <c r="O32" s="34"/>
      <c r="P32" s="35"/>
    </row>
    <row r="33">
      <c r="A33" s="39" t="s">
        <v>347</v>
      </c>
      <c r="B33" s="40" t="s">
        <v>348</v>
      </c>
      <c r="C33" s="40" t="s">
        <v>349</v>
      </c>
      <c r="D33" s="34"/>
      <c r="E33" s="40" t="s">
        <v>347</v>
      </c>
      <c r="F33" s="40" t="s">
        <v>348</v>
      </c>
      <c r="G33" s="40" t="s">
        <v>349</v>
      </c>
      <c r="H33" s="35"/>
      <c r="I33" s="39" t="s">
        <v>347</v>
      </c>
      <c r="J33" s="40" t="s">
        <v>348</v>
      </c>
      <c r="K33" s="40" t="s">
        <v>349</v>
      </c>
      <c r="L33" s="34"/>
      <c r="M33" s="40" t="s">
        <v>347</v>
      </c>
      <c r="N33" s="37" t="s">
        <v>348</v>
      </c>
      <c r="O33" s="40" t="s">
        <v>349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87" t="s">
        <v>263</v>
      </c>
      <c r="B1" s="788"/>
      <c r="C1" s="17"/>
      <c r="D1" s="3" t="s">
        <v>264</v>
      </c>
      <c r="E1" s="3" t="s">
        <v>265</v>
      </c>
      <c r="F1" s="3" t="s">
        <v>266</v>
      </c>
      <c r="G1" s="3" t="s">
        <v>267</v>
      </c>
      <c r="H1" s="7" t="s">
        <v>268</v>
      </c>
    </row>
    <row r="2">
      <c r="A2" s="789"/>
      <c r="B2" s="790"/>
      <c r="C2" s="10" t="s">
        <v>269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9"/>
      <c r="B3" s="790"/>
      <c r="C3" s="10" t="s">
        <v>270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9"/>
      <c r="B4" s="790"/>
      <c r="C4" s="10" t="s">
        <v>271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9"/>
      <c r="B5" s="790"/>
      <c r="H5" s="18"/>
      <c r="K5" s="1" t="s">
        <v>254</v>
      </c>
      <c r="L5" s="10" t="s">
        <v>272</v>
      </c>
    </row>
    <row r="6">
      <c r="A6" s="789"/>
      <c r="B6" s="790"/>
      <c r="C6" s="10" t="s">
        <v>273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274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1"/>
      <c r="B7" s="792"/>
      <c r="C7" s="19" t="s">
        <v>275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93" t="s">
        <v>276</v>
      </c>
      <c r="B10" s="794"/>
      <c r="C10" s="17"/>
      <c r="D10" s="3" t="s">
        <v>264</v>
      </c>
      <c r="E10" s="3" t="s">
        <v>265</v>
      </c>
      <c r="F10" s="3" t="s">
        <v>266</v>
      </c>
      <c r="G10" s="3" t="s">
        <v>267</v>
      </c>
      <c r="H10" s="7" t="s">
        <v>268</v>
      </c>
    </row>
    <row r="11">
      <c r="A11" s="795"/>
      <c r="B11" s="796"/>
      <c r="C11" s="10" t="s">
        <v>269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95"/>
      <c r="B12" s="796"/>
      <c r="C12" s="10" t="s">
        <v>270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95"/>
      <c r="B13" s="796"/>
      <c r="C13" s="10" t="s">
        <v>271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254</v>
      </c>
      <c r="L13" s="10" t="s">
        <v>272</v>
      </c>
    </row>
    <row r="14">
      <c r="A14" s="795"/>
      <c r="B14" s="796"/>
      <c r="H14" s="18"/>
      <c r="J14" s="10" t="s">
        <v>274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95"/>
      <c r="B15" s="796"/>
      <c r="C15" s="10" t="s">
        <v>273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277</v>
      </c>
      <c r="R15" s="10" t="s">
        <v>278</v>
      </c>
    </row>
    <row r="16">
      <c r="A16" s="797"/>
      <c r="B16" s="798"/>
      <c r="C16" s="19" t="s">
        <v>275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9" t="s">
        <v>279</v>
      </c>
      <c r="B19" s="800"/>
      <c r="C19" s="17"/>
      <c r="D19" s="3" t="s">
        <v>264</v>
      </c>
      <c r="E19" s="3" t="s">
        <v>265</v>
      </c>
      <c r="F19" s="3" t="s">
        <v>266</v>
      </c>
      <c r="G19" s="3" t="s">
        <v>267</v>
      </c>
      <c r="H19" s="7" t="s">
        <v>268</v>
      </c>
    </row>
    <row r="20">
      <c r="A20" s="801"/>
      <c r="B20" s="802"/>
      <c r="C20" s="10" t="s">
        <v>269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1"/>
      <c r="B21" s="802"/>
      <c r="C21" s="10" t="s">
        <v>270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1"/>
      <c r="B22" s="802"/>
      <c r="C22" s="10" t="s">
        <v>271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254</v>
      </c>
      <c r="L22" s="10" t="s">
        <v>272</v>
      </c>
    </row>
    <row r="23">
      <c r="A23" s="801"/>
      <c r="B23" s="802"/>
      <c r="H23" s="18"/>
      <c r="J23" s="10" t="s">
        <v>274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1"/>
      <c r="B24" s="802"/>
      <c r="C24" s="10" t="s">
        <v>273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03"/>
      <c r="B25" s="804"/>
      <c r="C25" s="19" t="s">
        <v>275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280</v>
      </c>
      <c r="K2" s="1" t="s">
        <v>281</v>
      </c>
      <c r="O2" s="1" t="s">
        <v>282</v>
      </c>
    </row>
    <row r="3">
      <c r="A3" s="1" t="s">
        <v>253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283</v>
      </c>
      <c r="B4" s="1">
        <f>تسجيل1!C7</f>
        <v>300</v>
      </c>
      <c r="J4" s="15">
        <v>4</v>
      </c>
      <c r="K4" s="15">
        <v>2</v>
      </c>
    </row>
    <row r="5">
      <c r="A5" s="1" t="s">
        <v>254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280</v>
      </c>
      <c r="B6" s="1">
        <f>'Cutting Ro-1'!L14</f>
        <v>10</v>
      </c>
      <c r="C6" s="1" t="s">
        <v>284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285</v>
      </c>
      <c r="B9" s="1">
        <f>O8</f>
        <v>4</v>
      </c>
      <c r="J9" s="15">
        <v>9</v>
      </c>
      <c r="K9" s="15">
        <v>4</v>
      </c>
    </row>
    <row r="10">
      <c r="A10" s="12" t="s">
        <v>286</v>
      </c>
      <c r="B10" s="13">
        <f>(((B4-(تسجيل1!C22*2))/200)+1)*B9</f>
        <v>8</v>
      </c>
      <c r="C10" s="667" t="s">
        <v>287</v>
      </c>
      <c r="D10" s="667"/>
      <c r="E10" s="14">
        <f>ROUND(B10,0)</f>
        <v>8</v>
      </c>
      <c r="J10" s="15">
        <v>10</v>
      </c>
      <c r="K10" s="15">
        <v>4</v>
      </c>
    </row>
    <row r="11">
      <c r="A11" s="12" t="s">
        <v>288</v>
      </c>
      <c r="B11" s="13">
        <f>E10/B9</f>
        <v>2</v>
      </c>
      <c r="C11" s="667" t="s">
        <v>287</v>
      </c>
      <c r="D11" s="66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289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topLeftCell="AR11" zoomScale="40" zoomScaleNormal="40" zoomScaleSheetLayoutView="70" zoomScalePageLayoutView="25" workbookViewId="0">
      <selection activeCell="BE34" sqref="BE34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621"/>
      <c r="B1" s="621"/>
      <c r="C1" s="621"/>
      <c r="D1" s="621"/>
      <c r="E1" s="621"/>
      <c r="F1" s="621"/>
      <c r="G1" s="621"/>
      <c r="H1" s="621"/>
      <c r="I1" s="621"/>
      <c r="J1" s="621"/>
      <c r="K1" s="621"/>
      <c r="L1" s="621"/>
      <c r="M1" s="621"/>
      <c r="N1" s="621"/>
      <c r="O1" s="621"/>
      <c r="P1" s="621"/>
      <c r="Q1" s="621"/>
      <c r="R1" s="609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590"/>
      <c r="BG1" s="590"/>
      <c r="BH1" s="590"/>
      <c r="BI1" s="590"/>
      <c r="BJ1" s="590"/>
      <c r="BK1" s="590"/>
      <c r="BL1" s="590"/>
      <c r="BM1" s="590"/>
      <c r="BN1" s="590"/>
    </row>
    <row r="2" ht="45" customHeight="1">
      <c r="A2" s="621"/>
      <c r="B2" s="621"/>
      <c r="C2" s="621"/>
      <c r="D2" s="621"/>
      <c r="E2" s="621"/>
      <c r="F2" s="621"/>
      <c r="G2" s="621"/>
      <c r="H2" s="621"/>
      <c r="I2" s="621"/>
      <c r="J2" s="621"/>
      <c r="K2" s="621"/>
      <c r="L2" s="621"/>
      <c r="M2" s="621"/>
      <c r="N2" s="621"/>
      <c r="O2" s="621"/>
      <c r="P2" s="621"/>
      <c r="Q2" s="621"/>
      <c r="R2" s="609"/>
      <c r="S2" s="418" t="s">
        <v>163</v>
      </c>
      <c r="T2" s="419">
        <f>IF((V14="ok"),Royal!G80,"R")</f>
        <v>176880.02806797053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610" t="s">
        <v>163</v>
      </c>
      <c r="AG2" s="589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89"/>
      <c r="AI2" s="422"/>
      <c r="AJ2" s="422"/>
      <c r="AK2" s="422"/>
      <c r="AR2" s="414"/>
      <c r="AS2" s="472" t="s">
        <v>163</v>
      </c>
      <c r="AT2" s="473">
        <f>IF((AV14="OK"),wavy1!R72,"R")</f>
        <v>79221.255921052638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99046.0630877193</v>
      </c>
      <c r="BF2" s="590"/>
      <c r="BG2" s="590"/>
      <c r="BH2" s="590"/>
      <c r="BI2" s="590"/>
      <c r="BJ2" s="590"/>
      <c r="BK2" s="590"/>
      <c r="BL2" s="590"/>
      <c r="BM2" s="590"/>
      <c r="BN2" s="590"/>
    </row>
    <row r="3" ht="54.75" customHeight="1">
      <c r="A3" s="621"/>
      <c r="B3" s="621"/>
      <c r="C3" s="621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09"/>
      <c r="S3" s="528" t="s">
        <v>127</v>
      </c>
      <c r="T3" s="421">
        <f>T2/(AA10*X8)*10000</f>
        <v>8422.8584794271683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610"/>
      <c r="AG3" s="589"/>
      <c r="AH3" s="589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>
        <f>AT2/(AV10*BA12)*10000</f>
        <v>6337.7004736842109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2829.88751679198</v>
      </c>
      <c r="BF3" s="590"/>
      <c r="BG3" s="590"/>
      <c r="BH3" s="590"/>
      <c r="BI3" s="590"/>
      <c r="BJ3" s="590"/>
      <c r="BK3" s="590"/>
      <c r="BL3" s="590"/>
      <c r="BM3" s="590"/>
      <c r="BN3" s="590"/>
    </row>
    <row r="4" ht="55.5" customHeight="1">
      <c r="A4" s="621"/>
      <c r="B4" s="621"/>
      <c r="C4" s="621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09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610"/>
      <c r="AG4" s="589"/>
      <c r="AH4" s="589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21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591"/>
      <c r="BG4" s="592"/>
      <c r="BH4" s="592"/>
      <c r="BI4" s="592"/>
      <c r="BJ4" s="592"/>
      <c r="BK4" s="592"/>
      <c r="BL4" s="592"/>
      <c r="BM4" s="592"/>
      <c r="BN4" s="588"/>
    </row>
    <row r="5" ht="55.5" customHeight="1">
      <c r="A5" s="621"/>
      <c r="B5" s="621"/>
      <c r="C5" s="621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09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166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166</v>
      </c>
      <c r="BF5" s="591"/>
      <c r="BG5" s="592"/>
      <c r="BH5" s="592"/>
      <c r="BI5" s="592"/>
      <c r="BJ5" s="592"/>
      <c r="BK5" s="592"/>
      <c r="BL5" s="592"/>
      <c r="BM5" s="592"/>
      <c r="BN5" s="588"/>
    </row>
    <row r="6" ht="55.5" customHeight="1">
      <c r="A6" s="621"/>
      <c r="B6" s="621"/>
      <c r="C6" s="621"/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09"/>
      <c r="S6" s="530" t="s">
        <v>167</v>
      </c>
      <c r="T6" s="531" t="s">
        <v>168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169</v>
      </c>
      <c r="AJ6" s="466" t="s">
        <v>170</v>
      </c>
      <c r="AK6" s="467" t="s">
        <v>171</v>
      </c>
      <c r="AL6" s="466" t="s">
        <v>172</v>
      </c>
      <c r="AM6" s="466" t="s">
        <v>173</v>
      </c>
      <c r="AN6" s="468" t="s">
        <v>174</v>
      </c>
      <c r="AO6" s="595" t="s">
        <v>175</v>
      </c>
      <c r="AP6" s="596"/>
      <c r="AQ6" s="415"/>
      <c r="AR6" s="414"/>
      <c r="AS6" s="428" t="s">
        <v>167</v>
      </c>
      <c r="AT6" s="429" t="s">
        <v>168</v>
      </c>
      <c r="AU6" s="475"/>
      <c r="AV6" s="475"/>
      <c r="AW6" s="475"/>
      <c r="AX6" s="475"/>
      <c r="AY6" s="475"/>
      <c r="AZ6" s="475"/>
      <c r="BA6" s="475"/>
      <c r="BB6" s="475"/>
      <c r="BD6" s="490" t="s">
        <v>167</v>
      </c>
      <c r="BE6" s="495" t="s">
        <v>176</v>
      </c>
      <c r="BF6" s="475"/>
      <c r="BG6" s="475"/>
      <c r="BH6" s="475"/>
      <c r="BI6" s="475"/>
      <c r="BJ6" s="475"/>
      <c r="BK6" s="475"/>
      <c r="BL6" s="475"/>
      <c r="BM6" s="475"/>
      <c r="BN6" s="588"/>
    </row>
    <row r="7" ht="18.75" customHeight="1">
      <c r="A7" s="621"/>
      <c r="B7" s="621"/>
      <c r="C7" s="621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09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588"/>
    </row>
    <row r="8" ht="55.5" customHeight="1">
      <c r="A8" s="415"/>
      <c r="B8" s="629" t="s">
        <v>177</v>
      </c>
      <c r="C8" s="629"/>
      <c r="D8" s="629"/>
      <c r="E8" s="415"/>
      <c r="F8" s="631"/>
      <c r="G8" s="631"/>
      <c r="H8" s="631"/>
      <c r="I8" s="621"/>
      <c r="J8" s="628"/>
      <c r="K8" s="628"/>
      <c r="L8" s="628"/>
      <c r="M8" s="621"/>
      <c r="N8" s="630"/>
      <c r="O8" s="630"/>
      <c r="P8" s="630"/>
      <c r="Q8" s="415"/>
      <c r="R8" s="609"/>
      <c r="S8" s="633"/>
      <c r="T8" s="633"/>
      <c r="U8" s="413"/>
      <c r="V8" s="413"/>
      <c r="W8" s="413"/>
      <c r="X8" s="434">
        <v>700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178</v>
      </c>
      <c r="AJ8" s="470" t="s">
        <v>179</v>
      </c>
      <c r="AK8" s="470">
        <v>3</v>
      </c>
      <c r="AL8" s="470" t="s">
        <v>176</v>
      </c>
      <c r="AM8" s="470" t="s">
        <v>180</v>
      </c>
      <c r="AN8" s="471" t="s">
        <v>181</v>
      </c>
      <c r="AO8" s="597"/>
      <c r="AP8" s="598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588"/>
    </row>
    <row r="9" ht="55.5" customHeight="1">
      <c r="A9" s="415"/>
      <c r="B9" s="629"/>
      <c r="C9" s="629"/>
      <c r="D9" s="629"/>
      <c r="E9" s="415"/>
      <c r="F9" s="631"/>
      <c r="G9" s="631"/>
      <c r="H9" s="631"/>
      <c r="I9" s="621"/>
      <c r="J9" s="628"/>
      <c r="K9" s="628"/>
      <c r="L9" s="628"/>
      <c r="M9" s="621"/>
      <c r="N9" s="630"/>
      <c r="O9" s="630"/>
      <c r="P9" s="630"/>
      <c r="Q9" s="415"/>
      <c r="R9" s="609"/>
      <c r="S9" s="634"/>
      <c r="T9" s="634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182</v>
      </c>
      <c r="AT9" s="424" t="s">
        <v>183</v>
      </c>
      <c r="AU9" s="475"/>
      <c r="AV9" s="475"/>
      <c r="AW9" s="475"/>
      <c r="AX9" s="475"/>
      <c r="AY9" s="475"/>
      <c r="AZ9" s="475"/>
      <c r="BA9" s="475"/>
      <c r="BB9" s="475"/>
      <c r="BD9" s="423" t="s">
        <v>182</v>
      </c>
      <c r="BE9" s="424" t="s">
        <v>183</v>
      </c>
      <c r="BF9" s="475"/>
      <c r="BG9" s="475"/>
      <c r="BH9" s="475"/>
      <c r="BI9" s="475"/>
      <c r="BJ9" s="475"/>
      <c r="BK9" s="475"/>
      <c r="BL9" s="475"/>
      <c r="BM9" s="475"/>
      <c r="BN9" s="588"/>
    </row>
    <row r="10" ht="55.5" customHeight="1">
      <c r="A10" s="415"/>
      <c r="B10" s="629"/>
      <c r="C10" s="629"/>
      <c r="D10" s="629"/>
      <c r="E10" s="415"/>
      <c r="F10" s="631"/>
      <c r="G10" s="631"/>
      <c r="H10" s="631"/>
      <c r="I10" s="621"/>
      <c r="J10" s="628"/>
      <c r="K10" s="628"/>
      <c r="L10" s="628"/>
      <c r="M10" s="621"/>
      <c r="N10" s="630"/>
      <c r="O10" s="630"/>
      <c r="P10" s="630"/>
      <c r="Q10" s="415"/>
      <c r="R10" s="609"/>
      <c r="S10" s="529" t="s">
        <v>184</v>
      </c>
      <c r="T10" s="424" t="s">
        <v>185</v>
      </c>
      <c r="U10" s="413"/>
      <c r="V10" s="435"/>
      <c r="W10" s="435"/>
      <c r="X10" s="435"/>
      <c r="Y10" s="435"/>
      <c r="Z10" s="435"/>
      <c r="AA10" s="434">
        <v>300</v>
      </c>
      <c r="AB10" s="413"/>
      <c r="AC10" s="415"/>
      <c r="AD10" s="414"/>
      <c r="AE10" s="635" t="s">
        <v>186</v>
      </c>
      <c r="AF10" s="635"/>
      <c r="AG10" s="635"/>
      <c r="AH10" s="635"/>
      <c r="AI10" s="635"/>
      <c r="AJ10" s="635"/>
      <c r="AK10" s="635"/>
      <c r="AL10" s="635"/>
      <c r="AM10" s="635"/>
      <c r="AN10" s="635"/>
      <c r="AO10" s="635"/>
      <c r="AP10" s="635"/>
      <c r="AQ10" s="635"/>
      <c r="AR10" s="414"/>
      <c r="AS10" s="423" t="s">
        <v>184</v>
      </c>
      <c r="AT10" s="424" t="s">
        <v>185</v>
      </c>
      <c r="AU10" s="475"/>
      <c r="AV10" s="477">
        <v>250</v>
      </c>
      <c r="AW10" s="478"/>
      <c r="AX10" s="478"/>
      <c r="AY10" s="478"/>
      <c r="AZ10" s="478"/>
      <c r="BA10" s="475"/>
      <c r="BB10" s="475"/>
      <c r="BD10" s="423" t="s">
        <v>184</v>
      </c>
      <c r="BE10" s="424" t="s">
        <v>185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588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609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635"/>
      <c r="AF11" s="635"/>
      <c r="AG11" s="635"/>
      <c r="AH11" s="635"/>
      <c r="AI11" s="635"/>
      <c r="AJ11" s="635"/>
      <c r="AK11" s="635"/>
      <c r="AL11" s="635"/>
      <c r="AM11" s="635"/>
      <c r="AN11" s="635"/>
      <c r="AO11" s="635"/>
      <c r="AP11" s="635"/>
      <c r="AQ11" s="635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588"/>
    </row>
    <row r="12" ht="55.5" customHeight="1" s="413" customFormat="1">
      <c r="A12" s="415"/>
      <c r="B12" s="628"/>
      <c r="C12" s="628"/>
      <c r="D12" s="628"/>
      <c r="E12" s="415"/>
      <c r="F12" s="636"/>
      <c r="G12" s="636"/>
      <c r="H12" s="636"/>
      <c r="I12" s="621"/>
      <c r="J12" s="628"/>
      <c r="K12" s="628"/>
      <c r="L12" s="628"/>
      <c r="M12" s="621"/>
      <c r="N12" s="622"/>
      <c r="O12" s="622"/>
      <c r="P12" s="622"/>
      <c r="Q12" s="415"/>
      <c r="R12" s="609"/>
      <c r="S12" s="530" t="s">
        <v>187</v>
      </c>
      <c r="T12" s="533"/>
      <c r="AC12" s="415"/>
      <c r="AD12" s="414"/>
      <c r="AE12" s="635"/>
      <c r="AF12" s="635"/>
      <c r="AG12" s="635"/>
      <c r="AH12" s="635"/>
      <c r="AI12" s="635"/>
      <c r="AJ12" s="635"/>
      <c r="AK12" s="635"/>
      <c r="AL12" s="635"/>
      <c r="AM12" s="635"/>
      <c r="AN12" s="635"/>
      <c r="AO12" s="635"/>
      <c r="AP12" s="635"/>
      <c r="AQ12" s="635"/>
      <c r="AR12" s="414"/>
      <c r="AS12" s="438" t="s">
        <v>187</v>
      </c>
      <c r="AT12" s="439"/>
      <c r="AU12" s="475"/>
      <c r="AV12" s="475"/>
      <c r="AW12" s="475"/>
      <c r="AX12" s="475"/>
      <c r="AY12" s="475"/>
      <c r="AZ12" s="475"/>
      <c r="BA12" s="477">
        <v>500</v>
      </c>
      <c r="BB12" s="475"/>
      <c r="BC12" s="414"/>
      <c r="BD12" s="492" t="s">
        <v>187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588"/>
    </row>
    <row r="13" ht="55.5" customHeight="1" s="413" customFormat="1">
      <c r="A13" s="415"/>
      <c r="B13" s="628"/>
      <c r="C13" s="628"/>
      <c r="D13" s="628"/>
      <c r="E13" s="415"/>
      <c r="F13" s="636"/>
      <c r="G13" s="636"/>
      <c r="H13" s="636"/>
      <c r="I13" s="621"/>
      <c r="J13" s="628"/>
      <c r="K13" s="628"/>
      <c r="L13" s="628"/>
      <c r="M13" s="621"/>
      <c r="N13" s="622"/>
      <c r="O13" s="622"/>
      <c r="P13" s="622"/>
      <c r="Q13" s="415"/>
      <c r="R13" s="609"/>
      <c r="S13" s="535" t="s">
        <v>188</v>
      </c>
      <c r="T13" s="496"/>
      <c r="AC13" s="415"/>
      <c r="AD13" s="414"/>
      <c r="AE13" s="635"/>
      <c r="AF13" s="635"/>
      <c r="AG13" s="635"/>
      <c r="AH13" s="635"/>
      <c r="AI13" s="635"/>
      <c r="AJ13" s="635"/>
      <c r="AK13" s="635"/>
      <c r="AL13" s="635"/>
      <c r="AM13" s="635"/>
      <c r="AN13" s="635"/>
      <c r="AO13" s="635"/>
      <c r="AP13" s="635"/>
      <c r="AQ13" s="635"/>
      <c r="AR13" s="414"/>
      <c r="AS13" s="438" t="s">
        <v>188</v>
      </c>
      <c r="AT13" s="438"/>
      <c r="AU13" s="475"/>
      <c r="AV13" s="475"/>
      <c r="AW13" s="475"/>
      <c r="AX13" s="475"/>
      <c r="AY13" s="475"/>
      <c r="AZ13" s="475"/>
      <c r="BA13" s="475" t="s">
        <v>189</v>
      </c>
      <c r="BB13" s="475"/>
      <c r="BC13" s="414"/>
      <c r="BD13" s="492" t="s">
        <v>188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588"/>
    </row>
    <row r="14" ht="55.5" customHeight="1" s="413" customFormat="1">
      <c r="A14" s="415"/>
      <c r="B14" s="628"/>
      <c r="C14" s="628"/>
      <c r="D14" s="628"/>
      <c r="E14" s="415"/>
      <c r="F14" s="636"/>
      <c r="G14" s="636"/>
      <c r="H14" s="636"/>
      <c r="I14" s="621"/>
      <c r="J14" s="628"/>
      <c r="K14" s="628"/>
      <c r="L14" s="628"/>
      <c r="M14" s="621"/>
      <c r="N14" s="622"/>
      <c r="O14" s="622"/>
      <c r="P14" s="622"/>
      <c r="Q14" s="415"/>
      <c r="R14" s="609"/>
      <c r="S14" s="536" t="s">
        <v>190</v>
      </c>
      <c r="T14" s="534"/>
      <c r="U14" s="497" t="s">
        <v>191</v>
      </c>
      <c r="V14" s="593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4"/>
      <c r="X14" s="594"/>
      <c r="Y14" s="594"/>
      <c r="Z14" s="594"/>
      <c r="AA14" s="594"/>
      <c r="AB14" s="594"/>
      <c r="AC14" s="594"/>
      <c r="AD14" s="414"/>
      <c r="AE14" s="635"/>
      <c r="AF14" s="635"/>
      <c r="AG14" s="635"/>
      <c r="AH14" s="635"/>
      <c r="AI14" s="635"/>
      <c r="AJ14" s="635"/>
      <c r="AK14" s="635"/>
      <c r="AL14" s="635"/>
      <c r="AM14" s="635"/>
      <c r="AN14" s="635"/>
      <c r="AO14" s="635"/>
      <c r="AP14" s="635"/>
      <c r="AQ14" s="635"/>
      <c r="AR14" s="414"/>
      <c r="AS14" s="438" t="s">
        <v>190</v>
      </c>
      <c r="AT14" s="438"/>
      <c r="AU14" s="434" t="s">
        <v>191</v>
      </c>
      <c r="AV14" s="593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4"/>
      <c r="AX14" s="594"/>
      <c r="AY14" s="594"/>
      <c r="AZ14" s="594"/>
      <c r="BA14" s="594"/>
      <c r="BB14" s="594"/>
      <c r="BC14" s="414"/>
      <c r="BD14" s="492" t="s">
        <v>190</v>
      </c>
      <c r="BE14" s="492"/>
      <c r="BF14" s="497" t="s">
        <v>192</v>
      </c>
      <c r="BG14" s="593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4"/>
      <c r="BI14" s="594"/>
      <c r="BJ14" s="594"/>
      <c r="BK14" s="594"/>
      <c r="BL14" s="594"/>
      <c r="BM14" s="594"/>
      <c r="BN14" s="541"/>
    </row>
    <row r="15" ht="18.75" customHeight="1" s="413" customFormat="1">
      <c r="A15" s="415"/>
      <c r="B15" s="621"/>
      <c r="C15" s="621"/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415"/>
      <c r="R15" s="609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635"/>
      <c r="AF15" s="635"/>
      <c r="AG15" s="635"/>
      <c r="AH15" s="635"/>
      <c r="AI15" s="635"/>
      <c r="AJ15" s="635"/>
      <c r="AK15" s="635"/>
      <c r="AL15" s="635"/>
      <c r="AM15" s="635"/>
      <c r="AN15" s="635"/>
      <c r="AO15" s="635"/>
      <c r="AP15" s="635"/>
      <c r="AQ15" s="635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621"/>
      <c r="B16" s="621"/>
      <c r="C16" s="621"/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09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635"/>
      <c r="AF16" s="635"/>
      <c r="AG16" s="635"/>
      <c r="AH16" s="635"/>
      <c r="AI16" s="635"/>
      <c r="AJ16" s="635"/>
      <c r="AK16" s="635"/>
      <c r="AL16" s="635"/>
      <c r="AM16" s="635"/>
      <c r="AN16" s="635"/>
      <c r="AO16" s="635"/>
      <c r="AP16" s="635"/>
      <c r="AQ16" s="635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621"/>
      <c r="B17" s="621"/>
      <c r="C17" s="621"/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09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621"/>
      <c r="B18" s="621"/>
      <c r="C18" s="621"/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09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621"/>
      <c r="B19" s="621"/>
      <c r="C19" s="621"/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09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621"/>
      <c r="B20" s="621"/>
      <c r="C20" s="621"/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09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620" t="s">
        <v>193</v>
      </c>
      <c r="B21" s="620"/>
      <c r="C21" s="620"/>
      <c r="D21" s="620"/>
      <c r="E21" s="620"/>
      <c r="F21" s="620"/>
      <c r="G21" s="620"/>
      <c r="H21" s="620"/>
      <c r="I21" s="620"/>
      <c r="J21" s="620"/>
      <c r="K21" s="620"/>
      <c r="L21" s="620"/>
      <c r="M21" s="620"/>
      <c r="N21" s="620"/>
      <c r="O21" s="620"/>
      <c r="P21" s="620"/>
      <c r="Q21" s="620"/>
      <c r="R21" s="609"/>
      <c r="S21" s="607" t="s">
        <v>194</v>
      </c>
      <c r="T21" s="608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195</v>
      </c>
      <c r="AT21" s="416"/>
      <c r="AU21" s="479"/>
      <c r="AW21" s="485"/>
      <c r="BC21" s="414"/>
      <c r="BD21" s="416" t="s">
        <v>196</v>
      </c>
      <c r="BE21" s="416"/>
      <c r="BF21" s="479"/>
      <c r="BH21" s="485"/>
      <c r="BN21" s="415"/>
    </row>
    <row r="22" ht="39.75" customHeight="1" s="413" customFormat="1">
      <c r="A22" s="620"/>
      <c r="B22" s="620"/>
      <c r="C22" s="620"/>
      <c r="D22" s="620"/>
      <c r="E22" s="620"/>
      <c r="F22" s="620"/>
      <c r="G22" s="620"/>
      <c r="H22" s="620"/>
      <c r="I22" s="620"/>
      <c r="J22" s="620"/>
      <c r="K22" s="620"/>
      <c r="L22" s="620"/>
      <c r="M22" s="620"/>
      <c r="N22" s="620"/>
      <c r="O22" s="620"/>
      <c r="P22" s="620"/>
      <c r="Q22" s="620"/>
      <c r="R22" s="609"/>
      <c r="S22" s="442" t="s">
        <v>163</v>
      </c>
      <c r="T22" s="443">
        <f>Royal2!G85</f>
        <v>512837.44486905087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627" t="s">
        <v>163</v>
      </c>
      <c r="AF22" s="627"/>
      <c r="AG22" s="589">
        <f>'شماسي و كانتليفر'!AE12</f>
        <v>23292.75</v>
      </c>
      <c r="AH22" s="589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319082.4</v>
      </c>
      <c r="AU22" s="480"/>
      <c r="BC22" s="414"/>
      <c r="BD22" s="472" t="s">
        <v>163</v>
      </c>
      <c r="BE22" s="473">
        <f>'بيرسا و لوفرز'!R140</f>
        <v>335988.9</v>
      </c>
      <c r="BF22" s="480"/>
      <c r="BN22" s="415"/>
    </row>
    <row r="23" ht="39.75" customHeight="1" s="413" customFormat="1">
      <c r="A23" s="620"/>
      <c r="B23" s="620"/>
      <c r="C23" s="620"/>
      <c r="D23" s="620"/>
      <c r="E23" s="620"/>
      <c r="F23" s="620"/>
      <c r="G23" s="620"/>
      <c r="H23" s="620"/>
      <c r="I23" s="620"/>
      <c r="J23" s="620"/>
      <c r="K23" s="620"/>
      <c r="L23" s="620"/>
      <c r="M23" s="620"/>
      <c r="N23" s="620"/>
      <c r="O23" s="620"/>
      <c r="P23" s="620"/>
      <c r="Q23" s="620"/>
      <c r="R23" s="609"/>
      <c r="S23" s="444" t="s">
        <v>127</v>
      </c>
      <c r="T23" s="443">
        <f>T22/(AA33*X31)*10000</f>
        <v>5342.0567173859472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627"/>
      <c r="AF23" s="627"/>
      <c r="AG23" s="589"/>
      <c r="AH23" s="589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15954.12</v>
      </c>
      <c r="AU23" s="480"/>
      <c r="AV23" s="481"/>
      <c r="BC23" s="414"/>
      <c r="BD23" s="472" t="s">
        <v>127</v>
      </c>
      <c r="BE23" s="474">
        <f>BE22/(BE33*BE34/10000)</f>
        <v>16799.445</v>
      </c>
      <c r="BF23" s="480"/>
      <c r="BG23" s="481"/>
      <c r="BN23" s="415"/>
    </row>
    <row r="24" ht="39.75" customHeight="1" s="413" customFormat="1">
      <c r="A24" s="620"/>
      <c r="B24" s="620"/>
      <c r="C24" s="620"/>
      <c r="D24" s="620"/>
      <c r="E24" s="620"/>
      <c r="F24" s="620"/>
      <c r="G24" s="620"/>
      <c r="H24" s="620"/>
      <c r="I24" s="620"/>
      <c r="J24" s="620"/>
      <c r="K24" s="620"/>
      <c r="L24" s="620"/>
      <c r="M24" s="620"/>
      <c r="N24" s="620"/>
      <c r="O24" s="620"/>
      <c r="P24" s="620"/>
      <c r="Q24" s="620"/>
      <c r="R24" s="609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38</v>
      </c>
      <c r="BC24" s="414"/>
      <c r="BD24" s="426" t="s">
        <v>164</v>
      </c>
      <c r="BE24" s="424" t="s">
        <v>38</v>
      </c>
      <c r="BN24" s="415"/>
    </row>
    <row r="25" ht="39.75" customHeight="1">
      <c r="A25" s="620"/>
      <c r="B25" s="620"/>
      <c r="C25" s="620"/>
      <c r="D25" s="620"/>
      <c r="E25" s="620"/>
      <c r="F25" s="620"/>
      <c r="G25" s="620"/>
      <c r="H25" s="620"/>
      <c r="I25" s="620"/>
      <c r="J25" s="620"/>
      <c r="K25" s="620"/>
      <c r="L25" s="620"/>
      <c r="M25" s="620"/>
      <c r="N25" s="620"/>
      <c r="O25" s="620"/>
      <c r="P25" s="620"/>
      <c r="Q25" s="620"/>
      <c r="R25" s="609"/>
      <c r="S25" s="445" t="s">
        <v>165</v>
      </c>
      <c r="T25" s="446" t="s">
        <v>166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197</v>
      </c>
      <c r="AW25" s="493">
        <f>AT34</f>
        <v>400</v>
      </c>
      <c r="BD25" s="426" t="s">
        <v>165</v>
      </c>
      <c r="BE25" s="427" t="s">
        <v>197</v>
      </c>
      <c r="BH25" s="493">
        <f>BE34</f>
        <v>400</v>
      </c>
      <c r="BN25" s="415"/>
    </row>
    <row r="26" ht="39.75" customHeight="1">
      <c r="A26" s="620"/>
      <c r="B26" s="620"/>
      <c r="C26" s="620"/>
      <c r="D26" s="620"/>
      <c r="E26" s="620"/>
      <c r="F26" s="620"/>
      <c r="G26" s="620"/>
      <c r="H26" s="620"/>
      <c r="I26" s="620"/>
      <c r="J26" s="620"/>
      <c r="K26" s="620"/>
      <c r="L26" s="620"/>
      <c r="M26" s="620"/>
      <c r="N26" s="620"/>
      <c r="O26" s="620"/>
      <c r="P26" s="620"/>
      <c r="Q26" s="620"/>
      <c r="R26" s="609"/>
      <c r="S26" s="440" t="s">
        <v>167</v>
      </c>
      <c r="T26" s="447" t="s">
        <v>168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611" t="s">
        <v>169</v>
      </c>
      <c r="AH26" s="615" t="s">
        <v>198</v>
      </c>
      <c r="AI26" s="611" t="s">
        <v>172</v>
      </c>
      <c r="AJ26" s="611" t="s">
        <v>173</v>
      </c>
      <c r="AK26" s="611" t="s">
        <v>174</v>
      </c>
      <c r="AL26" s="625" t="s">
        <v>175</v>
      </c>
      <c r="AM26" s="625"/>
      <c r="AN26" s="415"/>
      <c r="AO26" s="415"/>
      <c r="AP26" s="415"/>
      <c r="AQ26" s="415"/>
      <c r="AR26" s="414"/>
      <c r="AS26" s="428" t="s">
        <v>167</v>
      </c>
      <c r="AT26" s="429" t="s">
        <v>176</v>
      </c>
      <c r="BD26" s="428" t="s">
        <v>167</v>
      </c>
      <c r="BE26" s="429" t="s">
        <v>176</v>
      </c>
      <c r="BN26" s="415"/>
    </row>
    <row r="27" ht="39.75" customHeight="1">
      <c r="A27" s="620"/>
      <c r="B27" s="620"/>
      <c r="C27" s="620"/>
      <c r="D27" s="620"/>
      <c r="E27" s="620"/>
      <c r="F27" s="620"/>
      <c r="G27" s="620"/>
      <c r="H27" s="620"/>
      <c r="I27" s="620"/>
      <c r="J27" s="620"/>
      <c r="K27" s="620"/>
      <c r="L27" s="620"/>
      <c r="M27" s="620"/>
      <c r="N27" s="620"/>
      <c r="O27" s="620"/>
      <c r="P27" s="620"/>
      <c r="Q27" s="620"/>
      <c r="R27" s="609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612"/>
      <c r="AH27" s="616"/>
      <c r="AI27" s="612"/>
      <c r="AJ27" s="612"/>
      <c r="AK27" s="612"/>
      <c r="AL27" s="626"/>
      <c r="AM27" s="626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620"/>
      <c r="B28" s="620"/>
      <c r="C28" s="620"/>
      <c r="D28" s="620"/>
      <c r="E28" s="620"/>
      <c r="F28" s="620"/>
      <c r="G28" s="620"/>
      <c r="H28" s="620"/>
      <c r="I28" s="620"/>
      <c r="J28" s="620"/>
      <c r="K28" s="620"/>
      <c r="L28" s="620"/>
      <c r="M28" s="620"/>
      <c r="N28" s="620"/>
      <c r="O28" s="620"/>
      <c r="P28" s="620"/>
      <c r="Q28" s="620"/>
      <c r="R28" s="609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613" t="s">
        <v>178</v>
      </c>
      <c r="AH28" s="613" t="s">
        <v>199</v>
      </c>
      <c r="AI28" s="613" t="s">
        <v>168</v>
      </c>
      <c r="AJ28" s="613" t="s">
        <v>200</v>
      </c>
      <c r="AK28" s="613" t="s">
        <v>181</v>
      </c>
      <c r="AL28" s="623"/>
      <c r="AM28" s="623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620"/>
      <c r="B29" s="620"/>
      <c r="C29" s="620"/>
      <c r="D29" s="620"/>
      <c r="E29" s="620"/>
      <c r="F29" s="620"/>
      <c r="G29" s="620"/>
      <c r="H29" s="620"/>
      <c r="I29" s="620"/>
      <c r="J29" s="620"/>
      <c r="K29" s="620"/>
      <c r="L29" s="620"/>
      <c r="M29" s="620"/>
      <c r="N29" s="620"/>
      <c r="O29" s="620"/>
      <c r="P29" s="620"/>
      <c r="Q29" s="620"/>
      <c r="R29" s="609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614"/>
      <c r="AH29" s="614"/>
      <c r="AI29" s="614"/>
      <c r="AJ29" s="614"/>
      <c r="AK29" s="614"/>
      <c r="AL29" s="624"/>
      <c r="AM29" s="624"/>
      <c r="AN29" s="415"/>
      <c r="AO29" s="415"/>
      <c r="AP29" s="415"/>
      <c r="AQ29" s="415"/>
      <c r="AR29" s="414"/>
      <c r="AS29" s="423" t="s">
        <v>182</v>
      </c>
      <c r="AT29" s="483" t="s">
        <v>183</v>
      </c>
      <c r="BD29" s="423" t="s">
        <v>182</v>
      </c>
      <c r="BE29" s="483" t="s">
        <v>183</v>
      </c>
      <c r="BN29" s="415"/>
    </row>
    <row r="30" ht="39.75" customHeight="1">
      <c r="A30" s="620"/>
      <c r="B30" s="620"/>
      <c r="C30" s="620"/>
      <c r="D30" s="620"/>
      <c r="E30" s="620"/>
      <c r="F30" s="620"/>
      <c r="G30" s="620"/>
      <c r="H30" s="620"/>
      <c r="I30" s="620"/>
      <c r="J30" s="620"/>
      <c r="K30" s="620"/>
      <c r="L30" s="620"/>
      <c r="M30" s="620"/>
      <c r="N30" s="620"/>
      <c r="O30" s="620"/>
      <c r="P30" s="620"/>
      <c r="Q30" s="620"/>
      <c r="R30" s="609"/>
      <c r="S30" s="440" t="s">
        <v>201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184</v>
      </c>
      <c r="AT30" s="483" t="s">
        <v>185</v>
      </c>
      <c r="AV30" s="484"/>
      <c r="AW30" s="485"/>
      <c r="AX30" s="485"/>
      <c r="AY30" s="485"/>
      <c r="AZ30" s="485"/>
      <c r="BD30" s="423" t="s">
        <v>184</v>
      </c>
      <c r="BE30" s="483" t="s">
        <v>185</v>
      </c>
      <c r="BG30" s="484"/>
      <c r="BH30" s="485"/>
      <c r="BI30" s="485"/>
      <c r="BJ30" s="485"/>
      <c r="BK30" s="485"/>
      <c r="BN30" s="415"/>
    </row>
    <row r="31" ht="39.75" customHeight="1">
      <c r="A31" s="620"/>
      <c r="B31" s="620"/>
      <c r="C31" s="620"/>
      <c r="D31" s="620"/>
      <c r="E31" s="620"/>
      <c r="F31" s="620"/>
      <c r="G31" s="620"/>
      <c r="H31" s="620"/>
      <c r="I31" s="620"/>
      <c r="J31" s="620"/>
      <c r="K31" s="620"/>
      <c r="L31" s="620"/>
      <c r="M31" s="620"/>
      <c r="N31" s="620"/>
      <c r="O31" s="620"/>
      <c r="P31" s="620"/>
      <c r="Q31" s="620"/>
      <c r="R31" s="609"/>
      <c r="S31" s="440" t="s">
        <v>202</v>
      </c>
      <c r="T31" s="450"/>
      <c r="U31" s="451" t="s">
        <v>185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637" t="s">
        <v>203</v>
      </c>
      <c r="AF31" s="637"/>
      <c r="AG31" s="637"/>
      <c r="AH31" s="637"/>
      <c r="AI31" s="637"/>
      <c r="AJ31" s="637"/>
      <c r="AK31" s="637"/>
      <c r="AL31" s="637"/>
      <c r="AM31" s="637"/>
      <c r="AN31" s="637"/>
      <c r="AO31" s="637"/>
      <c r="AP31" s="637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620"/>
      <c r="B32" s="620"/>
      <c r="C32" s="620"/>
      <c r="D32" s="620"/>
      <c r="E32" s="620"/>
      <c r="F32" s="620"/>
      <c r="G32" s="620"/>
      <c r="H32" s="620"/>
      <c r="I32" s="620"/>
      <c r="J32" s="620"/>
      <c r="K32" s="620"/>
      <c r="L32" s="620"/>
      <c r="M32" s="620"/>
      <c r="N32" s="620"/>
      <c r="O32" s="620"/>
      <c r="P32" s="620"/>
      <c r="Q32" s="620"/>
      <c r="R32" s="609"/>
      <c r="S32" s="440" t="s">
        <v>187</v>
      </c>
      <c r="T32" s="453" t="s">
        <v>192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187</v>
      </c>
      <c r="AT32" s="434" t="s">
        <v>192</v>
      </c>
      <c r="BA32" s="484"/>
      <c r="BD32" s="438" t="s">
        <v>187</v>
      </c>
      <c r="BE32" s="434" t="s">
        <v>192</v>
      </c>
      <c r="BL32" s="484"/>
      <c r="BN32" s="415"/>
    </row>
    <row r="33" ht="39.75" customHeight="1">
      <c r="A33" s="620"/>
      <c r="B33" s="620"/>
      <c r="C33" s="620"/>
      <c r="D33" s="620"/>
      <c r="E33" s="620"/>
      <c r="F33" s="620"/>
      <c r="G33" s="620"/>
      <c r="H33" s="620"/>
      <c r="I33" s="620"/>
      <c r="J33" s="620"/>
      <c r="K33" s="620"/>
      <c r="L33" s="620"/>
      <c r="M33" s="620"/>
      <c r="N33" s="620"/>
      <c r="O33" s="620"/>
      <c r="P33" s="620"/>
      <c r="Q33" s="620"/>
      <c r="R33" s="609"/>
      <c r="S33" s="440" t="s">
        <v>188</v>
      </c>
      <c r="T33" s="455"/>
      <c r="U33" s="454"/>
      <c r="V33" s="638"/>
      <c r="W33" s="638"/>
      <c r="X33" s="456"/>
      <c r="Y33" s="454"/>
      <c r="Z33" s="454"/>
      <c r="AA33" s="453">
        <v>1200</v>
      </c>
      <c r="AB33" s="454"/>
      <c r="AC33" s="454"/>
      <c r="AD33" s="414"/>
      <c r="AE33" s="622"/>
      <c r="AF33" s="622"/>
      <c r="AG33" s="622"/>
      <c r="AH33" s="622"/>
      <c r="AI33" s="622"/>
      <c r="AJ33" s="622"/>
      <c r="AK33" s="622"/>
      <c r="AL33" s="622"/>
      <c r="AM33" s="622"/>
      <c r="AN33" s="622"/>
      <c r="AO33" s="622"/>
      <c r="AP33" s="622"/>
      <c r="AQ33" s="622"/>
      <c r="AR33" s="414"/>
      <c r="AS33" s="438" t="s">
        <v>188</v>
      </c>
      <c r="AT33" s="438">
        <v>500</v>
      </c>
      <c r="BA33" s="0" t="s">
        <v>189</v>
      </c>
      <c r="BD33" s="438" t="s">
        <v>188</v>
      </c>
      <c r="BE33" s="438">
        <v>500</v>
      </c>
      <c r="BL33" s="0" t="s">
        <v>189</v>
      </c>
      <c r="BN33" s="415"/>
    </row>
    <row r="34" ht="40.5" customHeight="1">
      <c r="A34" s="620"/>
      <c r="B34" s="620"/>
      <c r="C34" s="620"/>
      <c r="D34" s="620"/>
      <c r="E34" s="620"/>
      <c r="F34" s="620"/>
      <c r="G34" s="620"/>
      <c r="H34" s="620"/>
      <c r="I34" s="620"/>
      <c r="J34" s="620"/>
      <c r="K34" s="620"/>
      <c r="L34" s="620"/>
      <c r="M34" s="620"/>
      <c r="N34" s="620"/>
      <c r="O34" s="620"/>
      <c r="P34" s="620"/>
      <c r="Q34" s="620"/>
      <c r="R34" s="609"/>
      <c r="S34" s="440" t="s">
        <v>190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622"/>
      <c r="AF34" s="622"/>
      <c r="AG34" s="622"/>
      <c r="AH34" s="622"/>
      <c r="AI34" s="622"/>
      <c r="AJ34" s="622"/>
      <c r="AK34" s="622"/>
      <c r="AL34" s="622"/>
      <c r="AM34" s="622"/>
      <c r="AN34" s="622"/>
      <c r="AO34" s="622"/>
      <c r="AP34" s="622"/>
      <c r="AQ34" s="622"/>
      <c r="AR34" s="414"/>
      <c r="AS34" s="438" t="s">
        <v>190</v>
      </c>
      <c r="AT34" s="438">
        <v>400</v>
      </c>
      <c r="AU34" s="486"/>
      <c r="AZ34" s="599"/>
      <c r="BA34" s="599"/>
      <c r="BB34" s="599"/>
      <c r="BD34" s="438" t="s">
        <v>190</v>
      </c>
      <c r="BE34" s="438">
        <v>400</v>
      </c>
      <c r="BF34" s="486"/>
      <c r="BK34" s="599"/>
      <c r="BL34" s="599"/>
      <c r="BM34" s="599"/>
      <c r="BN34" s="415"/>
    </row>
    <row r="35" ht="41.25" customHeight="1">
      <c r="A35" s="620"/>
      <c r="B35" s="620"/>
      <c r="C35" s="620"/>
      <c r="D35" s="620"/>
      <c r="E35" s="620"/>
      <c r="F35" s="620"/>
      <c r="G35" s="620"/>
      <c r="H35" s="620"/>
      <c r="I35" s="620"/>
      <c r="J35" s="620"/>
      <c r="K35" s="620"/>
      <c r="L35" s="620"/>
      <c r="M35" s="620"/>
      <c r="N35" s="620"/>
      <c r="O35" s="620"/>
      <c r="P35" s="620"/>
      <c r="Q35" s="620"/>
      <c r="R35" s="609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622"/>
      <c r="AF35" s="622"/>
      <c r="AG35" s="622"/>
      <c r="AH35" s="622"/>
      <c r="AI35" s="622"/>
      <c r="AJ35" s="622"/>
      <c r="AK35" s="622"/>
      <c r="AL35" s="622"/>
      <c r="AM35" s="622"/>
      <c r="AN35" s="622"/>
      <c r="AO35" s="622"/>
      <c r="AP35" s="622"/>
      <c r="AQ35" s="622"/>
      <c r="AR35" s="414"/>
      <c r="AS35" s="415"/>
      <c r="AT35" s="415"/>
      <c r="BD35" s="415"/>
      <c r="BE35" s="415"/>
      <c r="BN35" s="415"/>
    </row>
    <row r="36" ht="41.25" customHeight="1">
      <c r="A36" s="620"/>
      <c r="B36" s="620"/>
      <c r="C36" s="620"/>
      <c r="D36" s="620"/>
      <c r="E36" s="620"/>
      <c r="F36" s="620"/>
      <c r="G36" s="620"/>
      <c r="H36" s="620"/>
      <c r="I36" s="620"/>
      <c r="J36" s="620"/>
      <c r="K36" s="620"/>
      <c r="L36" s="620"/>
      <c r="M36" s="620"/>
      <c r="N36" s="620"/>
      <c r="O36" s="620"/>
      <c r="P36" s="620"/>
      <c r="Q36" s="620"/>
      <c r="R36" s="609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204</v>
      </c>
      <c r="AD36" s="414"/>
      <c r="AE36" s="622"/>
      <c r="AF36" s="622"/>
      <c r="AG36" s="622"/>
      <c r="AH36" s="622"/>
      <c r="AI36" s="622"/>
      <c r="AJ36" s="622"/>
      <c r="AK36" s="622"/>
      <c r="AL36" s="622"/>
      <c r="AM36" s="622"/>
      <c r="AN36" s="622"/>
      <c r="AO36" s="622"/>
      <c r="AP36" s="622"/>
      <c r="AQ36" s="622"/>
      <c r="AR36" s="414"/>
      <c r="AS36" s="415"/>
      <c r="AT36" s="415"/>
      <c r="BA36" s="493">
        <f>AT33</f>
        <v>500</v>
      </c>
      <c r="BD36" s="415"/>
      <c r="BE36" s="415"/>
      <c r="BN36" s="415"/>
    </row>
    <row r="37" ht="41.25" customHeight="1">
      <c r="A37" s="620"/>
      <c r="B37" s="620"/>
      <c r="C37" s="620"/>
      <c r="D37" s="620"/>
      <c r="E37" s="620"/>
      <c r="F37" s="620"/>
      <c r="G37" s="620"/>
      <c r="H37" s="620"/>
      <c r="I37" s="620"/>
      <c r="J37" s="620"/>
      <c r="K37" s="620"/>
      <c r="L37" s="620"/>
      <c r="M37" s="620"/>
      <c r="N37" s="620"/>
      <c r="O37" s="620"/>
      <c r="P37" s="620"/>
      <c r="Q37" s="620"/>
      <c r="R37" s="609"/>
      <c r="S37" s="415"/>
      <c r="T37" s="415"/>
      <c r="U37" s="632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2"/>
      <c r="W37" s="632"/>
      <c r="X37" s="632"/>
      <c r="Y37" s="632"/>
      <c r="Z37" s="632"/>
      <c r="AA37" s="632"/>
      <c r="AB37" s="632"/>
      <c r="AC37" s="632"/>
      <c r="AD37" s="414"/>
      <c r="AE37" s="622"/>
      <c r="AF37" s="622"/>
      <c r="AG37" s="622"/>
      <c r="AH37" s="622"/>
      <c r="AI37" s="622"/>
      <c r="AJ37" s="622"/>
      <c r="AK37" s="622"/>
      <c r="AL37" s="622"/>
      <c r="AM37" s="622"/>
      <c r="AN37" s="622"/>
      <c r="AO37" s="622"/>
      <c r="AP37" s="622"/>
      <c r="AQ37" s="622"/>
      <c r="AR37" s="414"/>
      <c r="AS37" s="602">
        <f>('بيرسا و لوفرز'!F24+'بيرسا و لوفرز'!V55+'بيرسا و لوفرز'!V63)*1.35</f>
        <v>216985.5</v>
      </c>
      <c r="AT37" s="603"/>
      <c r="BD37" s="602">
        <f>('بيرسا و لوفرز'!F97+'بيرسا و لوفرز'!V126+'بيرسا و لوفرز'!V134)*1.35</f>
        <v>216985.5</v>
      </c>
      <c r="BE37" s="603"/>
      <c r="BN37" s="415"/>
    </row>
    <row r="38" ht="41.25" customHeight="1">
      <c r="A38" s="621"/>
      <c r="B38" s="621"/>
      <c r="C38" s="621"/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09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622"/>
      <c r="AF38" s="622"/>
      <c r="AG38" s="622"/>
      <c r="AH38" s="622"/>
      <c r="AI38" s="622"/>
      <c r="AJ38" s="622"/>
      <c r="AK38" s="622"/>
      <c r="AL38" s="622"/>
      <c r="AM38" s="622"/>
      <c r="AN38" s="622"/>
      <c r="AO38" s="622"/>
      <c r="AP38" s="622"/>
      <c r="AQ38" s="622"/>
      <c r="AR38" s="414"/>
      <c r="AS38" s="602">
        <f>AS37/(AT34*AT33/10000)</f>
        <v>10849.275</v>
      </c>
      <c r="AT38" s="603"/>
      <c r="BD38" s="602">
        <f>BD37/(BE33*BE34/10000)</f>
        <v>10849.275</v>
      </c>
      <c r="BE38" s="603"/>
      <c r="BK38" s="493">
        <f>BE33</f>
        <v>500</v>
      </c>
      <c r="BN38" s="415"/>
    </row>
    <row r="39" ht="41.25" customHeight="1">
      <c r="A39" s="621"/>
      <c r="B39" s="621"/>
      <c r="C39" s="621"/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09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  <c r="AC39" s="621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621"/>
      <c r="B40" s="621"/>
      <c r="C40" s="621"/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09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  <c r="AC40" s="621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621"/>
      <c r="B41" s="621"/>
      <c r="C41" s="621"/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09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  <c r="AC41" s="621"/>
      <c r="AD41" s="414"/>
      <c r="AE41" s="618" t="s">
        <v>205</v>
      </c>
      <c r="AF41" s="618"/>
      <c r="AG41" s="618"/>
      <c r="AH41" s="618"/>
      <c r="AI41" s="618"/>
      <c r="AJ41" s="618"/>
      <c r="AK41" s="618"/>
      <c r="AL41" s="618"/>
      <c r="AM41" s="618"/>
      <c r="AN41" s="618"/>
      <c r="AO41" s="618"/>
      <c r="AP41" s="618"/>
      <c r="AQ41" s="618"/>
      <c r="AR41" s="414"/>
      <c r="AS41" s="604" t="s">
        <v>206</v>
      </c>
      <c r="AT41" s="604"/>
      <c r="AU41" s="604"/>
      <c r="AW41" s="485"/>
      <c r="BD41" s="416" t="s">
        <v>207</v>
      </c>
      <c r="BE41" s="416"/>
      <c r="BF41" s="416"/>
      <c r="BH41" s="485"/>
      <c r="BN41" s="415"/>
    </row>
    <row r="42" ht="42" customHeight="1">
      <c r="A42" s="621"/>
      <c r="B42" s="621"/>
      <c r="C42" s="621"/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09"/>
      <c r="S42" s="607" t="s">
        <v>208</v>
      </c>
      <c r="T42" s="608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618"/>
      <c r="AF42" s="618"/>
      <c r="AG42" s="618"/>
      <c r="AH42" s="618"/>
      <c r="AI42" s="618"/>
      <c r="AJ42" s="618"/>
      <c r="AK42" s="618"/>
      <c r="AL42" s="618"/>
      <c r="AM42" s="618"/>
      <c r="AN42" s="618"/>
      <c r="AO42" s="618"/>
      <c r="AP42" s="618"/>
      <c r="AQ42" s="618"/>
      <c r="AR42" s="414"/>
      <c r="AS42" s="472" t="s">
        <v>163</v>
      </c>
      <c r="AT42" s="473">
        <f>'بيرسا و لوفرز'!BM68</f>
        <v>223242.045</v>
      </c>
      <c r="AU42" s="480"/>
      <c r="BD42" s="472" t="s">
        <v>163</v>
      </c>
      <c r="BE42" s="473">
        <f>'بيرسا و لوفرز'!BM139</f>
        <v>232790.545</v>
      </c>
      <c r="BF42" s="480"/>
      <c r="BN42" s="415"/>
    </row>
    <row r="43" ht="42" customHeight="1">
      <c r="A43" s="620" t="s">
        <v>209</v>
      </c>
      <c r="B43" s="620"/>
      <c r="C43" s="620"/>
      <c r="D43" s="620"/>
      <c r="E43" s="620"/>
      <c r="F43" s="620"/>
      <c r="G43" s="620"/>
      <c r="H43" s="620"/>
      <c r="I43" s="620"/>
      <c r="J43" s="620"/>
      <c r="K43" s="620"/>
      <c r="L43" s="620"/>
      <c r="M43" s="620"/>
      <c r="N43" s="620"/>
      <c r="O43" s="620"/>
      <c r="P43" s="620"/>
      <c r="Q43" s="620"/>
      <c r="R43" s="609"/>
      <c r="S43" s="442" t="s">
        <v>163</v>
      </c>
      <c r="T43" s="443">
        <f>'شماسي و كانتليفر'!N51</f>
        <v>64717.9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618"/>
      <c r="AF43" s="618"/>
      <c r="AG43" s="618"/>
      <c r="AH43" s="618"/>
      <c r="AI43" s="618"/>
      <c r="AJ43" s="618"/>
      <c r="AK43" s="618"/>
      <c r="AL43" s="618"/>
      <c r="AM43" s="618"/>
      <c r="AN43" s="618"/>
      <c r="AO43" s="618"/>
      <c r="AP43" s="618"/>
      <c r="AQ43" s="618"/>
      <c r="AR43" s="414"/>
      <c r="AS43" s="472" t="s">
        <v>127</v>
      </c>
      <c r="AT43" s="474">
        <f>AT42/(AT53*AT54/10000)</f>
        <v>13952.6278125</v>
      </c>
      <c r="AU43" s="480"/>
      <c r="AV43" s="481"/>
      <c r="BD43" s="472" t="s">
        <v>127</v>
      </c>
      <c r="BE43" s="474">
        <f>BE42/(BE53*BE54/10000)</f>
        <v>14549.4090625</v>
      </c>
      <c r="BF43" s="480"/>
      <c r="BG43" s="481"/>
      <c r="BN43" s="415"/>
    </row>
    <row r="44" ht="42" customHeight="1">
      <c r="A44" s="620"/>
      <c r="B44" s="620"/>
      <c r="C44" s="620"/>
      <c r="D44" s="620"/>
      <c r="E44" s="620"/>
      <c r="F44" s="620"/>
      <c r="G44" s="620"/>
      <c r="H44" s="620"/>
      <c r="I44" s="620"/>
      <c r="J44" s="620"/>
      <c r="K44" s="620"/>
      <c r="L44" s="620"/>
      <c r="M44" s="620"/>
      <c r="N44" s="620"/>
      <c r="O44" s="620"/>
      <c r="P44" s="620"/>
      <c r="Q44" s="620"/>
      <c r="R44" s="609"/>
      <c r="S44" s="444" t="s">
        <v>127</v>
      </c>
      <c r="T44" s="443">
        <f>T43/T51</f>
        <v>2588.716</v>
      </c>
      <c r="U44" s="458"/>
      <c r="V44" s="458"/>
      <c r="W44" s="458"/>
      <c r="X44" s="458"/>
      <c r="Y44" s="619"/>
      <c r="Z44" s="619"/>
      <c r="AA44" s="458"/>
      <c r="AB44" s="458"/>
      <c r="AC44" s="458"/>
      <c r="AD44" s="414"/>
      <c r="AE44" s="618"/>
      <c r="AF44" s="618"/>
      <c r="AG44" s="618"/>
      <c r="AH44" s="618"/>
      <c r="AI44" s="618"/>
      <c r="AJ44" s="618"/>
      <c r="AK44" s="618"/>
      <c r="AL44" s="618"/>
      <c r="AM44" s="618"/>
      <c r="AN44" s="618"/>
      <c r="AO44" s="618"/>
      <c r="AP44" s="618"/>
      <c r="AQ44" s="618"/>
      <c r="AR44" s="414"/>
      <c r="AS44" s="426" t="s">
        <v>164</v>
      </c>
      <c r="AT44" s="424" t="s">
        <v>38</v>
      </c>
      <c r="BD44" s="426" t="s">
        <v>164</v>
      </c>
      <c r="BE44" s="424" t="s">
        <v>38</v>
      </c>
      <c r="BN44" s="415"/>
    </row>
    <row r="45" ht="42" customHeight="1">
      <c r="A45" s="620"/>
      <c r="B45" s="620"/>
      <c r="C45" s="620"/>
      <c r="D45" s="620"/>
      <c r="E45" s="620"/>
      <c r="F45" s="620"/>
      <c r="G45" s="620"/>
      <c r="H45" s="620"/>
      <c r="I45" s="620"/>
      <c r="J45" s="620"/>
      <c r="K45" s="620"/>
      <c r="L45" s="620"/>
      <c r="M45" s="620"/>
      <c r="N45" s="620"/>
      <c r="O45" s="620"/>
      <c r="P45" s="620"/>
      <c r="Q45" s="620"/>
      <c r="R45" s="609"/>
      <c r="S45" s="440" t="s">
        <v>164</v>
      </c>
      <c r="T45" s="441" t="s">
        <v>21</v>
      </c>
      <c r="U45" s="458"/>
      <c r="V45" s="458"/>
      <c r="W45" s="458"/>
      <c r="X45" s="458"/>
      <c r="Y45" s="619"/>
      <c r="Z45" s="619"/>
      <c r="AA45" s="458"/>
      <c r="AB45" s="458"/>
      <c r="AC45" s="458"/>
      <c r="AD45" s="414"/>
      <c r="AE45" s="618"/>
      <c r="AF45" s="618"/>
      <c r="AG45" s="618"/>
      <c r="AH45" s="618"/>
      <c r="AI45" s="618"/>
      <c r="AJ45" s="618"/>
      <c r="AK45" s="618"/>
      <c r="AL45" s="618"/>
      <c r="AM45" s="618"/>
      <c r="AN45" s="618"/>
      <c r="AO45" s="618"/>
      <c r="AP45" s="618"/>
      <c r="AQ45" s="618"/>
      <c r="AR45" s="414"/>
      <c r="AS45" s="426" t="s">
        <v>165</v>
      </c>
      <c r="AT45" s="427" t="s">
        <v>166</v>
      </c>
      <c r="AZ45" s="493">
        <f>AT53</f>
        <v>400</v>
      </c>
      <c r="BD45" s="426" t="s">
        <v>165</v>
      </c>
      <c r="BE45" s="427" t="s">
        <v>166</v>
      </c>
      <c r="BN45" s="415"/>
    </row>
    <row r="46" ht="42" customHeight="1">
      <c r="A46" s="620"/>
      <c r="B46" s="620"/>
      <c r="C46" s="620"/>
      <c r="D46" s="620"/>
      <c r="E46" s="620"/>
      <c r="F46" s="620"/>
      <c r="G46" s="620"/>
      <c r="H46" s="620"/>
      <c r="I46" s="620"/>
      <c r="J46" s="620"/>
      <c r="K46" s="620"/>
      <c r="L46" s="620"/>
      <c r="M46" s="620"/>
      <c r="N46" s="620"/>
      <c r="O46" s="620"/>
      <c r="P46" s="620"/>
      <c r="Q46" s="620"/>
      <c r="R46" s="609"/>
      <c r="S46" s="445" t="s">
        <v>165</v>
      </c>
      <c r="T46" s="446" t="s">
        <v>197</v>
      </c>
      <c r="U46" s="458"/>
      <c r="V46" s="458"/>
      <c r="W46" s="458"/>
      <c r="X46" s="458"/>
      <c r="Y46" s="619"/>
      <c r="Z46" s="619"/>
      <c r="AA46" s="458"/>
      <c r="AB46" s="458"/>
      <c r="AC46" s="458"/>
      <c r="AD46" s="414"/>
      <c r="AE46" s="618"/>
      <c r="AF46" s="618"/>
      <c r="AG46" s="618"/>
      <c r="AH46" s="618"/>
      <c r="AI46" s="618"/>
      <c r="AJ46" s="618"/>
      <c r="AK46" s="618"/>
      <c r="AL46" s="618"/>
      <c r="AM46" s="618"/>
      <c r="AN46" s="618"/>
      <c r="AO46" s="618"/>
      <c r="AP46" s="618"/>
      <c r="AQ46" s="618"/>
      <c r="AR46" s="414"/>
      <c r="AS46" s="428" t="s">
        <v>167</v>
      </c>
      <c r="AT46" s="429" t="s">
        <v>176</v>
      </c>
      <c r="AX46" s="493">
        <f>AT54</f>
        <v>400</v>
      </c>
      <c r="BD46" s="428" t="s">
        <v>167</v>
      </c>
      <c r="BE46" s="429" t="s">
        <v>176</v>
      </c>
      <c r="BI46" s="493">
        <f>BE54</f>
        <v>400</v>
      </c>
      <c r="BM46" s="493">
        <f>BE53</f>
        <v>400</v>
      </c>
      <c r="BN46" s="415"/>
    </row>
    <row r="47" ht="42" customHeight="1">
      <c r="A47" s="620"/>
      <c r="B47" s="620"/>
      <c r="C47" s="620"/>
      <c r="D47" s="620"/>
      <c r="E47" s="620"/>
      <c r="F47" s="620"/>
      <c r="G47" s="620"/>
      <c r="H47" s="620"/>
      <c r="I47" s="620"/>
      <c r="J47" s="620"/>
      <c r="K47" s="620"/>
      <c r="L47" s="620"/>
      <c r="M47" s="620"/>
      <c r="N47" s="620"/>
      <c r="O47" s="620"/>
      <c r="P47" s="620"/>
      <c r="Q47" s="620"/>
      <c r="R47" s="609"/>
      <c r="S47" s="440" t="s">
        <v>210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618"/>
      <c r="AF47" s="618"/>
      <c r="AG47" s="618"/>
      <c r="AH47" s="618"/>
      <c r="AI47" s="618"/>
      <c r="AJ47" s="618"/>
      <c r="AK47" s="618"/>
      <c r="AL47" s="618"/>
      <c r="AM47" s="618"/>
      <c r="AN47" s="618"/>
      <c r="AO47" s="618"/>
      <c r="AP47" s="618"/>
      <c r="AQ47" s="618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620"/>
      <c r="B48" s="620"/>
      <c r="C48" s="620"/>
      <c r="D48" s="620"/>
      <c r="E48" s="620"/>
      <c r="F48" s="620"/>
      <c r="G48" s="620"/>
      <c r="H48" s="620"/>
      <c r="I48" s="620"/>
      <c r="J48" s="620"/>
      <c r="K48" s="620"/>
      <c r="L48" s="620"/>
      <c r="M48" s="620"/>
      <c r="N48" s="620"/>
      <c r="O48" s="620"/>
      <c r="P48" s="620"/>
      <c r="Q48" s="620"/>
      <c r="R48" s="609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618"/>
      <c r="AF48" s="618"/>
      <c r="AG48" s="618"/>
      <c r="AH48" s="618"/>
      <c r="AI48" s="618"/>
      <c r="AJ48" s="618"/>
      <c r="AK48" s="618"/>
      <c r="AL48" s="618"/>
      <c r="AM48" s="618"/>
      <c r="AN48" s="618"/>
      <c r="AO48" s="618"/>
      <c r="AP48" s="618"/>
      <c r="AQ48" s="618"/>
      <c r="AR48" s="414"/>
      <c r="AS48" s="439"/>
      <c r="AT48" s="439"/>
      <c r="BD48" s="439"/>
      <c r="BE48" s="439"/>
      <c r="BN48" s="415"/>
    </row>
    <row r="49" ht="42" customHeight="1">
      <c r="A49" s="620"/>
      <c r="B49" s="620"/>
      <c r="C49" s="620"/>
      <c r="D49" s="620"/>
      <c r="E49" s="620"/>
      <c r="F49" s="620"/>
      <c r="G49" s="620"/>
      <c r="H49" s="620"/>
      <c r="I49" s="620"/>
      <c r="J49" s="620"/>
      <c r="K49" s="620"/>
      <c r="L49" s="620"/>
      <c r="M49" s="620"/>
      <c r="N49" s="620"/>
      <c r="O49" s="620"/>
      <c r="P49" s="620"/>
      <c r="Q49" s="620"/>
      <c r="R49" s="609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618"/>
      <c r="AF49" s="618"/>
      <c r="AG49" s="618"/>
      <c r="AH49" s="618"/>
      <c r="AI49" s="618"/>
      <c r="AJ49" s="618"/>
      <c r="AK49" s="618"/>
      <c r="AL49" s="618"/>
      <c r="AM49" s="618"/>
      <c r="AN49" s="618"/>
      <c r="AO49" s="618"/>
      <c r="AP49" s="618"/>
      <c r="AQ49" s="618"/>
      <c r="AR49" s="414"/>
      <c r="AS49" s="423" t="s">
        <v>182</v>
      </c>
      <c r="AT49" s="483" t="s">
        <v>183</v>
      </c>
      <c r="BD49" s="423" t="s">
        <v>182</v>
      </c>
      <c r="BE49" s="483" t="s">
        <v>183</v>
      </c>
      <c r="BN49" s="415"/>
    </row>
    <row r="50" ht="42" customHeight="1">
      <c r="A50" s="620"/>
      <c r="B50" s="620"/>
      <c r="C50" s="620"/>
      <c r="D50" s="620"/>
      <c r="E50" s="620"/>
      <c r="F50" s="620"/>
      <c r="G50" s="620"/>
      <c r="H50" s="620"/>
      <c r="I50" s="620"/>
      <c r="J50" s="620"/>
      <c r="K50" s="620"/>
      <c r="L50" s="620"/>
      <c r="M50" s="620"/>
      <c r="N50" s="620"/>
      <c r="O50" s="620"/>
      <c r="P50" s="620"/>
      <c r="Q50" s="620"/>
      <c r="R50" s="609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618"/>
      <c r="AF50" s="618"/>
      <c r="AG50" s="618"/>
      <c r="AH50" s="618"/>
      <c r="AI50" s="618"/>
      <c r="AJ50" s="618"/>
      <c r="AK50" s="618"/>
      <c r="AL50" s="618"/>
      <c r="AM50" s="618"/>
      <c r="AN50" s="618"/>
      <c r="AO50" s="618"/>
      <c r="AP50" s="618"/>
      <c r="AQ50" s="618"/>
      <c r="AR50" s="414"/>
      <c r="AS50" s="423" t="s">
        <v>184</v>
      </c>
      <c r="AT50" s="483" t="s">
        <v>185</v>
      </c>
      <c r="AV50" s="484"/>
      <c r="AW50" s="485"/>
      <c r="AX50" s="485"/>
      <c r="AY50" s="485"/>
      <c r="AZ50" s="485"/>
      <c r="BD50" s="423" t="s">
        <v>184</v>
      </c>
      <c r="BE50" s="483" t="s">
        <v>185</v>
      </c>
      <c r="BG50" s="484"/>
      <c r="BH50" s="485"/>
      <c r="BI50" s="485"/>
      <c r="BJ50" s="485"/>
      <c r="BK50" s="485"/>
      <c r="BN50" s="415"/>
    </row>
    <row r="51" ht="42" customHeight="1">
      <c r="A51" s="620"/>
      <c r="B51" s="620"/>
      <c r="C51" s="620"/>
      <c r="D51" s="620"/>
      <c r="E51" s="620"/>
      <c r="F51" s="620"/>
      <c r="G51" s="620"/>
      <c r="H51" s="620"/>
      <c r="I51" s="620"/>
      <c r="J51" s="620"/>
      <c r="K51" s="620"/>
      <c r="L51" s="620"/>
      <c r="M51" s="620"/>
      <c r="N51" s="620"/>
      <c r="O51" s="620"/>
      <c r="P51" s="620"/>
      <c r="Q51" s="620"/>
      <c r="R51" s="609"/>
      <c r="S51" s="440" t="s">
        <v>211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618"/>
      <c r="AF51" s="618"/>
      <c r="AG51" s="618"/>
      <c r="AH51" s="618"/>
      <c r="AI51" s="618"/>
      <c r="AJ51" s="618"/>
      <c r="AK51" s="618"/>
      <c r="AL51" s="618"/>
      <c r="AM51" s="618"/>
      <c r="AN51" s="618"/>
      <c r="AO51" s="618"/>
      <c r="AP51" s="618"/>
      <c r="AQ51" s="618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620"/>
      <c r="B52" s="620"/>
      <c r="C52" s="620"/>
      <c r="D52" s="620"/>
      <c r="E52" s="620"/>
      <c r="F52" s="620"/>
      <c r="G52" s="620"/>
      <c r="H52" s="620"/>
      <c r="I52" s="620"/>
      <c r="J52" s="620"/>
      <c r="K52" s="620"/>
      <c r="L52" s="620"/>
      <c r="M52" s="620"/>
      <c r="N52" s="620"/>
      <c r="O52" s="620"/>
      <c r="P52" s="620"/>
      <c r="Q52" s="620"/>
      <c r="R52" s="609"/>
      <c r="S52" s="440" t="s">
        <v>212</v>
      </c>
      <c r="T52" s="459" t="s">
        <v>213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618"/>
      <c r="AF52" s="618"/>
      <c r="AG52" s="618"/>
      <c r="AH52" s="618"/>
      <c r="AI52" s="618"/>
      <c r="AJ52" s="618"/>
      <c r="AK52" s="618"/>
      <c r="AL52" s="618"/>
      <c r="AM52" s="618"/>
      <c r="AN52" s="618"/>
      <c r="AO52" s="618"/>
      <c r="AP52" s="618"/>
      <c r="AQ52" s="618"/>
      <c r="AR52" s="414"/>
      <c r="AS52" s="438" t="s">
        <v>187</v>
      </c>
      <c r="AT52" s="434" t="s">
        <v>192</v>
      </c>
      <c r="BA52" s="484"/>
      <c r="BD52" s="438" t="s">
        <v>187</v>
      </c>
      <c r="BE52" s="434" t="s">
        <v>192</v>
      </c>
      <c r="BL52" s="484"/>
      <c r="BN52" s="415"/>
    </row>
    <row r="53" ht="42" customHeight="1">
      <c r="A53" s="620"/>
      <c r="B53" s="620"/>
      <c r="C53" s="620"/>
      <c r="D53" s="620"/>
      <c r="E53" s="620"/>
      <c r="F53" s="620"/>
      <c r="G53" s="620"/>
      <c r="H53" s="620"/>
      <c r="I53" s="620"/>
      <c r="J53" s="620"/>
      <c r="K53" s="620"/>
      <c r="L53" s="620"/>
      <c r="M53" s="620"/>
      <c r="N53" s="620"/>
      <c r="O53" s="620"/>
      <c r="P53" s="620"/>
      <c r="Q53" s="620"/>
      <c r="R53" s="609"/>
      <c r="S53" s="440" t="s">
        <v>187</v>
      </c>
      <c r="T53" s="453" t="s">
        <v>191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618"/>
      <c r="AF53" s="618"/>
      <c r="AG53" s="618"/>
      <c r="AH53" s="618"/>
      <c r="AI53" s="618"/>
      <c r="AJ53" s="618"/>
      <c r="AK53" s="618"/>
      <c r="AL53" s="618"/>
      <c r="AM53" s="618"/>
      <c r="AN53" s="618"/>
      <c r="AO53" s="618"/>
      <c r="AP53" s="618"/>
      <c r="AQ53" s="618"/>
      <c r="AR53" s="414"/>
      <c r="AS53" s="438" t="s">
        <v>188</v>
      </c>
      <c r="AT53" s="438">
        <v>400</v>
      </c>
      <c r="BA53" s="0" t="s">
        <v>189</v>
      </c>
      <c r="BD53" s="438" t="s">
        <v>188</v>
      </c>
      <c r="BE53" s="438">
        <v>400</v>
      </c>
      <c r="BL53" s="0" t="s">
        <v>189</v>
      </c>
      <c r="BN53" s="415"/>
    </row>
    <row r="54" ht="42" customHeight="1">
      <c r="A54" s="620"/>
      <c r="B54" s="620"/>
      <c r="C54" s="620"/>
      <c r="D54" s="620"/>
      <c r="E54" s="620"/>
      <c r="F54" s="620"/>
      <c r="G54" s="620"/>
      <c r="H54" s="620"/>
      <c r="I54" s="620"/>
      <c r="J54" s="620"/>
      <c r="K54" s="620"/>
      <c r="L54" s="620"/>
      <c r="M54" s="620"/>
      <c r="N54" s="620"/>
      <c r="O54" s="620"/>
      <c r="P54" s="620"/>
      <c r="Q54" s="620"/>
      <c r="R54" s="609"/>
      <c r="S54" s="440" t="s">
        <v>188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618"/>
      <c r="AF54" s="618"/>
      <c r="AG54" s="618"/>
      <c r="AH54" s="618"/>
      <c r="AI54" s="618"/>
      <c r="AJ54" s="618"/>
      <c r="AK54" s="618"/>
      <c r="AL54" s="618"/>
      <c r="AM54" s="618"/>
      <c r="AN54" s="618"/>
      <c r="AO54" s="618"/>
      <c r="AP54" s="618"/>
      <c r="AQ54" s="618"/>
      <c r="AR54" s="414"/>
      <c r="AS54" s="438" t="s">
        <v>190</v>
      </c>
      <c r="AT54" s="438">
        <v>400</v>
      </c>
      <c r="AU54" s="486"/>
      <c r="AZ54" s="599"/>
      <c r="BA54" s="599"/>
      <c r="BB54" s="599"/>
      <c r="BD54" s="438" t="s">
        <v>190</v>
      </c>
      <c r="BE54" s="438">
        <v>400</v>
      </c>
      <c r="BF54" s="486"/>
      <c r="BK54" s="599"/>
      <c r="BL54" s="599"/>
      <c r="BM54" s="599"/>
      <c r="BN54" s="415"/>
    </row>
    <row r="55" ht="42" customHeight="1">
      <c r="A55" s="620"/>
      <c r="B55" s="620"/>
      <c r="C55" s="620"/>
      <c r="D55" s="620"/>
      <c r="E55" s="620"/>
      <c r="F55" s="620"/>
      <c r="G55" s="620"/>
      <c r="H55" s="620"/>
      <c r="I55" s="620"/>
      <c r="J55" s="620"/>
      <c r="K55" s="620"/>
      <c r="L55" s="620"/>
      <c r="M55" s="620"/>
      <c r="N55" s="620"/>
      <c r="O55" s="620"/>
      <c r="P55" s="620"/>
      <c r="Q55" s="620"/>
      <c r="R55" s="609"/>
      <c r="S55" s="440" t="s">
        <v>190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618"/>
      <c r="AF55" s="618"/>
      <c r="AG55" s="618"/>
      <c r="AH55" s="618"/>
      <c r="AI55" s="618"/>
      <c r="AJ55" s="618"/>
      <c r="AK55" s="618"/>
      <c r="AL55" s="618"/>
      <c r="AM55" s="618"/>
      <c r="AN55" s="618"/>
      <c r="AO55" s="618"/>
      <c r="AP55" s="618"/>
      <c r="AQ55" s="618"/>
      <c r="AR55" s="414"/>
      <c r="AS55" s="415"/>
      <c r="AT55" s="415"/>
      <c r="BD55" s="415"/>
      <c r="BE55" s="415"/>
      <c r="BN55" s="415"/>
    </row>
    <row r="56" ht="42" customHeight="1">
      <c r="A56" s="620"/>
      <c r="B56" s="620"/>
      <c r="C56" s="620"/>
      <c r="D56" s="620"/>
      <c r="E56" s="620"/>
      <c r="F56" s="620"/>
      <c r="G56" s="620"/>
      <c r="H56" s="620"/>
      <c r="I56" s="620"/>
      <c r="J56" s="620"/>
      <c r="K56" s="620"/>
      <c r="L56" s="620"/>
      <c r="M56" s="620"/>
      <c r="N56" s="620"/>
      <c r="O56" s="620"/>
      <c r="P56" s="620"/>
      <c r="Q56" s="620"/>
      <c r="R56" s="609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618"/>
      <c r="AF56" s="618"/>
      <c r="AG56" s="618"/>
      <c r="AH56" s="618"/>
      <c r="AI56" s="618"/>
      <c r="AJ56" s="618"/>
      <c r="AK56" s="618"/>
      <c r="AL56" s="618"/>
      <c r="AM56" s="618"/>
      <c r="AN56" s="618"/>
      <c r="AO56" s="618"/>
      <c r="AP56" s="618"/>
      <c r="AQ56" s="618"/>
      <c r="AR56" s="414"/>
      <c r="AS56" s="415"/>
      <c r="AT56" s="415"/>
      <c r="BD56" s="415"/>
      <c r="BE56" s="415"/>
      <c r="BN56" s="415"/>
    </row>
    <row r="57" ht="42" customHeight="1">
      <c r="A57" s="620"/>
      <c r="B57" s="620"/>
      <c r="C57" s="620"/>
      <c r="D57" s="620"/>
      <c r="E57" s="620"/>
      <c r="F57" s="620"/>
      <c r="G57" s="620"/>
      <c r="H57" s="620"/>
      <c r="I57" s="620"/>
      <c r="J57" s="620"/>
      <c r="K57" s="620"/>
      <c r="L57" s="620"/>
      <c r="M57" s="620"/>
      <c r="N57" s="620"/>
      <c r="O57" s="620"/>
      <c r="P57" s="620"/>
      <c r="Q57" s="620"/>
      <c r="R57" s="609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618"/>
      <c r="AF57" s="618"/>
      <c r="AG57" s="618"/>
      <c r="AH57" s="618"/>
      <c r="AI57" s="618"/>
      <c r="AJ57" s="618"/>
      <c r="AK57" s="618"/>
      <c r="AL57" s="618"/>
      <c r="AM57" s="618"/>
      <c r="AN57" s="618"/>
      <c r="AO57" s="618"/>
      <c r="AP57" s="618"/>
      <c r="AQ57" s="618"/>
      <c r="AR57" s="414"/>
      <c r="AS57" s="600">
        <f>('بيرسا و لوفرز'!BA14+'بيرسا و لوفرز'!BP62+'بيرسا و لوفرز'!BQ54)*1.35</f>
        <v>115913.02500000001</v>
      </c>
      <c r="AT57" s="601"/>
      <c r="BD57" s="600">
        <f>('بيرسا و لوفرز'!BA85+'بيرسا و لوفرز'!BP133+'بيرسا و لوفرز'!BQ125)*1.35</f>
        <v>115913.02500000001</v>
      </c>
      <c r="BE57" s="601"/>
      <c r="BN57" s="415"/>
    </row>
    <row r="58" ht="42" customHeight="1">
      <c r="A58" s="620"/>
      <c r="B58" s="620"/>
      <c r="C58" s="620"/>
      <c r="D58" s="620"/>
      <c r="E58" s="620"/>
      <c r="F58" s="620"/>
      <c r="G58" s="620"/>
      <c r="H58" s="620"/>
      <c r="I58" s="620"/>
      <c r="J58" s="620"/>
      <c r="K58" s="620"/>
      <c r="L58" s="620"/>
      <c r="M58" s="620"/>
      <c r="N58" s="620"/>
      <c r="O58" s="620"/>
      <c r="P58" s="620"/>
      <c r="Q58" s="620"/>
      <c r="R58" s="609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618"/>
      <c r="AF58" s="618"/>
      <c r="AG58" s="618"/>
      <c r="AH58" s="618"/>
      <c r="AI58" s="618"/>
      <c r="AJ58" s="618"/>
      <c r="AK58" s="618"/>
      <c r="AL58" s="618"/>
      <c r="AM58" s="618"/>
      <c r="AN58" s="618"/>
      <c r="AO58" s="618"/>
      <c r="AP58" s="618"/>
      <c r="AQ58" s="618"/>
      <c r="AR58" s="414"/>
      <c r="AS58" s="605">
        <f>AS57/(AT53*AT54/10000)</f>
        <v>7244.5640625000005</v>
      </c>
      <c r="AT58" s="606"/>
      <c r="BD58" s="605">
        <f>BD57/(BE53*BE54/10000)</f>
        <v>7244.5640625000005</v>
      </c>
      <c r="BE58" s="606"/>
      <c r="BN58" s="415"/>
    </row>
    <row r="59" ht="39" customHeight="1">
      <c r="A59" s="620"/>
      <c r="B59" s="620"/>
      <c r="C59" s="620"/>
      <c r="D59" s="620"/>
      <c r="E59" s="620"/>
      <c r="F59" s="620"/>
      <c r="G59" s="620"/>
      <c r="H59" s="620"/>
      <c r="I59" s="620"/>
      <c r="J59" s="620"/>
      <c r="K59" s="620"/>
      <c r="L59" s="620"/>
      <c r="M59" s="620"/>
      <c r="N59" s="620"/>
      <c r="O59" s="620"/>
      <c r="P59" s="620"/>
      <c r="Q59" s="620"/>
      <c r="R59" s="609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620" t="s">
        <v>214</v>
      </c>
      <c r="B60" s="620"/>
      <c r="C60" s="620"/>
      <c r="D60" s="620"/>
      <c r="E60" s="620"/>
      <c r="F60" s="620"/>
      <c r="G60" s="620"/>
      <c r="H60" s="620"/>
      <c r="I60" s="620"/>
      <c r="J60" s="620"/>
      <c r="K60" s="620"/>
      <c r="L60" s="620"/>
      <c r="M60" s="620"/>
      <c r="N60" s="620"/>
      <c r="O60" s="620"/>
      <c r="P60" s="620"/>
      <c r="Q60" s="620"/>
      <c r="R60" s="609"/>
      <c r="S60" s="607" t="s">
        <v>208</v>
      </c>
      <c r="T60" s="608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620"/>
      <c r="B61" s="620"/>
      <c r="C61" s="620"/>
      <c r="D61" s="620"/>
      <c r="E61" s="620"/>
      <c r="F61" s="620"/>
      <c r="G61" s="620"/>
      <c r="H61" s="620"/>
      <c r="I61" s="620"/>
      <c r="J61" s="620"/>
      <c r="K61" s="620"/>
      <c r="L61" s="620"/>
      <c r="M61" s="620"/>
      <c r="N61" s="620"/>
      <c r="O61" s="620"/>
      <c r="P61" s="620"/>
      <c r="Q61" s="620"/>
      <c r="R61" s="609"/>
      <c r="S61" s="442" t="s">
        <v>163</v>
      </c>
      <c r="T61" s="443">
        <f>'شماسي و كانتليفر'!N84</f>
        <v>82212.3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620"/>
      <c r="B62" s="620"/>
      <c r="C62" s="620"/>
      <c r="D62" s="620"/>
      <c r="E62" s="620"/>
      <c r="F62" s="620"/>
      <c r="G62" s="620"/>
      <c r="H62" s="620"/>
      <c r="I62" s="620"/>
      <c r="J62" s="620"/>
      <c r="K62" s="620"/>
      <c r="L62" s="620"/>
      <c r="M62" s="620"/>
      <c r="N62" s="620"/>
      <c r="O62" s="620"/>
      <c r="P62" s="620"/>
      <c r="Q62" s="620"/>
      <c r="R62" s="609"/>
      <c r="S62" s="444" t="s">
        <v>127</v>
      </c>
      <c r="T62" s="443">
        <f>T61/T69</f>
        <v>3288.492</v>
      </c>
      <c r="U62" s="458"/>
      <c r="V62" s="458"/>
      <c r="W62" s="458"/>
      <c r="X62" s="458"/>
      <c r="Y62" s="619"/>
      <c r="Z62" s="619"/>
      <c r="AA62" s="458"/>
      <c r="AB62" s="458"/>
      <c r="AC62" s="458"/>
      <c r="AD62" s="414"/>
      <c r="AR62" s="414"/>
      <c r="BN62" s="415"/>
    </row>
    <row r="63" ht="40.5" customHeight="1">
      <c r="A63" s="620"/>
      <c r="B63" s="620"/>
      <c r="C63" s="620"/>
      <c r="D63" s="620"/>
      <c r="E63" s="620"/>
      <c r="F63" s="620"/>
      <c r="G63" s="620"/>
      <c r="H63" s="620"/>
      <c r="I63" s="620"/>
      <c r="J63" s="620"/>
      <c r="K63" s="620"/>
      <c r="L63" s="620"/>
      <c r="M63" s="620"/>
      <c r="N63" s="620"/>
      <c r="O63" s="620"/>
      <c r="P63" s="620"/>
      <c r="Q63" s="620"/>
      <c r="R63" s="609"/>
      <c r="S63" s="440" t="s">
        <v>164</v>
      </c>
      <c r="T63" s="441" t="s">
        <v>19</v>
      </c>
      <c r="U63" s="458"/>
      <c r="V63" s="458"/>
      <c r="W63" s="458"/>
      <c r="X63" s="458"/>
      <c r="Y63" s="619"/>
      <c r="Z63" s="619"/>
      <c r="AA63" s="458"/>
      <c r="AB63" s="458"/>
      <c r="AC63" s="458"/>
      <c r="AD63" s="414"/>
      <c r="AR63" s="414"/>
      <c r="BN63" s="415"/>
    </row>
    <row r="64" ht="40.5" customHeight="1">
      <c r="A64" s="620"/>
      <c r="B64" s="620"/>
      <c r="C64" s="620"/>
      <c r="D64" s="620"/>
      <c r="E64" s="620"/>
      <c r="F64" s="620"/>
      <c r="G64" s="620"/>
      <c r="H64" s="620"/>
      <c r="I64" s="620"/>
      <c r="J64" s="620"/>
      <c r="K64" s="620"/>
      <c r="L64" s="620"/>
      <c r="M64" s="620"/>
      <c r="N64" s="620"/>
      <c r="O64" s="620"/>
      <c r="P64" s="620"/>
      <c r="Q64" s="620"/>
      <c r="R64" s="609"/>
      <c r="S64" s="445" t="s">
        <v>165</v>
      </c>
      <c r="T64" s="446" t="s">
        <v>197</v>
      </c>
      <c r="U64" s="458"/>
      <c r="V64" s="458"/>
      <c r="W64" s="458"/>
      <c r="X64" s="458"/>
      <c r="Y64" s="619"/>
      <c r="Z64" s="619"/>
      <c r="AA64" s="458"/>
      <c r="AB64" s="458"/>
      <c r="AC64" s="458"/>
      <c r="AD64" s="414"/>
      <c r="AR64" s="414"/>
      <c r="BN64" s="415"/>
    </row>
    <row r="65" ht="40.5" customHeight="1">
      <c r="A65" s="620"/>
      <c r="B65" s="620"/>
      <c r="C65" s="620"/>
      <c r="D65" s="620"/>
      <c r="E65" s="620"/>
      <c r="F65" s="620"/>
      <c r="G65" s="620"/>
      <c r="H65" s="620"/>
      <c r="I65" s="620"/>
      <c r="J65" s="620"/>
      <c r="K65" s="620"/>
      <c r="L65" s="620"/>
      <c r="M65" s="620"/>
      <c r="N65" s="620"/>
      <c r="O65" s="620"/>
      <c r="P65" s="620"/>
      <c r="Q65" s="620"/>
      <c r="R65" s="609"/>
      <c r="S65" s="440" t="s">
        <v>210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620"/>
      <c r="B66" s="620"/>
      <c r="C66" s="620"/>
      <c r="D66" s="620"/>
      <c r="E66" s="620"/>
      <c r="F66" s="620"/>
      <c r="G66" s="620"/>
      <c r="H66" s="620"/>
      <c r="I66" s="620"/>
      <c r="J66" s="620"/>
      <c r="K66" s="620"/>
      <c r="L66" s="620"/>
      <c r="M66" s="620"/>
      <c r="N66" s="620"/>
      <c r="O66" s="620"/>
      <c r="P66" s="620"/>
      <c r="Q66" s="620"/>
      <c r="R66" s="609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620"/>
      <c r="B67" s="620"/>
      <c r="C67" s="620"/>
      <c r="D67" s="620"/>
      <c r="E67" s="620"/>
      <c r="F67" s="620"/>
      <c r="G67" s="620"/>
      <c r="H67" s="620"/>
      <c r="I67" s="620"/>
      <c r="J67" s="620"/>
      <c r="K67" s="620"/>
      <c r="L67" s="620"/>
      <c r="M67" s="620"/>
      <c r="N67" s="620"/>
      <c r="O67" s="620"/>
      <c r="P67" s="620"/>
      <c r="Q67" s="620"/>
      <c r="R67" s="609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620"/>
      <c r="B68" s="620"/>
      <c r="C68" s="620"/>
      <c r="D68" s="620"/>
      <c r="E68" s="620"/>
      <c r="F68" s="620"/>
      <c r="G68" s="620"/>
      <c r="H68" s="620"/>
      <c r="I68" s="620"/>
      <c r="J68" s="620"/>
      <c r="K68" s="620"/>
      <c r="L68" s="620"/>
      <c r="M68" s="620"/>
      <c r="N68" s="620"/>
      <c r="O68" s="620"/>
      <c r="P68" s="620"/>
      <c r="Q68" s="620"/>
      <c r="R68" s="609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620"/>
      <c r="B69" s="620"/>
      <c r="C69" s="620"/>
      <c r="D69" s="620"/>
      <c r="E69" s="620"/>
      <c r="F69" s="620"/>
      <c r="G69" s="620"/>
      <c r="H69" s="620"/>
      <c r="I69" s="620"/>
      <c r="J69" s="620"/>
      <c r="K69" s="620"/>
      <c r="L69" s="620"/>
      <c r="M69" s="620"/>
      <c r="N69" s="620"/>
      <c r="O69" s="620"/>
      <c r="P69" s="620"/>
      <c r="Q69" s="620"/>
      <c r="R69" s="609"/>
      <c r="S69" s="440" t="s">
        <v>211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620"/>
      <c r="B70" s="620"/>
      <c r="C70" s="620"/>
      <c r="D70" s="620"/>
      <c r="E70" s="620"/>
      <c r="F70" s="620"/>
      <c r="G70" s="620"/>
      <c r="H70" s="620"/>
      <c r="I70" s="620"/>
      <c r="J70" s="620"/>
      <c r="K70" s="620"/>
      <c r="L70" s="620"/>
      <c r="M70" s="620"/>
      <c r="N70" s="620"/>
      <c r="O70" s="620"/>
      <c r="P70" s="620"/>
      <c r="Q70" s="620"/>
      <c r="R70" s="609"/>
      <c r="S70" s="440" t="s">
        <v>212</v>
      </c>
      <c r="T70" s="459" t="s">
        <v>213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620"/>
      <c r="B71" s="620"/>
      <c r="C71" s="620"/>
      <c r="D71" s="620"/>
      <c r="E71" s="620"/>
      <c r="F71" s="620"/>
      <c r="G71" s="620"/>
      <c r="H71" s="620"/>
      <c r="I71" s="620"/>
      <c r="J71" s="620"/>
      <c r="K71" s="620"/>
      <c r="L71" s="620"/>
      <c r="M71" s="620"/>
      <c r="N71" s="620"/>
      <c r="O71" s="620"/>
      <c r="P71" s="620"/>
      <c r="Q71" s="620"/>
      <c r="R71" s="609"/>
      <c r="S71" s="440" t="s">
        <v>187</v>
      </c>
      <c r="T71" s="453" t="s">
        <v>191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620"/>
      <c r="B72" s="620"/>
      <c r="C72" s="620"/>
      <c r="D72" s="620"/>
      <c r="E72" s="620"/>
      <c r="F72" s="620"/>
      <c r="G72" s="620"/>
      <c r="H72" s="620"/>
      <c r="I72" s="620"/>
      <c r="J72" s="620"/>
      <c r="K72" s="620"/>
      <c r="L72" s="620"/>
      <c r="M72" s="620"/>
      <c r="N72" s="620"/>
      <c r="O72" s="620"/>
      <c r="P72" s="620"/>
      <c r="Q72" s="620"/>
      <c r="R72" s="609"/>
      <c r="S72" s="440" t="s">
        <v>188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620"/>
      <c r="B73" s="620"/>
      <c r="C73" s="620"/>
      <c r="D73" s="620"/>
      <c r="E73" s="620"/>
      <c r="F73" s="620"/>
      <c r="G73" s="620"/>
      <c r="H73" s="620"/>
      <c r="I73" s="620"/>
      <c r="J73" s="620"/>
      <c r="K73" s="620"/>
      <c r="L73" s="620"/>
      <c r="M73" s="620"/>
      <c r="N73" s="620"/>
      <c r="O73" s="620"/>
      <c r="P73" s="620"/>
      <c r="Q73" s="620"/>
      <c r="R73" s="609"/>
      <c r="S73" s="440" t="s">
        <v>190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620"/>
      <c r="B74" s="620"/>
      <c r="C74" s="620"/>
      <c r="D74" s="620"/>
      <c r="E74" s="620"/>
      <c r="F74" s="620"/>
      <c r="G74" s="620"/>
      <c r="H74" s="620"/>
      <c r="I74" s="620"/>
      <c r="J74" s="620"/>
      <c r="K74" s="620"/>
      <c r="L74" s="620"/>
      <c r="M74" s="620"/>
      <c r="N74" s="620"/>
      <c r="O74" s="620"/>
      <c r="P74" s="620"/>
      <c r="Q74" s="620"/>
      <c r="R74" s="609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620"/>
      <c r="B75" s="620"/>
      <c r="C75" s="620"/>
      <c r="D75" s="620"/>
      <c r="E75" s="620"/>
      <c r="F75" s="620"/>
      <c r="G75" s="620"/>
      <c r="H75" s="620"/>
      <c r="I75" s="620"/>
      <c r="J75" s="620"/>
      <c r="K75" s="620"/>
      <c r="L75" s="620"/>
      <c r="M75" s="620"/>
      <c r="N75" s="620"/>
      <c r="O75" s="620"/>
      <c r="P75" s="620"/>
      <c r="Q75" s="620"/>
      <c r="R75" s="609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620"/>
      <c r="B76" s="620"/>
      <c r="C76" s="620"/>
      <c r="D76" s="620"/>
      <c r="E76" s="620"/>
      <c r="F76" s="620"/>
      <c r="G76" s="620"/>
      <c r="H76" s="620"/>
      <c r="I76" s="620"/>
      <c r="J76" s="620"/>
      <c r="K76" s="620"/>
      <c r="L76" s="620"/>
      <c r="M76" s="620"/>
      <c r="N76" s="620"/>
      <c r="O76" s="620"/>
      <c r="P76" s="620"/>
      <c r="Q76" s="620"/>
      <c r="R76" s="609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609"/>
      <c r="AD77" s="414"/>
      <c r="AR77" s="414"/>
      <c r="BN77" s="415"/>
    </row>
    <row r="78" ht="15" customHeight="1">
      <c r="A78" s="617" t="s">
        <v>215</v>
      </c>
      <c r="B78" s="617"/>
      <c r="C78" s="617"/>
      <c r="D78" s="617"/>
      <c r="E78" s="617"/>
      <c r="F78" s="617"/>
      <c r="G78" s="617"/>
      <c r="H78" s="617"/>
      <c r="I78" s="617"/>
      <c r="J78" s="617"/>
      <c r="K78" s="617"/>
      <c r="L78" s="617"/>
      <c r="M78" s="617"/>
      <c r="N78" s="617"/>
      <c r="O78" s="617"/>
      <c r="P78" s="617"/>
      <c r="Q78" s="617"/>
      <c r="R78" s="609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617"/>
      <c r="B79" s="617"/>
      <c r="C79" s="617"/>
      <c r="D79" s="617"/>
      <c r="E79" s="617"/>
      <c r="F79" s="617"/>
      <c r="G79" s="617"/>
      <c r="H79" s="617"/>
      <c r="I79" s="617"/>
      <c r="J79" s="617"/>
      <c r="K79" s="617"/>
      <c r="L79" s="617"/>
      <c r="M79" s="617"/>
      <c r="N79" s="617"/>
      <c r="O79" s="617"/>
      <c r="P79" s="617"/>
      <c r="Q79" s="617"/>
      <c r="R79" s="609"/>
      <c r="AC79" s="414"/>
      <c r="AQ79" s="414"/>
      <c r="BB79" s="414"/>
      <c r="BM79" s="415"/>
    </row>
    <row r="80" ht="38.25" customHeight="1">
      <c r="A80" s="617"/>
      <c r="B80" s="617"/>
      <c r="C80" s="617"/>
      <c r="D80" s="617"/>
      <c r="E80" s="617"/>
      <c r="F80" s="617"/>
      <c r="G80" s="617"/>
      <c r="H80" s="617"/>
      <c r="I80" s="617"/>
      <c r="J80" s="617"/>
      <c r="K80" s="617"/>
      <c r="L80" s="617"/>
      <c r="M80" s="617"/>
      <c r="N80" s="617"/>
      <c r="O80" s="617"/>
      <c r="P80" s="617"/>
      <c r="Q80" s="617"/>
      <c r="R80" s="609"/>
      <c r="AQ80" s="414"/>
      <c r="BB80" s="414"/>
      <c r="BM80" s="415"/>
    </row>
    <row r="81" ht="38.25" customHeight="1">
      <c r="A81" s="617"/>
      <c r="B81" s="617"/>
      <c r="C81" s="617"/>
      <c r="D81" s="617"/>
      <c r="E81" s="617"/>
      <c r="F81" s="617"/>
      <c r="G81" s="617"/>
      <c r="H81" s="617"/>
      <c r="I81" s="617"/>
      <c r="J81" s="617"/>
      <c r="K81" s="617"/>
      <c r="L81" s="617"/>
      <c r="M81" s="617"/>
      <c r="N81" s="617"/>
      <c r="O81" s="617"/>
      <c r="P81" s="617"/>
      <c r="Q81" s="617"/>
      <c r="R81" s="609"/>
      <c r="AQ81" s="414"/>
      <c r="BB81" s="414"/>
      <c r="BM81" s="415"/>
    </row>
    <row r="82" ht="38.25" customHeight="1">
      <c r="A82" s="617"/>
      <c r="B82" s="617"/>
      <c r="C82" s="617"/>
      <c r="D82" s="617"/>
      <c r="E82" s="617"/>
      <c r="F82" s="617"/>
      <c r="G82" s="617"/>
      <c r="H82" s="617"/>
      <c r="I82" s="617"/>
      <c r="J82" s="617"/>
      <c r="K82" s="617"/>
      <c r="L82" s="617"/>
      <c r="M82" s="617"/>
      <c r="N82" s="617"/>
      <c r="O82" s="617"/>
      <c r="P82" s="617"/>
      <c r="Q82" s="617"/>
      <c r="R82" s="609"/>
      <c r="AQ82" s="414"/>
      <c r="BB82" s="414"/>
      <c r="BM82" s="415"/>
    </row>
    <row r="83" ht="38.25" customHeight="1">
      <c r="A83" s="617"/>
      <c r="B83" s="617"/>
      <c r="C83" s="617"/>
      <c r="D83" s="617"/>
      <c r="E83" s="617"/>
      <c r="F83" s="617"/>
      <c r="G83" s="617"/>
      <c r="H83" s="617"/>
      <c r="I83" s="617"/>
      <c r="J83" s="617"/>
      <c r="K83" s="617"/>
      <c r="L83" s="617"/>
      <c r="M83" s="617"/>
      <c r="N83" s="617"/>
      <c r="O83" s="617"/>
      <c r="P83" s="617"/>
      <c r="Q83" s="617"/>
      <c r="R83" s="609"/>
      <c r="AQ83" s="414"/>
      <c r="BB83" s="414"/>
      <c r="BM83" s="415"/>
    </row>
    <row r="84" ht="38.25" customHeight="1">
      <c r="A84" s="617"/>
      <c r="B84" s="617"/>
      <c r="C84" s="617"/>
      <c r="D84" s="617"/>
      <c r="E84" s="617"/>
      <c r="F84" s="617"/>
      <c r="G84" s="617"/>
      <c r="H84" s="617"/>
      <c r="I84" s="617"/>
      <c r="J84" s="617"/>
      <c r="K84" s="617"/>
      <c r="L84" s="617"/>
      <c r="M84" s="617"/>
      <c r="N84" s="617"/>
      <c r="O84" s="617"/>
      <c r="P84" s="617"/>
      <c r="Q84" s="617"/>
      <c r="R84" s="609"/>
      <c r="AQ84" s="414"/>
      <c r="BB84" s="414"/>
      <c r="BM84" s="415"/>
    </row>
    <row r="85" ht="38.25" customHeight="1">
      <c r="A85" s="617"/>
      <c r="B85" s="617"/>
      <c r="C85" s="617"/>
      <c r="D85" s="617"/>
      <c r="E85" s="617"/>
      <c r="F85" s="617"/>
      <c r="G85" s="617"/>
      <c r="H85" s="617"/>
      <c r="I85" s="617"/>
      <c r="J85" s="617"/>
      <c r="K85" s="617"/>
      <c r="L85" s="617"/>
      <c r="M85" s="617"/>
      <c r="N85" s="617"/>
      <c r="O85" s="617"/>
      <c r="P85" s="617"/>
      <c r="Q85" s="617"/>
      <c r="R85" s="609"/>
      <c r="AQ85" s="414"/>
      <c r="BB85" s="414"/>
      <c r="BM85" s="415"/>
    </row>
    <row r="86" ht="38.25" customHeight="1">
      <c r="A86" s="617"/>
      <c r="B86" s="617"/>
      <c r="C86" s="617"/>
      <c r="D86" s="617"/>
      <c r="E86" s="617"/>
      <c r="F86" s="617"/>
      <c r="G86" s="617"/>
      <c r="H86" s="617"/>
      <c r="I86" s="617"/>
      <c r="J86" s="617"/>
      <c r="K86" s="617"/>
      <c r="L86" s="617"/>
      <c r="M86" s="617"/>
      <c r="N86" s="617"/>
      <c r="O86" s="617"/>
      <c r="P86" s="617"/>
      <c r="Q86" s="617"/>
      <c r="R86" s="609"/>
      <c r="AQ86" s="414"/>
      <c r="BB86" s="414"/>
      <c r="BM86" s="415"/>
    </row>
    <row r="87" ht="38.25" customHeight="1">
      <c r="A87" s="617"/>
      <c r="B87" s="617"/>
      <c r="C87" s="617"/>
      <c r="D87" s="617"/>
      <c r="E87" s="617"/>
      <c r="F87" s="617"/>
      <c r="G87" s="617"/>
      <c r="H87" s="617"/>
      <c r="I87" s="617"/>
      <c r="J87" s="617"/>
      <c r="K87" s="617"/>
      <c r="L87" s="617"/>
      <c r="M87" s="617"/>
      <c r="N87" s="617"/>
      <c r="O87" s="617"/>
      <c r="P87" s="617"/>
      <c r="Q87" s="617"/>
      <c r="R87" s="609"/>
      <c r="AQ87" s="414"/>
      <c r="BB87" s="414"/>
      <c r="BM87" s="415"/>
    </row>
    <row r="88" ht="38.25" customHeight="1">
      <c r="A88" s="617"/>
      <c r="B88" s="617"/>
      <c r="C88" s="617"/>
      <c r="D88" s="617"/>
      <c r="E88" s="617"/>
      <c r="F88" s="617"/>
      <c r="G88" s="617"/>
      <c r="H88" s="617"/>
      <c r="I88" s="617"/>
      <c r="J88" s="617"/>
      <c r="K88" s="617"/>
      <c r="L88" s="617"/>
      <c r="M88" s="617"/>
      <c r="N88" s="617"/>
      <c r="O88" s="617"/>
      <c r="P88" s="617"/>
      <c r="Q88" s="617"/>
      <c r="R88" s="609"/>
      <c r="AQ88" s="414"/>
      <c r="BB88" s="414"/>
      <c r="BM88" s="415"/>
    </row>
    <row r="89" ht="38.25" customHeight="1">
      <c r="A89" s="617"/>
      <c r="B89" s="617"/>
      <c r="C89" s="617"/>
      <c r="D89" s="617"/>
      <c r="E89" s="617"/>
      <c r="F89" s="617"/>
      <c r="G89" s="617"/>
      <c r="H89" s="617"/>
      <c r="I89" s="617"/>
      <c r="J89" s="617"/>
      <c r="K89" s="617"/>
      <c r="L89" s="617"/>
      <c r="M89" s="617"/>
      <c r="N89" s="617"/>
      <c r="O89" s="617"/>
      <c r="P89" s="617"/>
      <c r="Q89" s="617"/>
      <c r="R89" s="609"/>
      <c r="AQ89" s="414"/>
      <c r="BB89" s="414"/>
      <c r="BM89" s="415"/>
    </row>
    <row r="90" ht="38.25" customHeight="1">
      <c r="A90" s="617"/>
      <c r="B90" s="617"/>
      <c r="C90" s="617"/>
      <c r="D90" s="617"/>
      <c r="E90" s="617"/>
      <c r="F90" s="617"/>
      <c r="G90" s="617"/>
      <c r="H90" s="617"/>
      <c r="I90" s="617"/>
      <c r="J90" s="617"/>
      <c r="K90" s="617"/>
      <c r="L90" s="617"/>
      <c r="M90" s="617"/>
      <c r="N90" s="617"/>
      <c r="O90" s="617"/>
      <c r="P90" s="617"/>
      <c r="Q90" s="617"/>
      <c r="R90" s="609"/>
      <c r="AQ90" s="414"/>
      <c r="BB90" s="414"/>
      <c r="BM90" s="415"/>
    </row>
    <row r="91" ht="38.25" customHeight="1">
      <c r="A91" s="617"/>
      <c r="B91" s="617"/>
      <c r="C91" s="617"/>
      <c r="D91" s="617"/>
      <c r="E91" s="617"/>
      <c r="F91" s="617"/>
      <c r="G91" s="617"/>
      <c r="H91" s="617"/>
      <c r="I91" s="617"/>
      <c r="J91" s="617"/>
      <c r="K91" s="617"/>
      <c r="L91" s="617"/>
      <c r="M91" s="617"/>
      <c r="N91" s="617"/>
      <c r="O91" s="617"/>
      <c r="P91" s="617"/>
      <c r="Q91" s="617"/>
      <c r="R91" s="609"/>
      <c r="AQ91" s="414"/>
      <c r="BB91" s="414"/>
      <c r="BM91" s="415"/>
    </row>
    <row r="92" ht="38.25" customHeight="1">
      <c r="A92" s="617"/>
      <c r="B92" s="617"/>
      <c r="C92" s="617"/>
      <c r="D92" s="617"/>
      <c r="E92" s="617"/>
      <c r="F92" s="617"/>
      <c r="G92" s="617"/>
      <c r="H92" s="617"/>
      <c r="I92" s="617"/>
      <c r="J92" s="617"/>
      <c r="K92" s="617"/>
      <c r="L92" s="617"/>
      <c r="M92" s="617"/>
      <c r="N92" s="617"/>
      <c r="O92" s="617"/>
      <c r="P92" s="617"/>
      <c r="Q92" s="617"/>
      <c r="R92" s="609"/>
      <c r="AQ92" s="414"/>
      <c r="BB92" s="414"/>
      <c r="BM92" s="415"/>
    </row>
    <row r="93" ht="38.25" customHeight="1">
      <c r="A93" s="617"/>
      <c r="B93" s="617"/>
      <c r="C93" s="617"/>
      <c r="D93" s="617"/>
      <c r="E93" s="617"/>
      <c r="F93" s="617"/>
      <c r="G93" s="617"/>
      <c r="H93" s="617"/>
      <c r="I93" s="617"/>
      <c r="J93" s="617"/>
      <c r="K93" s="617"/>
      <c r="L93" s="617"/>
      <c r="M93" s="617"/>
      <c r="N93" s="617"/>
      <c r="O93" s="617"/>
      <c r="P93" s="617"/>
      <c r="Q93" s="617"/>
      <c r="R93" s="609"/>
      <c r="AQ93" s="414"/>
      <c r="BB93" s="414"/>
      <c r="BM93" s="415"/>
    </row>
    <row r="94" ht="38.25" customHeight="1">
      <c r="A94" s="617"/>
      <c r="B94" s="617"/>
      <c r="C94" s="617"/>
      <c r="D94" s="617"/>
      <c r="E94" s="617"/>
      <c r="F94" s="617"/>
      <c r="G94" s="617"/>
      <c r="H94" s="617"/>
      <c r="I94" s="617"/>
      <c r="J94" s="617"/>
      <c r="K94" s="617"/>
      <c r="L94" s="617"/>
      <c r="M94" s="617"/>
      <c r="N94" s="617"/>
      <c r="O94" s="617"/>
      <c r="P94" s="617"/>
      <c r="Q94" s="617"/>
      <c r="R94" s="609"/>
      <c r="AQ94" s="414"/>
      <c r="BB94" s="414"/>
      <c r="BM94" s="415"/>
    </row>
    <row r="95" ht="38.25" customHeight="1">
      <c r="A95" s="617"/>
      <c r="B95" s="617"/>
      <c r="C95" s="617"/>
      <c r="D95" s="617"/>
      <c r="E95" s="617"/>
      <c r="F95" s="617"/>
      <c r="G95" s="617"/>
      <c r="H95" s="617"/>
      <c r="I95" s="617"/>
      <c r="J95" s="617"/>
      <c r="K95" s="617"/>
      <c r="L95" s="617"/>
      <c r="M95" s="617"/>
      <c r="N95" s="617"/>
      <c r="O95" s="617"/>
      <c r="P95" s="617"/>
      <c r="Q95" s="617"/>
      <c r="R95" s="609"/>
      <c r="AQ95" s="414"/>
      <c r="BB95" s="414"/>
      <c r="BM95" s="415"/>
    </row>
    <row r="96" ht="38.25" customHeight="1">
      <c r="A96" s="617"/>
      <c r="B96" s="617"/>
      <c r="C96" s="617"/>
      <c r="D96" s="617"/>
      <c r="E96" s="617"/>
      <c r="F96" s="617"/>
      <c r="G96" s="617"/>
      <c r="H96" s="617"/>
      <c r="I96" s="617"/>
      <c r="J96" s="617"/>
      <c r="K96" s="617"/>
      <c r="L96" s="617"/>
      <c r="M96" s="617"/>
      <c r="N96" s="617"/>
      <c r="O96" s="617"/>
      <c r="P96" s="617"/>
      <c r="Q96" s="617"/>
      <c r="R96" s="609"/>
      <c r="AQ96" s="414"/>
      <c r="BB96" s="414"/>
      <c r="BM96" s="415"/>
    </row>
    <row r="97" ht="39" customHeight="1">
      <c r="A97" s="617"/>
      <c r="B97" s="617"/>
      <c r="C97" s="617"/>
      <c r="D97" s="617"/>
      <c r="E97" s="617"/>
      <c r="F97" s="617"/>
      <c r="G97" s="617"/>
      <c r="H97" s="617"/>
      <c r="I97" s="617"/>
      <c r="J97" s="617"/>
      <c r="K97" s="617"/>
      <c r="L97" s="617"/>
      <c r="M97" s="617"/>
      <c r="N97" s="617"/>
      <c r="O97" s="617"/>
      <c r="P97" s="617"/>
      <c r="Q97" s="617"/>
      <c r="R97" s="609"/>
      <c r="AQ97" s="414"/>
      <c r="BB97" s="414"/>
      <c r="BM97" s="415"/>
    </row>
    <row r="98" ht="39" customHeight="1">
      <c r="A98" s="617" t="s">
        <v>216</v>
      </c>
      <c r="B98" s="617"/>
      <c r="C98" s="617"/>
      <c r="D98" s="617"/>
      <c r="E98" s="617"/>
      <c r="F98" s="617"/>
      <c r="G98" s="617"/>
      <c r="H98" s="617"/>
      <c r="I98" s="617"/>
      <c r="J98" s="617"/>
      <c r="K98" s="617"/>
      <c r="L98" s="617"/>
      <c r="M98" s="617"/>
      <c r="N98" s="617"/>
      <c r="O98" s="617"/>
      <c r="P98" s="617"/>
      <c r="Q98" s="617"/>
      <c r="R98" s="609"/>
      <c r="AR98" s="414"/>
      <c r="BN98" s="415"/>
    </row>
    <row r="99" ht="39" customHeight="1">
      <c r="A99" s="617"/>
      <c r="B99" s="617"/>
      <c r="C99" s="617"/>
      <c r="D99" s="617"/>
      <c r="E99" s="617"/>
      <c r="F99" s="617"/>
      <c r="G99" s="617"/>
      <c r="H99" s="617"/>
      <c r="I99" s="617"/>
      <c r="J99" s="617"/>
      <c r="K99" s="617"/>
      <c r="L99" s="617"/>
      <c r="M99" s="617"/>
      <c r="N99" s="617"/>
      <c r="O99" s="617"/>
      <c r="P99" s="617"/>
      <c r="Q99" s="617"/>
      <c r="R99" s="609"/>
      <c r="AR99" s="414"/>
      <c r="BN99" s="415"/>
    </row>
    <row r="100" ht="39" customHeight="1">
      <c r="A100" s="617"/>
      <c r="B100" s="617"/>
      <c r="C100" s="617"/>
      <c r="D100" s="617"/>
      <c r="E100" s="617"/>
      <c r="F100" s="617"/>
      <c r="G100" s="617"/>
      <c r="H100" s="617"/>
      <c r="I100" s="617"/>
      <c r="J100" s="617"/>
      <c r="K100" s="617"/>
      <c r="L100" s="617"/>
      <c r="M100" s="617"/>
      <c r="N100" s="617"/>
      <c r="O100" s="617"/>
      <c r="P100" s="617"/>
      <c r="Q100" s="617"/>
      <c r="R100" s="609"/>
      <c r="AR100" s="414"/>
      <c r="BN100" s="415"/>
    </row>
    <row r="101" ht="39" customHeight="1">
      <c r="A101" s="617"/>
      <c r="B101" s="617"/>
      <c r="C101" s="617"/>
      <c r="D101" s="617"/>
      <c r="E101" s="617"/>
      <c r="F101" s="617"/>
      <c r="G101" s="617"/>
      <c r="H101" s="617"/>
      <c r="I101" s="617"/>
      <c r="J101" s="617"/>
      <c r="K101" s="617"/>
      <c r="L101" s="617"/>
      <c r="M101" s="617"/>
      <c r="N101" s="617"/>
      <c r="O101" s="617"/>
      <c r="P101" s="617"/>
      <c r="Q101" s="617"/>
      <c r="R101" s="609"/>
      <c r="AR101" s="414"/>
      <c r="BN101" s="415"/>
    </row>
    <row r="102" ht="39" customHeight="1">
      <c r="A102" s="617"/>
      <c r="B102" s="617"/>
      <c r="C102" s="617"/>
      <c r="D102" s="617"/>
      <c r="E102" s="617"/>
      <c r="F102" s="617"/>
      <c r="G102" s="617"/>
      <c r="H102" s="617"/>
      <c r="I102" s="617"/>
      <c r="J102" s="617"/>
      <c r="K102" s="617"/>
      <c r="L102" s="617"/>
      <c r="M102" s="617"/>
      <c r="N102" s="617"/>
      <c r="O102" s="617"/>
      <c r="P102" s="617"/>
      <c r="Q102" s="617"/>
      <c r="R102" s="609"/>
      <c r="AR102" s="414"/>
      <c r="BN102" s="415"/>
    </row>
    <row r="103" ht="39" customHeight="1">
      <c r="A103" s="617"/>
      <c r="B103" s="617"/>
      <c r="C103" s="617"/>
      <c r="D103" s="617"/>
      <c r="E103" s="617"/>
      <c r="F103" s="617"/>
      <c r="G103" s="617"/>
      <c r="H103" s="617"/>
      <c r="I103" s="617"/>
      <c r="J103" s="617"/>
      <c r="K103" s="617"/>
      <c r="L103" s="617"/>
      <c r="M103" s="617"/>
      <c r="N103" s="617"/>
      <c r="O103" s="617"/>
      <c r="P103" s="617"/>
      <c r="Q103" s="617"/>
      <c r="R103" s="609"/>
      <c r="AR103" s="414"/>
      <c r="BN103" s="415"/>
    </row>
    <row r="104" ht="39" customHeight="1">
      <c r="A104" s="617"/>
      <c r="B104" s="617"/>
      <c r="C104" s="617"/>
      <c r="D104" s="617"/>
      <c r="E104" s="617"/>
      <c r="F104" s="617"/>
      <c r="G104" s="617"/>
      <c r="H104" s="617"/>
      <c r="I104" s="617"/>
      <c r="J104" s="617"/>
      <c r="K104" s="617"/>
      <c r="L104" s="617"/>
      <c r="M104" s="617"/>
      <c r="N104" s="617"/>
      <c r="O104" s="617"/>
      <c r="P104" s="617"/>
      <c r="Q104" s="617"/>
      <c r="R104" s="609"/>
      <c r="AR104" s="414"/>
      <c r="BN104" s="415"/>
    </row>
    <row r="105" ht="39" customHeight="1">
      <c r="A105" s="617"/>
      <c r="B105" s="617"/>
      <c r="C105" s="617"/>
      <c r="D105" s="617"/>
      <c r="E105" s="617"/>
      <c r="F105" s="617"/>
      <c r="G105" s="617"/>
      <c r="H105" s="617"/>
      <c r="I105" s="617"/>
      <c r="J105" s="617"/>
      <c r="K105" s="617"/>
      <c r="L105" s="617"/>
      <c r="M105" s="617"/>
      <c r="N105" s="617"/>
      <c r="O105" s="617"/>
      <c r="P105" s="617"/>
      <c r="Q105" s="617"/>
      <c r="R105" s="609"/>
      <c r="AR105" s="414"/>
      <c r="BN105" s="415"/>
    </row>
    <row r="106" ht="39" customHeight="1">
      <c r="A106" s="617"/>
      <c r="B106" s="617"/>
      <c r="C106" s="617"/>
      <c r="D106" s="617"/>
      <c r="E106" s="617"/>
      <c r="F106" s="617"/>
      <c r="G106" s="617"/>
      <c r="H106" s="617"/>
      <c r="I106" s="617"/>
      <c r="J106" s="617"/>
      <c r="K106" s="617"/>
      <c r="L106" s="617"/>
      <c r="M106" s="617"/>
      <c r="N106" s="617"/>
      <c r="O106" s="617"/>
      <c r="P106" s="617"/>
      <c r="Q106" s="617"/>
      <c r="R106" s="609"/>
      <c r="AR106" s="414"/>
      <c r="BN106" s="415"/>
    </row>
    <row r="107" ht="39" customHeight="1">
      <c r="A107" s="617"/>
      <c r="B107" s="617"/>
      <c r="C107" s="617"/>
      <c r="D107" s="617"/>
      <c r="E107" s="617"/>
      <c r="F107" s="617"/>
      <c r="G107" s="617"/>
      <c r="H107" s="617"/>
      <c r="I107" s="617"/>
      <c r="J107" s="617"/>
      <c r="K107" s="617"/>
      <c r="L107" s="617"/>
      <c r="M107" s="617"/>
      <c r="N107" s="617"/>
      <c r="O107" s="617"/>
      <c r="P107" s="617"/>
      <c r="Q107" s="617"/>
      <c r="R107" s="609"/>
      <c r="AR107" s="414"/>
      <c r="BN107" s="415"/>
    </row>
    <row r="108" ht="39" customHeight="1">
      <c r="A108" s="617"/>
      <c r="B108" s="617"/>
      <c r="C108" s="617"/>
      <c r="D108" s="617"/>
      <c r="E108" s="617"/>
      <c r="F108" s="617"/>
      <c r="G108" s="617"/>
      <c r="H108" s="617"/>
      <c r="I108" s="617"/>
      <c r="J108" s="617"/>
      <c r="K108" s="617"/>
      <c r="L108" s="617"/>
      <c r="M108" s="617"/>
      <c r="N108" s="617"/>
      <c r="O108" s="617"/>
      <c r="P108" s="617"/>
      <c r="Q108" s="617"/>
      <c r="R108" s="609"/>
      <c r="AR108" s="414"/>
      <c r="BN108" s="415"/>
    </row>
    <row r="109" ht="39" customHeight="1">
      <c r="A109" s="617"/>
      <c r="B109" s="617"/>
      <c r="C109" s="617"/>
      <c r="D109" s="617"/>
      <c r="E109" s="617"/>
      <c r="F109" s="617"/>
      <c r="G109" s="617"/>
      <c r="H109" s="617"/>
      <c r="I109" s="617"/>
      <c r="J109" s="617"/>
      <c r="K109" s="617"/>
      <c r="L109" s="617"/>
      <c r="M109" s="617"/>
      <c r="N109" s="617"/>
      <c r="O109" s="617"/>
      <c r="P109" s="617"/>
      <c r="Q109" s="617"/>
      <c r="R109" s="609"/>
      <c r="AR109" s="414"/>
      <c r="BN109" s="415"/>
    </row>
    <row r="110" ht="39" customHeight="1">
      <c r="A110" s="617"/>
      <c r="B110" s="617"/>
      <c r="C110" s="617"/>
      <c r="D110" s="617"/>
      <c r="E110" s="617"/>
      <c r="F110" s="617"/>
      <c r="G110" s="617"/>
      <c r="H110" s="617"/>
      <c r="I110" s="617"/>
      <c r="J110" s="617"/>
      <c r="K110" s="617"/>
      <c r="L110" s="617"/>
      <c r="M110" s="617"/>
      <c r="N110" s="617"/>
      <c r="O110" s="617"/>
      <c r="P110" s="617"/>
      <c r="Q110" s="617"/>
      <c r="R110" s="609"/>
      <c r="AR110" s="414"/>
      <c r="BN110" s="415"/>
    </row>
    <row r="111" ht="39" customHeight="1">
      <c r="A111" s="617"/>
      <c r="B111" s="617"/>
      <c r="C111" s="617"/>
      <c r="D111" s="617"/>
      <c r="E111" s="617"/>
      <c r="F111" s="617"/>
      <c r="G111" s="617"/>
      <c r="H111" s="617"/>
      <c r="I111" s="617"/>
      <c r="J111" s="617"/>
      <c r="K111" s="617"/>
      <c r="L111" s="617"/>
      <c r="M111" s="617"/>
      <c r="N111" s="617"/>
      <c r="O111" s="617"/>
      <c r="P111" s="617"/>
      <c r="Q111" s="617"/>
      <c r="R111" s="609"/>
      <c r="AR111" s="414"/>
      <c r="BN111" s="415"/>
    </row>
    <row r="112" ht="39" customHeight="1">
      <c r="A112" s="617"/>
      <c r="B112" s="617"/>
      <c r="C112" s="617"/>
      <c r="D112" s="617"/>
      <c r="E112" s="617"/>
      <c r="F112" s="617"/>
      <c r="G112" s="617"/>
      <c r="H112" s="617"/>
      <c r="I112" s="617"/>
      <c r="J112" s="617"/>
      <c r="K112" s="617"/>
      <c r="L112" s="617"/>
      <c r="M112" s="617"/>
      <c r="N112" s="617"/>
      <c r="O112" s="617"/>
      <c r="P112" s="617"/>
      <c r="Q112" s="617"/>
      <c r="R112" s="609"/>
      <c r="AR112" s="414"/>
      <c r="BN112" s="415"/>
    </row>
    <row r="113" ht="39" customHeight="1">
      <c r="A113" s="617"/>
      <c r="B113" s="617"/>
      <c r="C113" s="617"/>
      <c r="D113" s="617"/>
      <c r="E113" s="617"/>
      <c r="F113" s="617"/>
      <c r="G113" s="617"/>
      <c r="H113" s="617"/>
      <c r="I113" s="617"/>
      <c r="J113" s="617"/>
      <c r="K113" s="617"/>
      <c r="L113" s="617"/>
      <c r="M113" s="617"/>
      <c r="N113" s="617"/>
      <c r="O113" s="617"/>
      <c r="P113" s="617"/>
      <c r="Q113" s="617"/>
      <c r="R113" s="609"/>
      <c r="AR113" s="414"/>
      <c r="BN113" s="415"/>
    </row>
    <row r="114" ht="39" customHeight="1">
      <c r="A114" s="617"/>
      <c r="B114" s="617"/>
      <c r="C114" s="617"/>
      <c r="D114" s="617"/>
      <c r="E114" s="617"/>
      <c r="F114" s="617"/>
      <c r="G114" s="617"/>
      <c r="H114" s="617"/>
      <c r="I114" s="617"/>
      <c r="J114" s="617"/>
      <c r="K114" s="617"/>
      <c r="L114" s="617"/>
      <c r="M114" s="617"/>
      <c r="N114" s="617"/>
      <c r="O114" s="617"/>
      <c r="P114" s="617"/>
      <c r="Q114" s="617"/>
      <c r="R114" s="609"/>
      <c r="AR114" s="414"/>
      <c r="BN114" s="415"/>
    </row>
    <row r="115" ht="39" customHeight="1">
      <c r="A115" s="617"/>
      <c r="B115" s="617"/>
      <c r="C115" s="617"/>
      <c r="D115" s="617"/>
      <c r="E115" s="617"/>
      <c r="F115" s="617"/>
      <c r="G115" s="617"/>
      <c r="H115" s="617"/>
      <c r="I115" s="617"/>
      <c r="J115" s="617"/>
      <c r="K115" s="617"/>
      <c r="L115" s="617"/>
      <c r="M115" s="617"/>
      <c r="N115" s="617"/>
      <c r="O115" s="617"/>
      <c r="P115" s="617"/>
      <c r="Q115" s="617"/>
      <c r="R115" s="609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EAAD47AB-7FAE-4659-AA9C-0BAFB54703C6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17BADA5E-739D-48A4-A3B5-FD0085F00B3C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DB318EC-61B3-4DCB-A962-943BC1D3BA62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D99E4F72-8B2B-4BE6-B10E-1966D353804A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6641A113-1D2C-46E7-AC6C-4144083769D1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C280E3CD-8B7B-4A45-A3B6-070DEB1E4F67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20A7A5C8-6433-40ED-BFF9-47AE888CDAEF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8BE2DAF7-F1C8-4693-9EB6-DF3583755EF4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58A673DA-E86C-429A-A940-D72E2C748164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8FC1FCBB-662D-402B-B4AB-8D69F60A29CC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3C4A8A36-B44F-4612-A884-75F254C2D9BA}">
          <x14:formula1>
            <xm:f>wavy2!$A$19:$A$20</xm:f>
          </x14:formula1>
          <xm:sqref>BE9</xm:sqref>
        </x14:dataValidation>
        <x14:dataValidation type="list" allowBlank="1" showInputMessage="1" showErrorMessage="1" xr:uid="{62CF5D15-00D1-4517-A41E-825C04F567C1}">
          <x14:formula1>
            <xm:f>wavy1!$A$19:$A$20</xm:f>
          </x14:formula1>
          <xm:sqref>AT9</xm:sqref>
        </x14:dataValidation>
        <x14:dataValidation type="list" allowBlank="1" showInputMessage="1" showErrorMessage="1" xr:uid="{08F5680F-64E3-4EDF-8FA8-4F76830BF5CF}">
          <x14:formula1>
            <xm:f>Sheet2!$B$5:$B$7</xm:f>
          </x14:formula1>
          <xm:sqref>T25 T46 T64</xm:sqref>
        </x14:dataValidation>
        <x14:dataValidation type="list" allowBlank="1" showInputMessage="1" showErrorMessage="1" xr:uid="{841DE807-A85E-4142-9A89-38E4E3BE0136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6E4F6A9F-08D8-4DB0-9FDF-B6577ECD5385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8B113E7E-E567-4B21-9942-351213EAEB51}">
          <x14:formula1>
            <xm:f>Sheet2!$C$5:$C$6</xm:f>
          </x14:formula1>
          <xm:sqref>T26</xm:sqref>
        </x14:dataValidation>
        <x14:dataValidation type="list" allowBlank="1" showInputMessage="1" showErrorMessage="1" xr:uid="{6F9667A5-9E9F-44E3-A7FC-5C8BF43205F1}">
          <x14:formula1>
            <xm:f>Sheet2!$A$5</xm:f>
          </x14:formula1>
          <xm:sqref>U31</xm:sqref>
        </x14:dataValidation>
        <x14:dataValidation type="list" allowBlank="1" showInputMessage="1" showErrorMessage="1" xr:uid="{9F73D43E-E7FA-4237-A6AE-744769BE59DC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8A05142F-4C9C-4769-B10E-3013F6E1BEE8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7509DF77-6728-4D9B-A616-69AE1AB70C24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238D109D-9197-4E0D-92C9-6213F454E17E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D7B612C6-D045-415F-96B2-C39E364AF37C}">
          <x14:formula1>
            <xm:f>Sheet2!$D$5:$D$6</xm:f>
          </x14:formula1>
          <xm:sqref>T32 T53 T71</xm:sqref>
        </x14:dataValidation>
        <x14:dataValidation type="list" allowBlank="1" showInputMessage="1" showErrorMessage="1" xr:uid="{746A9F14-555B-48B7-ADE9-78FC39CA1891}">
          <x14:formula1>
            <xm:f>Sheet2!$A$6</xm:f>
          </x14:formula1>
          <xm:sqref>AC36</xm:sqref>
        </x14:dataValidation>
        <x14:dataValidation type="list" allowBlank="1" showInputMessage="1" showErrorMessage="1" xr:uid="{3F97FFF5-BBE2-4277-8FC1-9A7B377F62AA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253</v>
      </c>
      <c r="B1" s="1" t="s">
        <v>254</v>
      </c>
      <c r="C1" s="1" t="s">
        <v>255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256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257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05" t="s">
        <v>258</v>
      </c>
      <c r="I7" s="805"/>
      <c r="J7" s="805"/>
      <c r="K7" s="806"/>
    </row>
    <row r="8">
      <c r="A8" s="4" t="s">
        <v>259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05"/>
      <c r="I8" s="805"/>
      <c r="J8" s="805"/>
      <c r="K8" s="806"/>
    </row>
    <row r="9">
      <c r="A9" s="4" t="s">
        <v>260</v>
      </c>
      <c r="C9" s="1" t="str">
        <f>IF(Format!N8=5,'Format διαστασης οδηγου'!B2-35,IF(Format!N8=6,'Format διαστασης οδηγου'!B2-31,"-------"))</f>
        <v>-------</v>
      </c>
      <c r="H9" s="805"/>
      <c r="I9" s="805"/>
      <c r="J9" s="805"/>
      <c r="K9" s="806"/>
    </row>
    <row r="10">
      <c r="A10" s="4" t="s">
        <v>261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256</v>
      </c>
      <c r="C14" s="1">
        <f>IF(Format!N8=1,B2,IF(Format!N8=2,'Format διαστασης οδηγου'!B2-11,"-------"))</f>
        <v>700</v>
      </c>
      <c r="K14" s="8"/>
    </row>
    <row r="15">
      <c r="A15" s="4" t="s">
        <v>257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05" t="s">
        <v>262</v>
      </c>
      <c r="I15" s="805"/>
      <c r="J15" s="805"/>
      <c r="K15" s="806"/>
    </row>
    <row r="16">
      <c r="A16" s="4" t="s">
        <v>259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05"/>
      <c r="I16" s="805"/>
      <c r="J16" s="805"/>
      <c r="K16" s="806"/>
    </row>
    <row r="17">
      <c r="A17" s="4" t="s">
        <v>260</v>
      </c>
      <c r="C17" s="1" t="str">
        <f>IF(Format!N8=5,'Format διαστασης οδηγου'!B2-6,IF(Format!N8=6,'Format διαστασης οδηγου'!B2-2,"-------"))</f>
        <v>-------</v>
      </c>
      <c r="H17" s="805"/>
      <c r="I17" s="805"/>
      <c r="J17" s="805"/>
      <c r="K17" s="806"/>
    </row>
    <row r="18">
      <c r="A18" s="4" t="s">
        <v>261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70" zoomScaleNormal="90" zoomScaleSheetLayoutView="70" zoomScalePageLayoutView="90" workbookViewId="0">
      <selection activeCell="J21" sqref="J21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0" t="s">
        <v>0</v>
      </c>
      <c r="B1" s="641"/>
      <c r="C1" s="642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3"/>
      <c r="B2" s="644"/>
      <c r="C2" s="645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47" t="s">
        <v>17</v>
      </c>
      <c r="B3" s="648"/>
      <c r="C3" s="405"/>
      <c r="F3" s="234" t="s">
        <v>18</v>
      </c>
      <c r="G3" s="649">
        <f>NOW()</f>
        <v>45525.53444491898</v>
      </c>
      <c r="H3" s="650"/>
      <c r="I3" s="650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46" t="s">
        <v>20</v>
      </c>
      <c r="E4" s="646"/>
      <c r="F4" s="646"/>
      <c r="G4" s="646"/>
      <c r="H4" s="646"/>
      <c r="I4" s="646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0.014056137525286895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0.030923502555631172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0.018521028268613321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0.063500668349531386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46" t="s">
        <v>60</v>
      </c>
      <c r="E10" s="646"/>
      <c r="F10" s="646"/>
      <c r="G10" s="646"/>
      <c r="H10" s="646"/>
      <c r="I10" s="646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46" t="s">
        <v>76</v>
      </c>
      <c r="E15" s="646"/>
      <c r="F15" s="646"/>
      <c r="G15" s="646"/>
      <c r="H15" s="646"/>
      <c r="I15" s="646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0.0058796915138454985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0.0036748071961534368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0.0032338303326150241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0.00095544987099989355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0.0014699228784613746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0.00044097686353841242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3000</v>
      </c>
      <c r="L23" s="241">
        <f t="shared" si="3"/>
        <v>0.022048843176920619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0.00022048843176920621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0.017639074541536497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0.003307326476538093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8010</v>
      </c>
      <c r="L27" s="244">
        <f>Table15[[#Totals],[اجمالي]]/$G$79</f>
        <v>0.058870411282378056</v>
      </c>
    </row>
    <row r="28" ht="21" customHeight="1" s="216" customFormat="1">
      <c r="C28" s="217"/>
      <c r="D28" s="646" t="s">
        <v>99</v>
      </c>
      <c r="E28" s="646"/>
      <c r="F28" s="646"/>
      <c r="G28" s="646"/>
      <c r="H28" s="646"/>
      <c r="I28" s="646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46" t="s">
        <v>102</v>
      </c>
      <c r="E33" s="646"/>
      <c r="F33" s="646"/>
      <c r="G33" s="646"/>
      <c r="H33" s="646"/>
      <c r="I33" s="646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0.00055122107942301554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0.00055122107942301554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0.0009187017990383592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0.0055122107942301548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0.0014699228784613746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221.05263157894737</v>
      </c>
      <c r="L41" s="241">
        <f t="shared" si="7"/>
        <v>0.0016246516025099406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0.042333778899687591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0.034910668363457652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0.038585475559611088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800</v>
      </c>
      <c r="L47" s="251">
        <f t="shared" si="7"/>
        <v>0.0058796915138454985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800</v>
      </c>
      <c r="L48" s="251">
        <f t="shared" si="7"/>
        <v>0.0058796915138454985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18806.052631578947</v>
      </c>
      <c r="L49" s="244">
        <f>Table13[[#Totals],[اجمالي]]/$G$79</f>
        <v>0.13821723508353317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46" t="s">
        <v>119</v>
      </c>
      <c r="E51" s="646"/>
      <c r="F51" s="646"/>
      <c r="G51" s="646"/>
      <c r="H51" s="646"/>
      <c r="I51" s="646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225</v>
      </c>
      <c r="J53" s="411">
        <f>Table1610[[#This Row],[سعر الكيلو]]*Table1610[[#This Row],[الوزن]]</f>
        <v>393.75</v>
      </c>
      <c r="K53" s="240">
        <f>B53*J53</f>
        <v>1181.25</v>
      </c>
      <c r="L53" s="241">
        <f>(Table1610[[#This Row],[اجمالي]])/$G$79</f>
        <v>0.0086817320009124951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1750</v>
      </c>
      <c r="L54" s="241">
        <f>(Table1610[[#This Row],[اجمالي]])/$G$79</f>
        <v>0.012861825186537029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2931.25</v>
      </c>
      <c r="L55" s="244">
        <f>Table1610[[#Totals],[اجمالي]]/$G$79</f>
        <v>0.021543557187449523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46" t="s">
        <v>123</v>
      </c>
      <c r="E56" s="646"/>
      <c r="F56" s="646"/>
      <c r="G56" s="646"/>
      <c r="H56" s="646"/>
      <c r="I56" s="646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3014.2535679959346</v>
      </c>
      <c r="I58" s="247"/>
      <c r="J58" s="411">
        <f>IF((Table1611[[#This Row],[عدد]]&gt;0),'Cutting Ro-1'!O8,0)</f>
        <v>63299.324927914626</v>
      </c>
      <c r="K58" s="240">
        <f>B58*Table1611[[#This Row],[سعر البرجولا كاملة]]</f>
        <v>63299.324927914626</v>
      </c>
      <c r="L58" s="241">
        <f>(K58)/$G$79</f>
        <v>0.4652256295135106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63299.324927914626</v>
      </c>
      <c r="K59" s="240">
        <f>B59*Table1611[[#This Row],[سعر البرجولا كاملة]]</f>
        <v>6329.9324927914631</v>
      </c>
      <c r="L59" s="241">
        <f>(K59)/$G$79</f>
        <v>0.046522562951351064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69629.257420706082</v>
      </c>
      <c r="L60" s="244">
        <f>Table1611[[#Totals],[اجمالي]]/$G$79</f>
        <v>0.51174819246486158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46" t="s">
        <v>133</v>
      </c>
      <c r="E61" s="646"/>
      <c r="F61" s="646"/>
      <c r="G61" s="646"/>
      <c r="H61" s="646"/>
      <c r="I61" s="646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0.0058796915138454985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0.0044097686353841243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0.0088195372707682487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0.0044097686353841243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0.028663496129996805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0.021497622097497605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0.019108997419997872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0.019402981995690145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0.025723650373074058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0.022048843176920619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0.033808226204611616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0.012347352179075547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28045</v>
      </c>
      <c r="L76" s="525">
        <f>Table1612[[#Totals],[اجمالي]]/$G$79</f>
        <v>0.20611993563224626</v>
      </c>
    </row>
    <row r="77" ht="18.75">
      <c r="A77" s="216"/>
      <c r="B77" s="216"/>
      <c r="C77" s="217"/>
      <c r="D77" s="639"/>
      <c r="E77" s="639"/>
      <c r="F77" s="639"/>
      <c r="G77" s="639"/>
      <c r="H77" s="639"/>
      <c r="I77" s="639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136061.56005228503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176880.02806797053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525676E8-74C2-4B21-B08F-A87ED259CCEB}">
      <formula1>$N$2:$N$20</formula1>
    </dataValidation>
    <dataValidation type="list" allowBlank="1" showInputMessage="1" showErrorMessage="1" sqref="G63:G75" xr:uid="{A8F5E2B4-FD56-421B-8416-AACFC70DE4CC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G20" sqref="G20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40" t="s">
        <v>0</v>
      </c>
      <c r="B1" s="641"/>
      <c r="C1" s="642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3"/>
      <c r="B2" s="644"/>
      <c r="C2" s="645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47" t="s">
        <v>17</v>
      </c>
      <c r="B3" s="648"/>
      <c r="C3" s="405"/>
      <c r="F3" s="234" t="s">
        <v>18</v>
      </c>
      <c r="G3" s="649">
        <f>NOW()</f>
        <v>45525.53444491898</v>
      </c>
      <c r="H3" s="650"/>
      <c r="I3" s="650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46" t="s">
        <v>20</v>
      </c>
      <c r="E4" s="646"/>
      <c r="F4" s="646"/>
      <c r="G4" s="646"/>
      <c r="H4" s="646"/>
      <c r="I4" s="646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0.0048480274302802624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0.042662641386466305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0.00966753705214711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0.012775978169209161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0.069954184038102843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46" t="s">
        <v>60</v>
      </c>
      <c r="E11" s="646"/>
      <c r="F11" s="646"/>
      <c r="G11" s="646"/>
      <c r="H11" s="646"/>
      <c r="I11" s="646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46" t="s">
        <v>76</v>
      </c>
      <c r="E16" s="646"/>
      <c r="F16" s="646"/>
      <c r="G16" s="646"/>
      <c r="H16" s="646"/>
      <c r="I16" s="646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0.0030418995640974192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0.0025349163034145161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0.0013942039668779838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0.00098861735833166123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0.0024335196512779355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0.00030418995640974194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0.030418995640974191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0.00010139665213658065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0.0034221370096095965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17610</v>
      </c>
      <c r="L28" s="244">
        <f>Table1522[[#Totals],[اجمالي]]/$G$84</f>
        <v>0.044639876103129625</v>
      </c>
    </row>
    <row r="29" ht="18.75" s="216" customFormat="1">
      <c r="C29" s="217"/>
      <c r="D29" s="646" t="s">
        <v>99</v>
      </c>
      <c r="E29" s="646"/>
      <c r="F29" s="646"/>
      <c r="G29" s="646"/>
      <c r="H29" s="646"/>
      <c r="I29" s="646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0.012775978169209161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0.0054754192153753543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0.018251397384584516</v>
      </c>
    </row>
    <row r="34" ht="18.75" s="216" customFormat="1">
      <c r="C34" s="217"/>
      <c r="D34" s="646" t="s">
        <v>102</v>
      </c>
      <c r="E34" s="646"/>
      <c r="F34" s="646"/>
      <c r="G34" s="646"/>
      <c r="H34" s="646"/>
      <c r="I34" s="646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0.0060837991281948384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0.00053233242371704837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0.0001901187227560887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0.0001901187227560887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0.000633729075853629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0.001901187227560887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0.00050698326068290324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0.024081704882437903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0.02661662118585242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0.0020279330427316129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0.0020279330427316129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0.06479246071527503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46" t="s">
        <v>119</v>
      </c>
      <c r="E52" s="646"/>
      <c r="F52" s="646"/>
      <c r="G52" s="646"/>
      <c r="H52" s="646"/>
      <c r="I52" s="646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225</v>
      </c>
      <c r="J54" s="411">
        <f>Table161027[[#This Row],[سعر الكيلو]]*Table161027[[#This Row],[الوزن]]</f>
        <v>393.75</v>
      </c>
      <c r="K54" s="240">
        <f ref="K54:K55" t="shared" si="13">B54*J54</f>
        <v>1968.75</v>
      </c>
      <c r="L54" s="241">
        <f>(Table161027[[#This Row],[اجمالي]])/$G$84</f>
        <v>0.0049906164723473286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0.088722070619508056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36968.75</v>
      </c>
      <c r="L56" s="241">
        <f>Table161027[[#Totals],[اجمالي]]/$G$84</f>
        <v>0.093712687091855387</v>
      </c>
    </row>
    <row r="57" ht="18.75" s="216" customFormat="1">
      <c r="C57" s="217"/>
      <c r="D57" s="646" t="s">
        <v>123</v>
      </c>
      <c r="E57" s="646"/>
      <c r="F57" s="646"/>
      <c r="G57" s="646"/>
      <c r="H57" s="646"/>
      <c r="I57" s="646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2133.1235057477479</v>
      </c>
      <c r="I59" s="247"/>
      <c r="J59" s="411">
        <f>IF((Table161128[[#This Row],[عدد]]&gt;0),'Cutting Ro-2'!O8,0)</f>
        <v>204779.8565517838</v>
      </c>
      <c r="K59" s="240">
        <f>Table161128[[#This Row],[عدد]]*Table161128[[#This Row],[سعر البرجولا كاملة]]</f>
        <v>204779.8565517838</v>
      </c>
      <c r="L59" s="241">
        <f>(K59)/$G$84</f>
        <v>0.51909979698400266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204779.8565517838</v>
      </c>
      <c r="K60" s="240">
        <f>Table161128[[#This Row],[عدد]]*Table161128[[#This Row],[سعر البرجولا كاملة]]</f>
        <v>20477.985655178381</v>
      </c>
      <c r="L60" s="241">
        <f>(K60)/$G$84</f>
        <v>0.05190997969840027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225257.84220696217</v>
      </c>
      <c r="L61" s="244">
        <f>Table161128[[#Totals],[اجمالي]]/$G$84</f>
        <v>0.57100977668240294</v>
      </c>
    </row>
    <row r="62" ht="18.75" s="216" customFormat="1">
      <c r="C62" s="217"/>
      <c r="D62" s="646" t="s">
        <v>131</v>
      </c>
      <c r="E62" s="646"/>
      <c r="F62" s="646"/>
      <c r="G62" s="646"/>
      <c r="H62" s="646"/>
      <c r="I62" s="646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0.058803720948458239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0.058803720948458239</v>
      </c>
    </row>
    <row r="66" ht="18.75" s="216" customFormat="1">
      <c r="C66" s="217"/>
      <c r="D66" s="646" t="s">
        <v>133</v>
      </c>
      <c r="E66" s="646"/>
      <c r="F66" s="646"/>
      <c r="G66" s="646"/>
      <c r="H66" s="646"/>
      <c r="I66" s="646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0.0030418995640974192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0.0015209497820487096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0.004562849346146129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0.0030418995640974192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0.0098861735833166119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0.0098861735833166119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0.0098861735833166119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0.0066921790410143225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0.011407123365365323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0.0076047489102435478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0.0058303074978533868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0.0054754192153753543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0.078835897036191455</v>
      </c>
    </row>
    <row r="82" ht="18.75">
      <c r="A82" s="216"/>
      <c r="B82" s="216"/>
      <c r="C82" s="217"/>
      <c r="D82" s="639"/>
      <c r="E82" s="639"/>
      <c r="F82" s="639"/>
      <c r="G82" s="639"/>
      <c r="H82" s="639"/>
      <c r="I82" s="639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394490.34220696217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512837.44486905087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206275F8-792B-40B6-8767-709B259F7156}">
      <formula1>$U$4:$U$5</formula1>
    </dataValidation>
    <dataValidation type="list" allowBlank="1" showInputMessage="1" showErrorMessage="1" sqref="F72:F80" xr:uid="{4595FED9-A738-4534-A56D-285450D617CB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topLeftCell="J1" zoomScale="55" zoomScaleNormal="55" workbookViewId="0">
      <selection activeCell="U15" sqref="U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441</v>
      </c>
      <c r="B1" s="271">
        <f>(F1*D1)/10000</f>
        <v>12.5</v>
      </c>
      <c r="C1" s="272" t="s">
        <v>425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0" t="s">
        <v>0</v>
      </c>
      <c r="M1" s="641"/>
      <c r="N1" s="642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442</v>
      </c>
      <c r="B2" s="187" t="s">
        <v>443</v>
      </c>
      <c r="C2" s="187" t="s">
        <v>444</v>
      </c>
      <c r="D2" s="187" t="s">
        <v>64</v>
      </c>
      <c r="E2" s="187" t="s">
        <v>445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43"/>
      <c r="M2" s="644"/>
      <c r="N2" s="645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446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92">
        <f>B3*C3*D3*E3</f>
        <v>5625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47" t="s">
        <v>17</v>
      </c>
      <c r="M3" s="648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9">
        <f>NOW()</f>
        <v>45525.53444491898</v>
      </c>
      <c r="S3" s="650"/>
      <c r="T3" s="650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447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10</v>
      </c>
      <c r="F4" s="392">
        <f>B4*C4*D4*E4</f>
        <v>3500.0000000000005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46" t="s">
        <v>20</v>
      </c>
      <c r="P4" s="646"/>
      <c r="Q4" s="646"/>
      <c r="R4" s="646"/>
      <c r="S4" s="646"/>
      <c r="T4" s="646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448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449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450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451</v>
      </c>
      <c r="B6" s="187">
        <f>E4*2</f>
        <v>20</v>
      </c>
      <c r="D6" s="187">
        <v>15</v>
      </c>
      <c r="F6" s="392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0.018830173577235289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452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453</v>
      </c>
      <c r="B7" s="187">
        <f>(((D1/(E4-1)+10)*(E4-1))*F1)/10000</f>
        <v>14.75</v>
      </c>
      <c r="D7" s="187">
        <v>225</v>
      </c>
      <c r="F7" s="392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0.0526137202893339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454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455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0.071443893866569186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456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457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46" t="s">
        <v>76</v>
      </c>
      <c r="P9" s="646"/>
      <c r="Q9" s="646"/>
      <c r="R9" s="646"/>
      <c r="S9" s="646"/>
      <c r="T9" s="646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458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459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460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461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0.0065638949288837614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462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463</v>
      </c>
      <c r="B12" s="187">
        <f>IF((تسعير!AT9=wavy1!A20),0,1)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0.0036101422108860688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464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465</v>
      </c>
      <c r="B13" s="187">
        <f>E4*2</f>
        <v>20</v>
      </c>
      <c r="D13" s="187">
        <v>10</v>
      </c>
      <c r="F13" s="392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0.0021332658518872223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0.0032819474644418807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1926.7</v>
      </c>
      <c r="F15" s="395">
        <f>SUBTOTAL(109,Table8[اجمالي التكلفة])</f>
        <v>24083.75</v>
      </c>
      <c r="G15" s="394"/>
      <c r="H15" s="394"/>
      <c r="I15" s="394"/>
      <c r="J15" s="394"/>
      <c r="L15" s="211">
        <v>5</v>
      </c>
      <c r="M15" s="212"/>
      <c r="N15" s="213" t="s">
        <v>466</v>
      </c>
      <c r="O15" s="214"/>
      <c r="P15" s="214"/>
      <c r="Q15" s="214"/>
      <c r="R15" s="401" t="s">
        <v>467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468</v>
      </c>
      <c r="O16" s="214"/>
      <c r="P16" s="214"/>
      <c r="Q16" s="214"/>
      <c r="R16" s="211" t="s">
        <v>469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0.039383369573302567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0.0549726200294015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470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46" t="s">
        <v>99</v>
      </c>
      <c r="P19" s="646"/>
      <c r="Q19" s="646"/>
      <c r="R19" s="646"/>
      <c r="S19" s="646"/>
      <c r="T19" s="646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183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471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46" t="s">
        <v>102</v>
      </c>
      <c r="P24" s="646"/>
      <c r="Q24" s="646"/>
      <c r="R24" s="646"/>
      <c r="S24" s="646"/>
      <c r="T24" s="646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0.00073843817949942314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0.00073843817949942314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0.00041024343305523509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0.0024614605983314104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0.0013127789857767522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0.0036274156185936574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0.0350758135262226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0.038973126140247331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0.043075560470799683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0.013127789857767523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0.013127789857767523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9303.5526315789466</v>
      </c>
      <c r="W45" s="244">
        <f>Table1359[[#Totals],[اجمالي]]/$R$71</f>
        <v>0.15266885484756054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46" t="s">
        <v>131</v>
      </c>
      <c r="P47" s="646"/>
      <c r="Q47" s="646"/>
      <c r="R47" s="646"/>
      <c r="S47" s="646"/>
      <c r="T47" s="64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472</v>
      </c>
      <c r="O49" s="214"/>
      <c r="P49" s="211"/>
      <c r="Q49" s="216"/>
      <c r="R49" s="247" t="s">
        <v>473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474</v>
      </c>
      <c r="O50" s="214"/>
      <c r="P50" s="211"/>
      <c r="Q50" s="216"/>
      <c r="R50" s="214"/>
      <c r="S50" s="211"/>
      <c r="T50" s="247"/>
      <c r="U50" s="248">
        <f>Table8[[#Totals],[اجمالي التكلفة]]</f>
        <v>24083.75</v>
      </c>
      <c r="V50" s="240">
        <f>M50*Table161368[[#This Row],[سعر الشبك ]]</f>
        <v>24083.75</v>
      </c>
      <c r="W50" s="241">
        <f t="shared" si="6" ca="1"/>
        <v>0.3952080112337607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24083.75</v>
      </c>
      <c r="V51" s="240">
        <f>M51*Table161368[[#This Row],[سعر الشبك ]]</f>
        <v>2408.375</v>
      </c>
      <c r="W51" s="241">
        <f t="shared" si="6" ca="1"/>
        <v>0.039520801123376068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26492.125</v>
      </c>
      <c r="W52" s="244">
        <f>Table161368[[#Totals],[اجمالي]]/$R$71</f>
        <v>0.43472881235713678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46" t="s">
        <v>133</v>
      </c>
      <c r="P53" s="646"/>
      <c r="Q53" s="646"/>
      <c r="R53" s="646"/>
      <c r="S53" s="646"/>
      <c r="T53" s="646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0.0065638949288837614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0.0065638949288837614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0.0098458423933256416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0.0098458423933256416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0.042665317037744448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0.031998987778308334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0.021332658518872224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0.043321706530632824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0.028717040313866456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0.075484791682163252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0.0098458423933256416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4290</v>
      </c>
      <c r="T68" s="518"/>
      <c r="U68" s="523"/>
      <c r="V68" s="524">
        <f>SUBTOTAL(109,Table161267[اجمالي])</f>
        <v>17440</v>
      </c>
      <c r="W68" s="525">
        <f>Table161267[[#Totals],[اجمالي]]/$R$71</f>
        <v>0.286185818899332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9"/>
      <c r="P69" s="639"/>
      <c r="Q69" s="639"/>
      <c r="R69" s="639"/>
      <c r="S69" s="639"/>
      <c r="T69" s="639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60939.427631578947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79221.255921052638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4CAF4EAC-4442-4587-BE47-C22733B7AFF7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1" zoomScale="70" zoomScaleNormal="70" workbookViewId="0">
      <selection activeCell="U15" sqref="U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441</v>
      </c>
      <c r="B1" s="271">
        <f>(F1*D1)/10000</f>
        <v>35</v>
      </c>
      <c r="C1" s="272" t="s">
        <v>425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0" t="s">
        <v>0</v>
      </c>
      <c r="M1" s="641"/>
      <c r="N1" s="642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442</v>
      </c>
      <c r="B2" s="187" t="s">
        <v>443</v>
      </c>
      <c r="C2" s="187" t="s">
        <v>444</v>
      </c>
      <c r="D2" s="187" t="s">
        <v>64</v>
      </c>
      <c r="E2" s="187" t="s">
        <v>445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43"/>
      <c r="M2" s="644"/>
      <c r="N2" s="645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446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92">
        <f>B3*C3*D3*E3</f>
        <v>7875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47" t="s">
        <v>17</v>
      </c>
      <c r="M3" s="648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9">
        <f>NOW()</f>
        <v>45525.53444491898</v>
      </c>
      <c r="S3" s="650"/>
      <c r="T3" s="650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447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13</v>
      </c>
      <c r="F4" s="392">
        <f>B4*C4*D4*E4</f>
        <v>9100.0000000000018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46" t="s">
        <v>20</v>
      </c>
      <c r="P4" s="646"/>
      <c r="Q4" s="646"/>
      <c r="R4" s="646"/>
      <c r="S4" s="646"/>
      <c r="T4" s="646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449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451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453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0.06733230773739747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455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0.06733230773739747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457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46" t="s">
        <v>76</v>
      </c>
      <c r="P9" s="646"/>
      <c r="Q9" s="646"/>
      <c r="R9" s="646"/>
      <c r="S9" s="646"/>
      <c r="T9" s="646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459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461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0.0052500824746508747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463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0.0028875453610579809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465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0.0017062768042615342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0.010500164949301749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466</v>
      </c>
      <c r="O15" s="214"/>
      <c r="P15" s="214"/>
      <c r="Q15" s="214"/>
      <c r="R15" s="401" t="s">
        <v>467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468</v>
      </c>
      <c r="O16" s="214"/>
      <c r="P16" s="214"/>
      <c r="Q16" s="214"/>
      <c r="R16" s="211" t="s">
        <v>469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1130</v>
      </c>
      <c r="F17" s="395">
        <f>SUBTOTAL(109,Table823[اجمالي التكلفة])</f>
        <v>39550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0.020344069589272141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470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46" t="s">
        <v>99</v>
      </c>
      <c r="P19" s="646"/>
      <c r="Q19" s="646"/>
      <c r="R19" s="646"/>
      <c r="S19" s="646"/>
      <c r="T19" s="646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183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471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0.016537759795150254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0.0070876113407786811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0.023625371135928937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46" t="s">
        <v>102</v>
      </c>
      <c r="P24" s="646"/>
      <c r="Q24" s="646"/>
      <c r="R24" s="646"/>
      <c r="S24" s="646"/>
      <c r="T24" s="646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0.0039725624058191628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0.00059063427839822335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0.00059063427839822335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0.000984390463997039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0.0059063427839822344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0.0015750247423952624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0.0029013613675702202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0.040425635054811733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0.062344729386479135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0.068907332479792735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0.0019068299547931981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0.0019068299547931981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0.19201230715123038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46" t="s">
        <v>131</v>
      </c>
      <c r="P47" s="646"/>
      <c r="Q47" s="646"/>
      <c r="R47" s="646"/>
      <c r="S47" s="646"/>
      <c r="T47" s="64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472</v>
      </c>
      <c r="O49" s="214"/>
      <c r="P49" s="211"/>
      <c r="Q49" s="216"/>
      <c r="R49" s="247" t="s">
        <v>473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474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39550</v>
      </c>
      <c r="V50" s="240">
        <f>M50*Table16136845[[#This Row],[سعر الشبك ]]</f>
        <v>39550</v>
      </c>
      <c r="W50" s="241">
        <f t="shared" si="6"/>
        <v>0.51910190468110529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39550</v>
      </c>
      <c r="V51" s="240">
        <f>M51*Table16136845[[#This Row],[سعر الشبك ]]</f>
        <v>3955</v>
      </c>
      <c r="W51" s="241">
        <f t="shared" si="6"/>
        <v>0.051910190468110524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43505</v>
      </c>
      <c r="W52" s="244">
        <f>Table16136845[[#Totals],[اجمالي]]/$R$71</f>
        <v>0.5710120951492158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46" t="s">
        <v>133</v>
      </c>
      <c r="P53" s="646"/>
      <c r="Q53" s="646"/>
      <c r="R53" s="646"/>
      <c r="S53" s="646"/>
      <c r="T53" s="646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0.010500164949301749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0.010500164949301749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0.0052500824746508747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0.0078751237119763125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0.017062768042615344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0.012797076031961507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0.03150049484790525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0.030187974229242531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0.12567384923695532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9"/>
      <c r="P69" s="639"/>
      <c r="Q69" s="639"/>
      <c r="R69" s="639"/>
      <c r="S69" s="639"/>
      <c r="T69" s="639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76189.279298245616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99046.0630877193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40AC28AD-B371-4C59-80CF-E51483C2B4FB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zoomScale="70" zoomScaleNormal="70" workbookViewId="0">
      <selection activeCell="C13" sqref="C13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2.285156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475</v>
      </c>
      <c r="B2" s="324" t="s">
        <v>198</v>
      </c>
      <c r="C2" s="324" t="s">
        <v>476</v>
      </c>
      <c r="E2" s="324" t="s">
        <v>9</v>
      </c>
      <c r="F2" s="323" t="s">
        <v>30</v>
      </c>
      <c r="H2" s="329" t="s">
        <v>9</v>
      </c>
      <c r="I2" s="361" t="s">
        <v>477</v>
      </c>
      <c r="J2" s="362" t="s">
        <v>478</v>
      </c>
      <c r="K2" s="363" t="s">
        <v>479</v>
      </c>
      <c r="M2" s="364" t="s">
        <v>480</v>
      </c>
      <c r="N2" s="364" t="s">
        <v>481</v>
      </c>
      <c r="O2" s="0" t="s">
        <v>9</v>
      </c>
      <c r="P2" s="365"/>
      <c r="R2" s="340"/>
      <c r="S2" s="323" t="s">
        <v>198</v>
      </c>
      <c r="T2" s="323" t="s">
        <v>476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477</v>
      </c>
      <c r="AA2" s="331" t="s">
        <v>478</v>
      </c>
      <c r="AB2" s="331" t="s">
        <v>479</v>
      </c>
      <c r="AD2" s="0" t="s">
        <v>480</v>
      </c>
      <c r="AE2" s="0" t="s">
        <v>481</v>
      </c>
      <c r="AF2" s="0" t="s">
        <v>9</v>
      </c>
      <c r="AG2" s="365"/>
    </row>
    <row r="3" ht="22.5" customHeight="1">
      <c r="A3" s="330" t="s">
        <v>482</v>
      </c>
      <c r="B3" s="331">
        <v>2.5</v>
      </c>
      <c r="C3" s="331">
        <v>11.75</v>
      </c>
      <c r="E3" s="331" t="s">
        <v>483</v>
      </c>
      <c r="F3" s="331">
        <f>Sheet2!B42</f>
        <v>450</v>
      </c>
      <c r="H3" s="565" t="s">
        <v>484</v>
      </c>
      <c r="I3" s="366">
        <v>2</v>
      </c>
      <c r="J3" s="367">
        <v>75</v>
      </c>
      <c r="K3" s="368">
        <f ref="K3:K10" t="shared" si="0">I3*J3</f>
        <v>150</v>
      </c>
      <c r="M3" s="369" t="s">
        <v>485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9" t="str">
        <f>IF((N6&gt;0),"OK","WAIT")</f>
        <v>OK</v>
      </c>
      <c r="P3" s="365"/>
      <c r="R3" s="340"/>
      <c r="S3" s="383" t="s">
        <v>450</v>
      </c>
      <c r="T3" s="331">
        <v>17</v>
      </c>
      <c r="U3" s="323"/>
      <c r="V3" s="331" t="s">
        <v>483</v>
      </c>
      <c r="W3" s="331">
        <f>Sheet2!B42</f>
        <v>450</v>
      </c>
      <c r="X3" s="323"/>
      <c r="Y3" s="339" t="s">
        <v>486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485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482</v>
      </c>
      <c r="B4" s="331">
        <v>2.7</v>
      </c>
      <c r="C4" s="331">
        <v>13.5</v>
      </c>
      <c r="E4" s="331" t="s">
        <v>487</v>
      </c>
      <c r="F4" s="331">
        <f>Sheet2!B43</f>
        <v>130</v>
      </c>
      <c r="H4" s="565" t="s">
        <v>488</v>
      </c>
      <c r="I4" s="366">
        <v>2</v>
      </c>
      <c r="J4" s="367"/>
      <c r="K4" s="368">
        <f t="shared" si="0"/>
        <v>0</v>
      </c>
      <c r="M4" s="369" t="s">
        <v>489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9" t="str">
        <f>IF((N10=0),"WAIT","OK")</f>
        <v>OK</v>
      </c>
      <c r="P4" s="365"/>
      <c r="R4" s="340"/>
      <c r="S4" s="383" t="s">
        <v>199</v>
      </c>
      <c r="T4" s="331">
        <v>18.75</v>
      </c>
      <c r="U4" s="323"/>
      <c r="V4" s="331" t="s">
        <v>487</v>
      </c>
      <c r="W4" s="331">
        <f>Sheet2!B43</f>
        <v>130</v>
      </c>
      <c r="X4" s="323"/>
      <c r="Y4" s="339" t="s">
        <v>488</v>
      </c>
      <c r="Z4" s="375">
        <v>2</v>
      </c>
      <c r="AA4" s="331">
        <v>15</v>
      </c>
      <c r="AB4" s="331">
        <f t="shared" si="1"/>
        <v>30</v>
      </c>
      <c r="AD4" s="388" t="s">
        <v>489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482</v>
      </c>
      <c r="B5" s="331">
        <v>3</v>
      </c>
      <c r="C5" s="331">
        <v>13.5</v>
      </c>
      <c r="E5" s="331" t="s">
        <v>200</v>
      </c>
      <c r="F5" s="331">
        <f>Sheet2!B44</f>
        <v>175</v>
      </c>
      <c r="H5" s="565" t="s">
        <v>490</v>
      </c>
      <c r="I5" s="366">
        <v>16</v>
      </c>
      <c r="J5" s="367">
        <v>10</v>
      </c>
      <c r="K5" s="368">
        <f t="shared" si="0"/>
        <v>160</v>
      </c>
      <c r="M5" s="369" t="s">
        <v>491</v>
      </c>
      <c r="N5" s="369">
        <f>IF((تسعير!AL8="خشبي"),'شماسي و كانتليفر'!F8,IF((تسعير!AL8="سادة"),'شماسي و كانتليفر'!F9,0))</f>
        <v>60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5"/>
      <c r="R5" s="340"/>
      <c r="S5" s="331"/>
      <c r="T5" s="331"/>
      <c r="U5" s="323"/>
      <c r="V5" s="331" t="s">
        <v>200</v>
      </c>
      <c r="W5" s="331">
        <f>Sheet2!B44</f>
        <v>175</v>
      </c>
      <c r="X5" s="323"/>
      <c r="Y5" s="339" t="s">
        <v>492</v>
      </c>
      <c r="Z5" s="375">
        <v>1</v>
      </c>
      <c r="AA5" s="331">
        <v>150</v>
      </c>
      <c r="AB5" s="331">
        <f t="shared" si="1"/>
        <v>150</v>
      </c>
      <c r="AD5" s="388" t="s">
        <v>491</v>
      </c>
      <c r="AE5" s="388">
        <f>IF((تسعير!AI28="خشبي"),W8,IF((تسعير!AI28="سادة"),W9,IF((تسعير!AI28="ذهبي"),W10,0)))</f>
        <v>25</v>
      </c>
      <c r="AF5" s="388"/>
      <c r="AG5" s="365"/>
    </row>
    <row r="6" ht="18.75">
      <c r="A6" s="330" t="s">
        <v>482</v>
      </c>
      <c r="B6" s="331">
        <v>3.5</v>
      </c>
      <c r="C6" s="331">
        <v>14.6</v>
      </c>
      <c r="E6" s="331" t="s">
        <v>493</v>
      </c>
      <c r="F6" s="331">
        <v>250</v>
      </c>
      <c r="H6" s="565" t="s">
        <v>494</v>
      </c>
      <c r="I6" s="366">
        <v>16</v>
      </c>
      <c r="J6" s="367">
        <v>1</v>
      </c>
      <c r="K6" s="368">
        <f t="shared" si="0"/>
        <v>16</v>
      </c>
      <c r="M6" s="369" t="s">
        <v>495</v>
      </c>
      <c r="N6" s="369">
        <f>(N5+'شماسي و كانتليفر'!F10)*(N4)</f>
        <v>3847.5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180</v>
      </c>
      <c r="W6" s="331">
        <v>250</v>
      </c>
      <c r="X6" s="323"/>
      <c r="Y6" s="339" t="s">
        <v>496</v>
      </c>
      <c r="Z6" s="375">
        <v>1</v>
      </c>
      <c r="AA6" s="331">
        <v>150</v>
      </c>
      <c r="AB6" s="331">
        <f t="shared" si="1"/>
        <v>150</v>
      </c>
      <c r="AD6" s="388" t="s">
        <v>495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88"/>
      <c r="AG6" s="365"/>
    </row>
    <row r="7" ht="18.75">
      <c r="A7" s="330" t="s">
        <v>179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497</v>
      </c>
      <c r="I7" s="366">
        <v>2</v>
      </c>
      <c r="J7" s="367">
        <v>80</v>
      </c>
      <c r="K7" s="368">
        <f t="shared" si="0"/>
        <v>160</v>
      </c>
      <c r="M7" s="369" t="s">
        <v>498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499</v>
      </c>
      <c r="Z7" s="375">
        <v>1</v>
      </c>
      <c r="AA7" s="331">
        <v>150</v>
      </c>
      <c r="AB7" s="331">
        <f t="shared" si="1"/>
        <v>150</v>
      </c>
      <c r="AD7" s="388" t="s">
        <v>498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179</v>
      </c>
      <c r="B8" s="331">
        <v>2.5</v>
      </c>
      <c r="C8" s="331">
        <v>11.75</v>
      </c>
      <c r="E8" s="331" t="s">
        <v>176</v>
      </c>
      <c r="F8" s="331">
        <f>Table626[[#This Row],[Column2]]</f>
        <v>60</v>
      </c>
      <c r="H8" s="565" t="s">
        <v>500</v>
      </c>
      <c r="I8" s="366">
        <v>2</v>
      </c>
      <c r="J8" s="367">
        <v>20</v>
      </c>
      <c r="K8" s="368">
        <f t="shared" si="0"/>
        <v>40</v>
      </c>
      <c r="M8" s="369" t="s">
        <v>501</v>
      </c>
      <c r="N8" s="369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176</v>
      </c>
      <c r="W8" s="331">
        <f>Sheet2!B15/1000</f>
        <v>60</v>
      </c>
      <c r="X8" s="323"/>
      <c r="Y8" s="339" t="s">
        <v>502</v>
      </c>
      <c r="Z8" s="375">
        <v>2</v>
      </c>
      <c r="AA8" s="331">
        <v>50</v>
      </c>
      <c r="AB8" s="331">
        <f t="shared" si="1"/>
        <v>100</v>
      </c>
      <c r="AD8" s="388" t="s">
        <v>501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179</v>
      </c>
      <c r="B9" s="331">
        <v>3</v>
      </c>
      <c r="C9" s="331">
        <v>13.5</v>
      </c>
      <c r="E9" s="331" t="s">
        <v>168</v>
      </c>
      <c r="F9" s="331">
        <f>Table626[[#This Row],[Column2]]</f>
        <v>25</v>
      </c>
      <c r="H9" s="565" t="s">
        <v>503</v>
      </c>
      <c r="I9" s="366">
        <v>7</v>
      </c>
      <c r="J9" s="367">
        <v>5</v>
      </c>
      <c r="K9" s="368">
        <f t="shared" si="0"/>
        <v>35</v>
      </c>
      <c r="M9" s="369" t="s">
        <v>504</v>
      </c>
      <c r="N9" s="369">
        <f>N8*N7</f>
        <v>0</v>
      </c>
      <c r="O9" s="369"/>
      <c r="P9" s="365"/>
      <c r="R9" s="340"/>
      <c r="S9" s="331"/>
      <c r="T9" s="331"/>
      <c r="U9" s="323"/>
      <c r="V9" s="331" t="s">
        <v>168</v>
      </c>
      <c r="W9" s="331">
        <f>Sheet2!B41</f>
        <v>25</v>
      </c>
      <c r="X9" s="323"/>
      <c r="Y9" s="339" t="s">
        <v>505</v>
      </c>
      <c r="Z9" s="375">
        <v>36</v>
      </c>
      <c r="AA9" s="331">
        <v>25</v>
      </c>
      <c r="AB9" s="331">
        <f t="shared" si="1"/>
        <v>900</v>
      </c>
      <c r="AD9" s="388" t="s">
        <v>504</v>
      </c>
      <c r="AE9" s="388">
        <f>AE8*AE7</f>
        <v>4200</v>
      </c>
      <c r="AF9" s="388"/>
      <c r="AG9" s="365"/>
    </row>
    <row r="10" ht="18.75">
      <c r="A10" s="330" t="s">
        <v>179</v>
      </c>
      <c r="B10" s="331">
        <v>3.3</v>
      </c>
      <c r="C10" s="331">
        <v>16.5</v>
      </c>
      <c r="E10" s="331" t="s">
        <v>224</v>
      </c>
      <c r="F10" s="331">
        <f>W11</f>
        <v>225</v>
      </c>
      <c r="H10" s="565" t="s">
        <v>506</v>
      </c>
      <c r="I10" s="366">
        <v>8</v>
      </c>
      <c r="J10" s="367">
        <v>50</v>
      </c>
      <c r="K10" s="368">
        <f t="shared" si="0"/>
        <v>400</v>
      </c>
      <c r="M10" s="369" t="s">
        <v>507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4811</v>
      </c>
      <c r="O10" s="369"/>
      <c r="P10" s="365"/>
      <c r="R10" s="340"/>
      <c r="S10" s="331"/>
      <c r="T10" s="331"/>
      <c r="U10" s="323"/>
      <c r="V10" s="331" t="s">
        <v>508</v>
      </c>
      <c r="W10" s="331">
        <v>90</v>
      </c>
      <c r="X10" s="323"/>
      <c r="Y10" s="339" t="s">
        <v>509</v>
      </c>
      <c r="Z10" s="375">
        <v>1</v>
      </c>
      <c r="AA10" s="331">
        <v>75</v>
      </c>
      <c r="AB10" s="331">
        <f t="shared" si="1"/>
        <v>75</v>
      </c>
      <c r="AD10" s="388" t="s">
        <v>507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510</v>
      </c>
      <c r="F11" s="333">
        <v>450</v>
      </c>
      <c r="H11" s="374" t="s">
        <v>511</v>
      </c>
      <c r="I11" s="370"/>
      <c r="J11" s="371"/>
      <c r="K11" s="372">
        <v>250</v>
      </c>
      <c r="M11" s="369" t="s">
        <v>512</v>
      </c>
      <c r="N11" s="369">
        <f>IF(OR(تسعير!AN8="double",تسعير!AN8="single مطرز"),'شماسي و كانتليفر'!F13,0)</f>
        <v>1200</v>
      </c>
      <c r="O11" s="369"/>
      <c r="P11" s="365"/>
      <c r="R11" s="340"/>
      <c r="S11" s="323"/>
      <c r="T11" s="323"/>
      <c r="U11" s="323"/>
      <c r="V11" s="331" t="s">
        <v>224</v>
      </c>
      <c r="W11" s="331">
        <f>Sheet2!B14/1000</f>
        <v>225</v>
      </c>
      <c r="X11" s="323"/>
      <c r="Y11" s="339" t="s">
        <v>513</v>
      </c>
      <c r="Z11" s="375">
        <v>1</v>
      </c>
      <c r="AA11" s="331">
        <v>75</v>
      </c>
      <c r="AB11" s="331">
        <f t="shared" si="1"/>
        <v>75</v>
      </c>
      <c r="AD11" s="388" t="s">
        <v>512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514</v>
      </c>
      <c r="F12" s="335">
        <v>450</v>
      </c>
      <c r="H12" s="373" t="s">
        <v>515</v>
      </c>
      <c r="I12" s="366"/>
      <c r="J12" s="367"/>
      <c r="K12" s="373">
        <v>2700</v>
      </c>
      <c r="M12" s="369" t="s">
        <v>516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510</v>
      </c>
      <c r="W12" s="331">
        <v>500</v>
      </c>
      <c r="X12" s="323"/>
      <c r="Y12" s="388" t="s">
        <v>515</v>
      </c>
      <c r="Z12" s="375"/>
      <c r="AA12" s="331"/>
      <c r="AB12" s="217">
        <f>Sheet2!B45</f>
        <v>4000</v>
      </c>
      <c r="AD12" s="388" t="s">
        <v>517</v>
      </c>
      <c r="AE12" s="388">
        <f>IF(تسعير!AG28="نصف جملة",((AE6+AE9+AE10+AE11+تسعير!AL28)*1.25),IF(تسعير!AG28="جملة",(((AE6+AE9+AE10+AE11+تسعير!AL28)*1.275)),((AE6+AE9+AE10+AE11+تسعير!AL28)*1.3)))</f>
        <v>23292.75</v>
      </c>
      <c r="AF12" s="388"/>
      <c r="AG12" s="365"/>
    </row>
    <row r="13" ht="18.75">
      <c r="A13" s="328"/>
      <c r="E13" s="336" t="s">
        <v>518</v>
      </c>
      <c r="F13" s="337">
        <v>1200</v>
      </c>
      <c r="H13" s="338" t="s">
        <v>58</v>
      </c>
      <c r="I13" s="371"/>
      <c r="J13" s="371"/>
      <c r="K13" s="374">
        <f>SUBTOTAL(109,Table4[قيمة])</f>
        <v>3911</v>
      </c>
      <c r="M13" s="369" t="s">
        <v>517</v>
      </c>
      <c r="N13" s="369">
        <f>IF(تسعير!AI8="نصف جملة",((N6+N9+N10+N11+تسعير!AO8)*1.275),IF(تسعير!AI8="جملة",(((N6+N9+N10+N11+تسعير!AO8)*1.25)),((N6+N9+N10+N11+تسعير!AO8)*1.3)))</f>
        <v>12816.050000000001</v>
      </c>
      <c r="O13" s="369"/>
      <c r="P13" s="365"/>
      <c r="R13" s="340"/>
      <c r="S13" s="323"/>
      <c r="T13" s="323"/>
      <c r="U13" s="323"/>
      <c r="V13" s="331" t="s">
        <v>514</v>
      </c>
      <c r="W13" s="331">
        <v>500</v>
      </c>
      <c r="X13" s="323"/>
      <c r="Y13" s="339" t="s">
        <v>519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518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198</v>
      </c>
      <c r="I15" s="323" t="s">
        <v>520</v>
      </c>
      <c r="J15" s="323" t="s">
        <v>521</v>
      </c>
      <c r="K15" s="323" t="s">
        <v>522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523</v>
      </c>
      <c r="I16" s="331">
        <v>5.8</v>
      </c>
      <c r="J16" s="331">
        <v>8.6</v>
      </c>
      <c r="K16" s="331">
        <v>11.4</v>
      </c>
      <c r="M16" s="369"/>
      <c r="N16" s="369">
        <f>N6+N9+N10+N11+تسعير!AO8</f>
        <v>9858.5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178</v>
      </c>
      <c r="F17" s="323" t="s">
        <v>524</v>
      </c>
      <c r="H17" s="331" t="s">
        <v>525</v>
      </c>
      <c r="I17" s="331">
        <v>5.65</v>
      </c>
      <c r="J17" s="331" t="s">
        <v>526</v>
      </c>
      <c r="K17" s="331" t="s">
        <v>526</v>
      </c>
      <c r="P17" s="365"/>
      <c r="R17" s="340"/>
      <c r="V17" s="324" t="s">
        <v>9</v>
      </c>
      <c r="W17" s="323" t="s">
        <v>30</v>
      </c>
      <c r="X17" s="323"/>
      <c r="Y17" s="324" t="s">
        <v>198</v>
      </c>
      <c r="Z17" s="323" t="s">
        <v>520</v>
      </c>
      <c r="AA17" s="323" t="s">
        <v>521</v>
      </c>
      <c r="AB17" s="323" t="s">
        <v>522</v>
      </c>
      <c r="AG17" s="365"/>
    </row>
    <row r="18" ht="18.75">
      <c r="A18" s="340"/>
      <c r="E18" s="324" t="s">
        <v>527</v>
      </c>
      <c r="F18" s="323" t="s">
        <v>213</v>
      </c>
      <c r="H18" s="331" t="s">
        <v>528</v>
      </c>
      <c r="I18" s="331">
        <v>6.1</v>
      </c>
      <c r="J18" s="331" t="s">
        <v>526</v>
      </c>
      <c r="K18" s="331" t="s">
        <v>526</v>
      </c>
      <c r="P18" s="365"/>
      <c r="R18" s="340"/>
      <c r="V18" s="331" t="s">
        <v>178</v>
      </c>
      <c r="W18" s="339" t="s">
        <v>524</v>
      </c>
      <c r="X18" s="323"/>
      <c r="Y18" s="331" t="s">
        <v>450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529</v>
      </c>
      <c r="F19" s="323" t="s">
        <v>181</v>
      </c>
      <c r="H19" s="331" t="s">
        <v>530</v>
      </c>
      <c r="I19" s="331">
        <v>6.5</v>
      </c>
      <c r="J19" s="331" t="s">
        <v>526</v>
      </c>
      <c r="K19" s="331" t="s">
        <v>526</v>
      </c>
      <c r="P19" s="365"/>
      <c r="R19" s="340"/>
      <c r="V19" s="331" t="s">
        <v>527</v>
      </c>
      <c r="W19" s="339" t="s">
        <v>213</v>
      </c>
      <c r="X19" s="323"/>
      <c r="Y19" s="331" t="s">
        <v>199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531</v>
      </c>
      <c r="H20" s="331" t="s">
        <v>532</v>
      </c>
      <c r="I20" s="331">
        <v>7.5</v>
      </c>
      <c r="J20" s="331" t="s">
        <v>526</v>
      </c>
      <c r="K20" s="331" t="s">
        <v>526</v>
      </c>
      <c r="P20" s="365"/>
      <c r="R20" s="340"/>
      <c r="V20" s="331"/>
      <c r="W20" s="339" t="s">
        <v>181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533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534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535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476</v>
      </c>
      <c r="C27" s="345" t="s">
        <v>29</v>
      </c>
      <c r="D27" s="345" t="s">
        <v>536</v>
      </c>
      <c r="E27" s="346" t="s">
        <v>448</v>
      </c>
      <c r="F27" s="345" t="s">
        <v>537</v>
      </c>
      <c r="G27" s="345" t="s">
        <v>442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538</v>
      </c>
      <c r="D28" s="331">
        <f>Sheet2!B12/1000</f>
        <v>45</v>
      </c>
      <c r="E28" s="324">
        <f>Table12[[#This Row],[سعر]]*Table12[[#This Row],[ميزان]]*Table12[[#This Row],[عدد]]</f>
        <v>7020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539</v>
      </c>
      <c r="D29" s="331">
        <f>Sheet2!B12/1000</f>
        <v>45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46" t="s">
        <v>133</v>
      </c>
      <c r="M29" s="646"/>
      <c r="N29" s="646"/>
      <c r="O29" s="646"/>
      <c r="P29" s="646"/>
      <c r="Q29" s="646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540</v>
      </c>
      <c r="D30" s="331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541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542</v>
      </c>
      <c r="D31" s="331">
        <f>(Sheet2!B12/1000)+12</f>
        <v>57</v>
      </c>
      <c r="E31" s="324">
        <f>Table12[[#This Row],[سعر]]*Table12[[#This Row],[ميزان]]*Table12[[#This Row],[عدد]]</f>
        <v>1710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543</v>
      </c>
      <c r="D32" s="331">
        <f>(Sheet2!B12/1000)+12</f>
        <v>57</v>
      </c>
      <c r="E32" s="324">
        <f>Table12[[#This Row],[سعر]]*Table12[[#This Row],[ميزان]]*Table12[[#This Row],[عدد]]</f>
        <v>5244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245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544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545</v>
      </c>
      <c r="D35" s="331">
        <f>Sheet2!B53</f>
        <v>80</v>
      </c>
      <c r="E35" s="324">
        <f>Table12[[#This Row],[سعر]]*Table12[[#This Row],[ميزان]]*Table12[[#This Row],[عدد]]</f>
        <v>320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546</v>
      </c>
      <c r="D36" s="331">
        <f>Sheet2!B47</f>
        <v>130</v>
      </c>
      <c r="E36" s="324">
        <f>Table12[[#This Row],[سعر]]*Table12[[#This Row],[ميزان]]*Table12[[#This Row],[عدد]]</f>
        <v>4290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25</v>
      </c>
      <c r="E41" s="350">
        <f>Table12[[#This Row],[سعر]]*Table12[[#This Row],[ميزان]]*Table12[[#This Row],[عدد]]</f>
        <v>25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25</v>
      </c>
      <c r="E42" s="350">
        <f>Table12[[#This Row],[سعر]]*Table12[[#This Row],[ميزان]]*Table12[[#This Row],[عدد]]</f>
        <v>25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25</v>
      </c>
      <c r="E44" s="350">
        <f>Table12[[#This Row],[سعر]]*Table12[[#This Row],[ميزان]]*Table12[[#This Row],[عدد]]</f>
        <v>25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547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548</v>
      </c>
      <c r="D48" s="331">
        <f>Sheet2!B12/1000</f>
        <v>45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549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550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551</v>
      </c>
      <c r="K49" s="214"/>
      <c r="L49" s="211"/>
      <c r="M49" s="290"/>
      <c r="N49" s="291">
        <f>Table12[[#Totals],[Column5]]+Table161243[[#Totals],[اجمالي]]</f>
        <v>49783</v>
      </c>
      <c r="U49" s="385"/>
    </row>
    <row r="50" ht="25.5" customHeight="1">
      <c r="A50" s="349">
        <f>A47*2</f>
        <v>4</v>
      </c>
      <c r="B50" s="331">
        <v>10</v>
      </c>
      <c r="C50" s="339" t="s">
        <v>552</v>
      </c>
      <c r="D50" s="331">
        <f>Sheet2!B12/1000</f>
        <v>45</v>
      </c>
      <c r="E50" s="350">
        <f>Table12[[#This Row],[سعر]]*Table12[[#This Row],[ميزان]]*Table12[[#This Row],[عدد]]</f>
        <v>1800</v>
      </c>
      <c r="J50" s="213" t="s">
        <v>155</v>
      </c>
      <c r="K50" s="214"/>
      <c r="L50" s="211"/>
      <c r="M50" s="290"/>
      <c r="N50" s="291">
        <f>N49+N48</f>
        <v>49783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64717.9</v>
      </c>
      <c r="U51" s="385"/>
    </row>
    <row r="52" ht="25.5" customHeight="1">
      <c r="A52" s="349">
        <f>A48*4</f>
        <v>0</v>
      </c>
      <c r="B52" s="331">
        <v>1</v>
      </c>
      <c r="C52" s="339" t="s">
        <v>553</v>
      </c>
      <c r="D52" s="331">
        <f>Sheet2!B12/1000</f>
        <v>45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554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30938</v>
      </c>
      <c r="F54" s="353">
        <f>Table12[[#Totals],[Column5]]/(تسعير!T54*تسعير!T55/10000)</f>
        <v>1237.52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476</v>
      </c>
      <c r="C60" s="345" t="s">
        <v>29</v>
      </c>
      <c r="D60" s="345" t="s">
        <v>536</v>
      </c>
      <c r="E60" s="346" t="s">
        <v>448</v>
      </c>
      <c r="F60" s="345" t="s">
        <v>537</v>
      </c>
      <c r="G60" s="345" t="s">
        <v>442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538</v>
      </c>
      <c r="D61" s="331">
        <f>Sheet2!$B$12/1000</f>
        <v>45</v>
      </c>
      <c r="E61" s="324">
        <f>Table1257[[#This Row],[سعر]]*Table1257[[#This Row],[ميزان]]*Table1257[[#This Row],[عدد]]</f>
        <v>7020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539</v>
      </c>
      <c r="D62" s="331">
        <f>Sheet2!$B$12/1000</f>
        <v>45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46" t="s">
        <v>133</v>
      </c>
      <c r="M62" s="646"/>
      <c r="N62" s="646"/>
      <c r="O62" s="646"/>
      <c r="P62" s="646"/>
      <c r="Q62" s="646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540</v>
      </c>
      <c r="D63" s="331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542</v>
      </c>
      <c r="D64" s="331">
        <f>(Sheet2!B12/1000)+12</f>
        <v>57</v>
      </c>
      <c r="E64" s="324">
        <f>Table1257[[#This Row],[سعر]]*Table1257[[#This Row],[ميزان]]*Table1257[[#This Row],[عدد]]</f>
        <v>5130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555</v>
      </c>
      <c r="D65" s="331">
        <f>(Sheet2!B12/1000)+12</f>
        <v>57</v>
      </c>
      <c r="E65" s="324">
        <f>Table1257[[#This Row],[سعر]]*Table1257[[#This Row],[ميزان]]*Table1257[[#This Row],[عدد]]</f>
        <v>5244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245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544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545</v>
      </c>
      <c r="D68" s="331">
        <f>Sheet2!B53</f>
        <v>80</v>
      </c>
      <c r="E68" s="324">
        <f>Table1257[[#This Row],[سعر]]*Table1257[[#This Row],[ميزان]]*Table1257[[#This Row],[عدد]]</f>
        <v>320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509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546</v>
      </c>
      <c r="D70" s="331">
        <f>Sheet2!B47</f>
        <v>130</v>
      </c>
      <c r="E70" s="324">
        <f>Table1257[[#This Row],[سعر]]*Table1257[[#This Row],[ميزان]]*Table1257[[#This Row],[عدد]]</f>
        <v>4680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25</v>
      </c>
      <c r="E75" s="350">
        <f>Table1257[[#This Row],[سعر]]*Table1257[[#This Row],[ميزان]]*Table1257[[#This Row],[عدد]]</f>
        <v>25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25</v>
      </c>
      <c r="E76" s="350">
        <f>Table1257[[#This Row],[سعر]]*Table1257[[#This Row],[ميزان]]*Table1257[[#This Row],[عدد]]</f>
        <v>25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547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549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548</v>
      </c>
      <c r="D82" s="331">
        <f>Sheet2!B12/1000</f>
        <v>45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551</v>
      </c>
      <c r="K82" s="214"/>
      <c r="L82" s="211"/>
      <c r="M82" s="290"/>
      <c r="N82" s="291">
        <f>Table1257[[#Totals],[Column5]]+Table16124360[[#Totals],[اجمالي]]</f>
        <v>60898</v>
      </c>
    </row>
    <row r="83" ht="18.75">
      <c r="A83" s="389">
        <f>A82*2</f>
        <v>0</v>
      </c>
      <c r="B83" s="331">
        <v>1</v>
      </c>
      <c r="C83" s="339" t="s">
        <v>550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60898</v>
      </c>
    </row>
    <row r="84" ht="18.75">
      <c r="A84" s="389">
        <f>A81*1.5</f>
        <v>3</v>
      </c>
      <c r="B84" s="331">
        <v>10</v>
      </c>
      <c r="C84" s="339" t="s">
        <v>552</v>
      </c>
      <c r="D84" s="331">
        <f>Sheet2!B12/1000</f>
        <v>45</v>
      </c>
      <c r="E84" s="350">
        <f>Table1257[[#This Row],[سعر]]*Table1257[[#This Row],[ميزان]]*Table1257[[#This Row],[عدد]]</f>
        <v>1350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82212.3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553</v>
      </c>
      <c r="D86" s="331">
        <f>Sheet2!B12/1000</f>
        <v>45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554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35248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DDD5C360-C79A-43DD-BD81-E0E7214E0AE4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A58" zoomScale="70" zoomScaleNormal="70" workbookViewId="0">
      <selection activeCell="F97" sqref="F9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556</v>
      </c>
      <c r="B1" s="545">
        <f>(F1*D1)/10000</f>
        <v>20</v>
      </c>
      <c r="C1" s="546" t="s">
        <v>425</v>
      </c>
      <c r="D1" s="547">
        <f>تسعير!AT34</f>
        <v>400</v>
      </c>
      <c r="E1" s="546" t="s">
        <v>125</v>
      </c>
      <c r="F1" s="547">
        <f>تسعير!AT33</f>
        <v>500</v>
      </c>
      <c r="G1" s="546" t="s">
        <v>172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40" t="s">
        <v>0</v>
      </c>
      <c r="M1" s="641"/>
      <c r="N1" s="642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557</v>
      </c>
      <c r="AW1" s="189">
        <f>(BA1*AY1)/10000</f>
        <v>16</v>
      </c>
      <c r="AX1" s="190" t="s">
        <v>425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40" t="s">
        <v>0</v>
      </c>
      <c r="BH1" s="641"/>
      <c r="BI1" s="642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558</v>
      </c>
      <c r="D2" s="550" t="s">
        <v>30</v>
      </c>
      <c r="E2" s="550" t="s">
        <v>559</v>
      </c>
      <c r="F2" s="550" t="s">
        <v>560</v>
      </c>
      <c r="G2" s="540"/>
      <c r="H2" s="551" t="s">
        <v>561</v>
      </c>
      <c r="I2" s="551"/>
      <c r="J2" s="551" t="s">
        <v>562</v>
      </c>
      <c r="L2" s="643"/>
      <c r="M2" s="644"/>
      <c r="N2" s="645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558</v>
      </c>
      <c r="AY2" s="194" t="s">
        <v>30</v>
      </c>
      <c r="AZ2" s="194" t="s">
        <v>559</v>
      </c>
      <c r="BA2" s="194" t="s">
        <v>560</v>
      </c>
      <c r="BC2" s="195" t="s">
        <v>561</v>
      </c>
      <c r="BD2" s="195"/>
      <c r="BE2" s="195" t="s">
        <v>562</v>
      </c>
      <c r="BG2" s="643"/>
      <c r="BH2" s="644"/>
      <c r="BI2" s="645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563</v>
      </c>
      <c r="B3" s="552">
        <f>ROUNDUP((12+((ROUNDUP((D1-210),15))/15)),0)</f>
        <v>25</v>
      </c>
      <c r="C3" s="553">
        <f>F1-16.5</f>
        <v>483.5</v>
      </c>
      <c r="D3" s="550" t="s">
        <v>564</v>
      </c>
      <c r="E3" s="550">
        <v>2.3</v>
      </c>
      <c r="F3" s="550">
        <f>IF(($H$1="سادة"),(J3*H3*E3*($U$2+(Sheet2!B41*1000))/1000),(J3*H3*E3*($U$2+(Sheet2!B15))/1000))</f>
        <v>81937.5</v>
      </c>
      <c r="G3" s="540"/>
      <c r="H3" s="551">
        <f>IF(AND((C3&gt;=150),(C3&lt;201)),4,IF(AND((C3&gt;=201),(C3&lt;251)),5,IF(AND((C3&gt;=251),(C3&lt;401)),4,IF(AND((C3&gt;=401),(C3&lt;501)),5,0))))</f>
        <v>5</v>
      </c>
      <c r="I3" s="284">
        <f ref="I3:I8" t="shared" si="0">(H3*100)/C3</f>
        <v>1.0341261633919339</v>
      </c>
      <c r="J3" s="554">
        <f ref="J3:J8" t="shared" si="1">B3/(ROUNDDOWN(I3,0))</f>
        <v>25</v>
      </c>
      <c r="L3" s="647" t="s">
        <v>17</v>
      </c>
      <c r="M3" s="648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9">
        <f>NOW()</f>
        <v>45525.534445462959</v>
      </c>
      <c r="S3" s="650"/>
      <c r="T3" s="650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563</v>
      </c>
      <c r="AW3" s="196">
        <f>ROUNDUP((12+((ROUNDUP((AY1-210),18))/18)),0)</f>
        <v>23</v>
      </c>
      <c r="AX3" s="197">
        <f>BA1-16.5</f>
        <v>383.5</v>
      </c>
      <c r="AY3" s="194" t="s">
        <v>564</v>
      </c>
      <c r="AZ3" s="194">
        <v>2</v>
      </c>
      <c r="BA3" s="194">
        <f>IF((تسعير!$AT$46="سادة"),(BE3*BC3*AZ3*(Sheet2!$B$14+(Sheet2!B41*1000))/1000),(BE3*BC3*AZ3*(Sheet2!$B$14+Sheet2!$B$15)/1000))</f>
        <v>52440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47" t="s">
        <v>17</v>
      </c>
      <c r="BH3" s="648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9">
        <f>NOW()</f>
        <v>45525.534445462959</v>
      </c>
      <c r="BN3" s="650"/>
      <c r="BO3" s="650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565</v>
      </c>
      <c r="B4" s="550">
        <v>2</v>
      </c>
      <c r="C4" s="552">
        <f>F1</f>
        <v>500</v>
      </c>
      <c r="D4" s="550" t="s">
        <v>564</v>
      </c>
      <c r="E4" s="550">
        <v>3.8</v>
      </c>
      <c r="F4" s="550">
        <f>IF(($H$1="سادة"),(J4*H4*E4*($U$2+(Sheet2!B41*1000))/1000),(J4*H4*E4*($U$2+(Sheet2!B15))/1000))</f>
        <v>10830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</v>
      </c>
      <c r="J4" s="554">
        <f t="shared" si="1"/>
        <v>2</v>
      </c>
      <c r="K4" s="1"/>
      <c r="L4" s="208"/>
      <c r="M4" s="208"/>
      <c r="N4" s="209"/>
      <c r="O4" s="646" t="s">
        <v>20</v>
      </c>
      <c r="P4" s="646"/>
      <c r="Q4" s="646"/>
      <c r="R4" s="646"/>
      <c r="S4" s="646"/>
      <c r="T4" s="646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448</v>
      </c>
      <c r="AT4" s="255"/>
      <c r="AU4" s="207"/>
      <c r="AV4" s="193" t="s">
        <v>566</v>
      </c>
      <c r="AW4" s="194">
        <v>2</v>
      </c>
      <c r="AX4" s="196">
        <f>BA1</f>
        <v>400</v>
      </c>
      <c r="AY4" s="194" t="s">
        <v>564</v>
      </c>
      <c r="AZ4" s="194">
        <v>1.7</v>
      </c>
      <c r="BA4" s="194">
        <f>IF((تسعير!$AT$46="سادة"),(BE4*BC4*AZ4*(Sheet2!$B$14+(Sheet2!B41*1000))/1000),(BE4*BC4*AZ4*(Sheet2!$B$14+Sheet2!$B$15)/1000))</f>
        <v>4845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46" t="s">
        <v>20</v>
      </c>
      <c r="BK4" s="646"/>
      <c r="BL4" s="646"/>
      <c r="BM4" s="646"/>
      <c r="BN4" s="646"/>
      <c r="BO4" s="646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448</v>
      </c>
      <c r="CO4" s="255"/>
    </row>
    <row r="5" ht="18.75" s="187" customFormat="1">
      <c r="A5" s="549" t="s">
        <v>567</v>
      </c>
      <c r="B5" s="550">
        <v>2</v>
      </c>
      <c r="C5" s="552">
        <f>D1</f>
        <v>400</v>
      </c>
      <c r="D5" s="550" t="s">
        <v>564</v>
      </c>
      <c r="E5" s="550">
        <v>3.8</v>
      </c>
      <c r="F5" s="550">
        <f>IF(($H$1="سادة"),(J5*H5*E5*($U$2+(Sheet2!B41*1000))/1000),(J5*H5*E5*($U$2+(Sheet2!B15))/1000))</f>
        <v>10830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1.25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568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450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567</v>
      </c>
      <c r="AW5" s="194">
        <v>2</v>
      </c>
      <c r="AX5" s="196">
        <f>AY1</f>
        <v>400</v>
      </c>
      <c r="AY5" s="194" t="s">
        <v>564</v>
      </c>
      <c r="AZ5" s="194">
        <v>1.7</v>
      </c>
      <c r="BA5" s="194">
        <f>IF((تسعير!$AT$46="سادة"),(BE5*BC5*AZ5*(Sheet2!$B$14+(Sheet2!B41*1000))/1000),(BE5*BC5*AZ5*(Sheet2!$B$14+Sheet2!$B$15)/1000))</f>
        <v>4845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568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450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569</v>
      </c>
      <c r="B6" s="550">
        <v>2</v>
      </c>
      <c r="C6" s="552">
        <f>F1</f>
        <v>500</v>
      </c>
      <c r="D6" s="550" t="s">
        <v>564</v>
      </c>
      <c r="E6" s="550">
        <v>1.7</v>
      </c>
      <c r="F6" s="550">
        <f>IF(($H$1="سادة"),(J6*H6*E6*($U$2+(Sheet2!B41*1000))/1000),(J6*H6*E6*($U$2+(Sheet2!B15))/1000))</f>
        <v>4845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570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0.010450278674097976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452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571</v>
      </c>
      <c r="AW6" s="194">
        <v>1</v>
      </c>
      <c r="AX6" s="194">
        <f>(15.6*(AW3-1)+4)</f>
        <v>347.2</v>
      </c>
      <c r="AY6" s="194" t="s">
        <v>564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572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0.010450278674097976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452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573</v>
      </c>
      <c r="B7" s="550">
        <v>2</v>
      </c>
      <c r="C7" s="552">
        <f>D1</f>
        <v>400</v>
      </c>
      <c r="D7" s="550" t="s">
        <v>564</v>
      </c>
      <c r="E7" s="550">
        <v>1.7</v>
      </c>
      <c r="F7" s="550">
        <f>IF(($H$1="سادة"),(J7*H7*E7*($U$2+(Sheet2!B41*1000))/1000),(J7*H7*E7*($U$2+(Sheet2!B15))/1000))</f>
        <v>4845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1.25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574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0.027134056908184219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454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575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574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0.027134056908184219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454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576</v>
      </c>
      <c r="B8" s="550">
        <v>2</v>
      </c>
      <c r="C8" s="550">
        <f>C3</f>
        <v>483.5</v>
      </c>
      <c r="D8" s="550" t="s">
        <v>564</v>
      </c>
      <c r="E8" s="550">
        <v>0.65</v>
      </c>
      <c r="F8" s="550">
        <f>IF(($H$1="سادة"),(J8*H8*E8*($U$2+(Sheet2!B41*1000))/1000),(J8*H8*E8*($U$2+(Sheet2!B15))/1000))</f>
        <v>1852.5</v>
      </c>
      <c r="G8" s="555"/>
      <c r="H8" s="551">
        <f>IF(AND((C8&gt;=150),(C8&lt;201)),4,IF(AND((C8&gt;=201),(C8&lt;251)),5,IF(AND((C8&gt;=251),(C8&lt;401)),4,IF(AND((C8&gt;=401),(C8&lt;501)),5,0))))</f>
        <v>5</v>
      </c>
      <c r="I8" s="284">
        <f t="shared" si="0"/>
        <v>1.0341261633919339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577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0.032267527134056909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456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578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577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0.032267527134056909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456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571</v>
      </c>
      <c r="B9" s="550">
        <v>2</v>
      </c>
      <c r="C9" s="550">
        <f>(15.6*(B3-1)+4)</f>
        <v>378.4</v>
      </c>
      <c r="D9" s="550" t="s">
        <v>564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572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458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579</v>
      </c>
      <c r="AW9" s="194">
        <v>1</v>
      </c>
      <c r="AX9" s="196">
        <v>100</v>
      </c>
      <c r="AY9" s="194" t="s">
        <v>564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572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458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575</v>
      </c>
      <c r="B10" s="550"/>
      <c r="C10" s="550">
        <f>B3*2</f>
        <v>50</v>
      </c>
      <c r="D10" s="550" t="s">
        <v>28</v>
      </c>
      <c r="E10" s="550">
        <v>20</v>
      </c>
      <c r="F10" s="550">
        <f>E10*C10</f>
        <v>1000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580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460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581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580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460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578</v>
      </c>
      <c r="B11" s="550"/>
      <c r="C11" s="550">
        <f>B3*2</f>
        <v>50</v>
      </c>
      <c r="D11" s="550" t="s">
        <v>28</v>
      </c>
      <c r="E11" s="550">
        <v>18</v>
      </c>
      <c r="F11" s="550">
        <f>E11*C11</f>
        <v>900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0.0698518627163391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462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582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0.0698518627163391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462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579</v>
      </c>
      <c r="B12" s="550">
        <v>1</v>
      </c>
      <c r="C12" s="552">
        <v>100</v>
      </c>
      <c r="D12" s="550" t="s">
        <v>564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46" t="s">
        <v>76</v>
      </c>
      <c r="P12" s="646"/>
      <c r="Q12" s="646"/>
      <c r="R12" s="646"/>
      <c r="S12" s="646"/>
      <c r="T12" s="646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464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583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46" t="s">
        <v>76</v>
      </c>
      <c r="BK12" s="646"/>
      <c r="BL12" s="646"/>
      <c r="BM12" s="646"/>
      <c r="BN12" s="646"/>
      <c r="BO12" s="646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464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584</v>
      </c>
      <c r="B13" s="550"/>
      <c r="C13" s="550">
        <v>4</v>
      </c>
      <c r="D13" s="550" t="s">
        <v>370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585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0.0032593461751572635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5668.5406250000005</v>
      </c>
      <c r="AX14" s="194"/>
      <c r="AY14" s="194"/>
      <c r="AZ14" s="194"/>
      <c r="BA14" s="194">
        <f>SUBTOTAL(109,Table8091[price])</f>
        <v>82451.5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0.0032593461751572635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582</v>
      </c>
      <c r="B15" s="550"/>
      <c r="C15" s="550">
        <f>B3*2</f>
        <v>50</v>
      </c>
      <c r="D15" s="550" t="s">
        <v>28</v>
      </c>
      <c r="E15" s="550">
        <v>120</v>
      </c>
      <c r="F15" s="550">
        <f>C15*E15</f>
        <v>6000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0.00089632019816824747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0.00089632019816824747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583</v>
      </c>
      <c r="B16" s="550"/>
      <c r="C16" s="550">
        <f>B3*2</f>
        <v>50</v>
      </c>
      <c r="D16" s="550" t="s">
        <v>28</v>
      </c>
      <c r="E16" s="550">
        <v>120</v>
      </c>
      <c r="F16" s="550">
        <f>C16*E16</f>
        <v>6000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0.00052964375346305529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0.00052964375346305529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586</v>
      </c>
      <c r="B17" s="550">
        <v>2</v>
      </c>
      <c r="C17" s="550"/>
      <c r="D17" s="550" t="s">
        <v>564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0.0032593461751572635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0.0032593461751572635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587</v>
      </c>
      <c r="B18" s="550"/>
      <c r="C18" s="550">
        <f>ROUNDUP(((C3*B3)/100),0)</f>
        <v>121</v>
      </c>
      <c r="D18" s="550" t="s">
        <v>564</v>
      </c>
      <c r="E18" s="550">
        <v>10</v>
      </c>
      <c r="F18" s="550">
        <f>C18*E18</f>
        <v>1210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588</v>
      </c>
      <c r="B19" s="566"/>
      <c r="C19" s="566">
        <f>C18</f>
        <v>121</v>
      </c>
      <c r="D19" s="566"/>
      <c r="E19" s="566">
        <v>20</v>
      </c>
      <c r="F19" s="550">
        <f ref="F19:F20" t="shared" si="7">C19*E19</f>
        <v>2420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0.007944656301945829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0.007944656301945829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589</v>
      </c>
      <c r="B20" s="550" t="s">
        <v>590</v>
      </c>
      <c r="C20" s="550">
        <f>ROUNDUP((B3/3),0)</f>
        <v>9</v>
      </c>
      <c r="D20" s="550" t="s">
        <v>28</v>
      </c>
      <c r="E20" s="550">
        <v>250</v>
      </c>
      <c r="F20" s="550">
        <f t="shared" si="7"/>
        <v>2250</v>
      </c>
      <c r="G20" s="540"/>
      <c r="H20" s="540"/>
      <c r="I20" s="540"/>
      <c r="J20" s="540"/>
      <c r="L20" s="216"/>
      <c r="M20" s="216"/>
      <c r="N20" s="217"/>
      <c r="O20" s="646" t="s">
        <v>99</v>
      </c>
      <c r="P20" s="646"/>
      <c r="Q20" s="646"/>
      <c r="R20" s="646"/>
      <c r="S20" s="646"/>
      <c r="T20" s="646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46" t="s">
        <v>99</v>
      </c>
      <c r="BK20" s="646"/>
      <c r="BL20" s="646"/>
      <c r="BM20" s="646"/>
      <c r="BN20" s="646"/>
      <c r="BO20" s="646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591</v>
      </c>
      <c r="B21" s="550" t="s">
        <v>592</v>
      </c>
      <c r="C21" s="550">
        <f>C20</f>
        <v>9</v>
      </c>
      <c r="D21" s="550" t="s">
        <v>28</v>
      </c>
      <c r="E21" s="550">
        <v>40</v>
      </c>
      <c r="F21" s="550">
        <f>E21*C21</f>
        <v>360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593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0.0044001173364623053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0.0044001173364623053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183</v>
      </c>
      <c r="B23" s="550" t="s">
        <v>28</v>
      </c>
      <c r="C23" s="550">
        <v>1</v>
      </c>
      <c r="D23" s="550" t="s">
        <v>28</v>
      </c>
      <c r="E23" s="550">
        <f>Sheet2!B57</f>
        <v>9000</v>
      </c>
      <c r="F23" s="550">
        <f>E23*C23</f>
        <v>9000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471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0.0025667351129363448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471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0.0025667351129363448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8521.15</v>
      </c>
      <c r="C24" s="194"/>
      <c r="D24" s="194"/>
      <c r="E24" s="194"/>
      <c r="F24" s="194">
        <f>SUBTOTAL(109,Table80102114[price])</f>
        <v>154930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0.0011000293341155763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0.0011000293341155763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0.0080668817835142272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0.0080668817835142272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46" t="s">
        <v>102</v>
      </c>
      <c r="P26" s="646"/>
      <c r="Q26" s="646"/>
      <c r="R26" s="646"/>
      <c r="S26" s="646"/>
      <c r="T26" s="646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46" t="s">
        <v>102</v>
      </c>
      <c r="BK26" s="646"/>
      <c r="BL26" s="646"/>
      <c r="BM26" s="646"/>
      <c r="BN26" s="646"/>
      <c r="BO26" s="64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0.00030556370392099345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0.00022000586682311527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0.00030556370392099345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0.00022000586682311527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0.00016296730875786316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0.00010185456797366448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0.0006111274078419869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0.0006111274078419869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0.00032593461751572632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0.00032593461751572632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420</v>
      </c>
      <c r="W35" s="251">
        <f t="shared" si="9" ca="1"/>
        <v>0.0017111567419575632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420</v>
      </c>
      <c r="BR35" s="251">
        <f t="shared" si="11" ca="1"/>
        <v>0.0017111567419575632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0.075657573090837982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0.049012418108927348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0.0387047358299925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0.0387047358299925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0.042778918548939081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0.042778918548939081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800</v>
      </c>
      <c r="BR40" s="251">
        <f t="shared" si="11" ca="1"/>
        <v>0.0032593461751572635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800</v>
      </c>
      <c r="W41" s="251">
        <f t="shared" si="9" ca="1"/>
        <v>0.0032593461751572635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800</v>
      </c>
      <c r="BR41" s="251">
        <f t="shared" si="11" ca="1"/>
        <v>0.0032593461751572635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800</v>
      </c>
      <c r="W42" s="251">
        <f t="shared" si="9" ca="1"/>
        <v>0.0032593461751572635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40953</v>
      </c>
      <c r="BR42" s="244">
        <f>Table13597166[[#Totals],[اجمالي]]/$R$68</f>
        <v>0.16685000488901927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34470</v>
      </c>
      <c r="W43" s="244">
        <f>Table135971[[#Totals],[اجمالي]]/$R$68</f>
        <v>0.1404370783220886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46" t="s">
        <v>131</v>
      </c>
      <c r="BK44" s="646"/>
      <c r="BL44" s="646"/>
      <c r="BM44" s="646"/>
      <c r="BN44" s="646"/>
      <c r="BO44" s="64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46" t="s">
        <v>131</v>
      </c>
      <c r="P45" s="646"/>
      <c r="Q45" s="646"/>
      <c r="R45" s="646"/>
      <c r="S45" s="646"/>
      <c r="T45" s="646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556</v>
      </c>
      <c r="BJ46" s="214"/>
      <c r="BK46" s="211"/>
      <c r="BL46" s="216"/>
      <c r="BM46" s="214"/>
      <c r="BN46" s="211"/>
      <c r="BO46" s="247"/>
      <c r="BP46" s="248">
        <f>Table8091[[#Totals],[price]]</f>
        <v>82451.5</v>
      </c>
      <c r="BQ46" s="252">
        <f>BH46*Table1613687787[[#This Row],[سعر الشبك ]]</f>
        <v>82451.5</v>
      </c>
      <c r="BR46" s="241">
        <f>(BQ46)/$R$68</f>
        <v>0.33592247645122386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556</v>
      </c>
      <c r="O47" s="214"/>
      <c r="P47" s="211"/>
      <c r="Q47" s="216"/>
      <c r="R47" s="214"/>
      <c r="S47" s="211"/>
      <c r="T47" s="247"/>
      <c r="U47" s="248">
        <f>Table80102114[[#Totals],[price]]</f>
        <v>154930</v>
      </c>
      <c r="V47" s="252">
        <f>M47*Table16136877[[#This Row],[سعر الشبك ]]</f>
        <v>154930</v>
      </c>
      <c r="W47" s="241">
        <f>(V47)/$R$68</f>
        <v>0.63121312864639356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82451.5</v>
      </c>
      <c r="BQ47" s="240">
        <f>BH47*Table1613687787[[#This Row],[سعر الشبك ]]</f>
        <v>8245.15</v>
      </c>
      <c r="BR47" s="241">
        <f>(BQ47)/$R$68</f>
        <v>0.033592247645122385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154930</v>
      </c>
      <c r="V48" s="240">
        <f>M48*Table16136877[[#This Row],[سعر الشبك ]]</f>
        <v>15493</v>
      </c>
      <c r="W48" s="241">
        <f>(V48)/$R$68</f>
        <v>0.063121312864639359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90696.65</v>
      </c>
      <c r="BR48" s="244">
        <f>Table1613687787[[#Totals],[اجمالي]]/$R$68</f>
        <v>0.36951472409634623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170423</v>
      </c>
      <c r="W49" s="244">
        <f>Table16136877[[#Totals],[اجمالي]]/$R$68</f>
        <v>0.69433444151103285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46" t="s">
        <v>133</v>
      </c>
      <c r="BK49" s="646"/>
      <c r="BL49" s="646"/>
      <c r="BM49" s="646"/>
      <c r="BN49" s="646"/>
      <c r="BO49" s="64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46" t="s">
        <v>133</v>
      </c>
      <c r="P50" s="646"/>
      <c r="Q50" s="646"/>
      <c r="R50" s="646"/>
      <c r="S50" s="646"/>
      <c r="T50" s="64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5" ca="1">BH51*BP51</f>
        <v>370</v>
      </c>
      <c r="BR51" s="267">
        <f ref="BR51:BR63" t="shared" si="16" ca="1">(BQ51)/$R$68</f>
        <v>0.0015074476060102343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7" ca="1">M52*U52</f>
        <v>400</v>
      </c>
      <c r="W52" s="241">
        <f ref="W52:W64" t="shared" si="18" ca="1">(V52)/$R$68</f>
        <v>0.0016296730875786317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5" ca="1"/>
        <v>370</v>
      </c>
      <c r="BR52" s="267">
        <f t="shared" si="16" ca="1"/>
        <v>0.0015074476060102343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7" ca="1"/>
        <v>400</v>
      </c>
      <c r="W53" s="241">
        <f t="shared" si="18" ca="1"/>
        <v>0.0016296730875786317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5" ca="1"/>
        <v>1110</v>
      </c>
      <c r="BR54" s="267">
        <f t="shared" si="16" ca="1"/>
        <v>0.0045223428180307034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7" ca="1"/>
        <v>1200</v>
      </c>
      <c r="W55" s="241">
        <f t="shared" si="18" ca="1"/>
        <v>0.0048890192627358952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5" ca="1"/>
        <v>2480</v>
      </c>
      <c r="BR55" s="267">
        <f t="shared" si="16" ca="1"/>
        <v>0.010103973142987516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650</v>
      </c>
      <c r="V56" s="240">
        <f t="shared" si="17" ca="1"/>
        <v>2600</v>
      </c>
      <c r="W56" s="241">
        <f t="shared" si="18" ca="1"/>
        <v>0.010592875069261105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5" ca="1"/>
        <v>1860</v>
      </c>
      <c r="BR56" s="267">
        <f t="shared" si="16" ca="1"/>
        <v>0.0075779798572406373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650</v>
      </c>
      <c r="V57" s="240">
        <f t="shared" si="17" ca="1"/>
        <v>1950</v>
      </c>
      <c r="W57" s="241">
        <f t="shared" si="18" ca="1"/>
        <v>0.007944656301945829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5" ca="1"/>
        <v>2480</v>
      </c>
      <c r="BR58" s="267">
        <f t="shared" si="16" ca="1"/>
        <v>0.010103973142987516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650</v>
      </c>
      <c r="V59" s="240">
        <f t="shared" si="17" ca="1"/>
        <v>2600</v>
      </c>
      <c r="W59" s="241">
        <f t="shared" si="18" ca="1"/>
        <v>0.010592875069261105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0.01075584237801897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0.01075584237801897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0.0091669111176298033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0.0091669111176298033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0.018741240507154266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0.018741240507154266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0.0034223134839151265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0.0034223134839151265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0.077409471659985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4390</v>
      </c>
      <c r="T65" s="518"/>
      <c r="U65" s="523"/>
      <c r="V65" s="524">
        <f>SUBTOTAL(109,Table16126776[اجمالي])</f>
        <v>19480</v>
      </c>
      <c r="W65" s="525">
        <f>Table16126776[[#Totals],[اجمالي]]/$R$68</f>
        <v>0.079365079365079361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9"/>
      <c r="BK65" s="639"/>
      <c r="BL65" s="639"/>
      <c r="BM65" s="639"/>
      <c r="BN65" s="639"/>
      <c r="BO65" s="639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9"/>
      <c r="P66" s="639"/>
      <c r="Q66" s="639"/>
      <c r="R66" s="639"/>
      <c r="S66" s="639"/>
      <c r="T66" s="639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171724.65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245448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223242.045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0.3</v>
      </c>
      <c r="R69" s="295">
        <f>R68*(1+Table187079[[#This Row],[Column3]])</f>
        <v>319082.4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1" t="s">
        <v>0</v>
      </c>
      <c r="BH71" s="641"/>
      <c r="BI71" s="641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1" t="s">
        <v>0</v>
      </c>
      <c r="M72" s="641"/>
      <c r="N72" s="641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594</v>
      </c>
      <c r="AW72" s="271">
        <f>(BA72*AY72)/10000</f>
        <v>16</v>
      </c>
      <c r="AX72" s="272" t="s">
        <v>425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51"/>
      <c r="BH72" s="651"/>
      <c r="BI72" s="651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1"/>
      <c r="M73" s="651"/>
      <c r="N73" s="651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225000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558</v>
      </c>
      <c r="AY73" s="194" t="s">
        <v>30</v>
      </c>
      <c r="AZ73" s="194" t="s">
        <v>559</v>
      </c>
      <c r="BA73" s="194" t="s">
        <v>560</v>
      </c>
      <c r="BB73" s="167"/>
      <c r="BC73" s="198" t="s">
        <v>561</v>
      </c>
      <c r="BD73" s="198"/>
      <c r="BE73" s="198" t="s">
        <v>562</v>
      </c>
      <c r="BF73" s="167"/>
      <c r="BG73" s="653" t="s">
        <v>17</v>
      </c>
      <c r="BH73" s="653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0">
        <f>NOW()</f>
        <v>45525.534445462959</v>
      </c>
      <c r="BN73" s="650"/>
      <c r="BO73" s="650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556</v>
      </c>
      <c r="B74" s="545">
        <f>(F74*D74)/10000</f>
        <v>20</v>
      </c>
      <c r="C74" s="546" t="s">
        <v>425</v>
      </c>
      <c r="D74" s="547">
        <f>تسعير!BE34</f>
        <v>400</v>
      </c>
      <c r="E74" s="546" t="s">
        <v>125</v>
      </c>
      <c r="F74" s="547">
        <f>تسعير!BE33</f>
        <v>500</v>
      </c>
      <c r="G74" s="546" t="s">
        <v>172</v>
      </c>
      <c r="H74" s="547" t="str">
        <f>تسعير!BE26</f>
        <v>خشبي</v>
      </c>
      <c r="I74" s="548" t="str">
        <f>تسعير!BE32</f>
        <v>بالتات</v>
      </c>
      <c r="J74" s="548"/>
      <c r="K74" s="167"/>
      <c r="L74" s="652" t="s">
        <v>17</v>
      </c>
      <c r="M74" s="652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304" t="s">
        <v>18</v>
      </c>
      <c r="R74" s="650">
        <f>NOW()</f>
        <v>45525.534445462959</v>
      </c>
      <c r="S74" s="650"/>
      <c r="T74" s="650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563</v>
      </c>
      <c r="AW74" s="196">
        <f>ROUNDUP((12+((ROUNDUP((AY72-210),18))/18)),0)</f>
        <v>23</v>
      </c>
      <c r="AX74" s="197">
        <f>BA72-16.5</f>
        <v>383.5</v>
      </c>
      <c r="AY74" s="194" t="s">
        <v>564</v>
      </c>
      <c r="AZ74" s="194">
        <v>2</v>
      </c>
      <c r="BA74" s="194">
        <f>IF((تسعير!$BE$46="سادة"),(BE74*BC74*AZ74*(Sheet2!$B$14+(Sheet2!B41*1000))/1000),(BE74*BC74*AZ74*(Sheet2!$B$14+Sheet2!$B$15)/1000))</f>
        <v>52440</v>
      </c>
      <c r="BC74" s="198">
        <f>IF(AND((AX74&gt;=150),(AX74&lt;201)),4,IF(AND((AX74&gt;=201),(AX74&lt;251)),5,IF(AND((AX74&gt;=251),(AX74&lt;401)),4,IF(AND((AX74&gt;=401),(AX74&lt;501)),5,0))))</f>
        <v>4</v>
      </c>
      <c r="BD74" s="308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46" t="s">
        <v>20</v>
      </c>
      <c r="BK74" s="646"/>
      <c r="BL74" s="646"/>
      <c r="BM74" s="646"/>
      <c r="BN74" s="646"/>
      <c r="BO74" s="646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558</v>
      </c>
      <c r="D75" s="550" t="s">
        <v>30</v>
      </c>
      <c r="E75" s="550" t="s">
        <v>559</v>
      </c>
      <c r="F75" s="550" t="s">
        <v>560</v>
      </c>
      <c r="G75" s="540"/>
      <c r="H75" s="551" t="s">
        <v>561</v>
      </c>
      <c r="I75" s="551"/>
      <c r="J75" s="551" t="s">
        <v>562</v>
      </c>
      <c r="L75" s="208"/>
      <c r="M75" s="208"/>
      <c r="N75" s="209"/>
      <c r="O75" s="646" t="s">
        <v>20</v>
      </c>
      <c r="P75" s="646"/>
      <c r="Q75" s="646"/>
      <c r="R75" s="646"/>
      <c r="S75" s="646"/>
      <c r="T75" s="646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565</v>
      </c>
      <c r="AW75" s="194">
        <v>2</v>
      </c>
      <c r="AX75" s="196">
        <f>BA72</f>
        <v>400</v>
      </c>
      <c r="AY75" s="194" t="s">
        <v>564</v>
      </c>
      <c r="AZ75" s="194">
        <v>1.7</v>
      </c>
      <c r="BA75" s="194">
        <f>IF((تسعير!$BE$46="سادة"),(BE75*BC75*AZ75*(Sheet2!$B$14+(Sheet2!B41*1000))/1000),(BE75*BC75*AZ75*(Sheet2!$B$14+Sheet2!$B$15)/1000))</f>
        <v>4845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568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563</v>
      </c>
      <c r="B76" s="552">
        <f>ROUNDUP((12+((ROUNDUP((D74-210),15))/15)),0)</f>
        <v>25</v>
      </c>
      <c r="C76" s="553">
        <f>F74-16.5</f>
        <v>483.5</v>
      </c>
      <c r="D76" s="550" t="s">
        <v>564</v>
      </c>
      <c r="E76" s="550">
        <v>2.3</v>
      </c>
      <c r="F76" s="550">
        <f>IF(($H$74="سادة"),(J76*H76*E76*($U$73+(Sheet2!B41*1000))/1000),(J76*H76*E76*($U$73+(Sheet2!B15))/1000))</f>
        <v>81937.5</v>
      </c>
      <c r="G76" s="540"/>
      <c r="H76" s="551">
        <f>IF(AND((C76&gt;=150),(C76&lt;201)),4,IF(AND((C76&gt;=201),(C76&lt;251)),5,IF(AND((C76&gt;=251),(C76&lt;401)),4,IF(AND((C76&gt;=401),(C76&lt;501)),5,0))))</f>
        <v>5</v>
      </c>
      <c r="I76" s="284">
        <f ref="I76:I81" t="shared" si="21">(H76*100)/C76</f>
        <v>1.0341261633919339</v>
      </c>
      <c r="J76" s="554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568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448</v>
      </c>
      <c r="AT76" s="255"/>
      <c r="AU76" s="216"/>
      <c r="AV76" s="193" t="s">
        <v>567</v>
      </c>
      <c r="AW76" s="194">
        <v>2</v>
      </c>
      <c r="AX76" s="196">
        <f>AY72</f>
        <v>400</v>
      </c>
      <c r="AY76" s="194" t="s">
        <v>564</v>
      </c>
      <c r="AZ76" s="194">
        <v>1.7</v>
      </c>
      <c r="BA76" s="194">
        <f>IF((تسعير!$BE$46="سادة"),(BE76*BC76*AZ76*(Sheet2!$B$14+(Sheet2!B41*1000))/1000),(BE76*BC76*AZ76*(Sheet2!$B$14+Sheet2!$B$15)/1000))</f>
        <v>4845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572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0.030800821355236138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565</v>
      </c>
      <c r="B77" s="550">
        <v>2</v>
      </c>
      <c r="C77" s="552">
        <f>F74</f>
        <v>500</v>
      </c>
      <c r="D77" s="550" t="s">
        <v>564</v>
      </c>
      <c r="E77" s="550">
        <v>3.8</v>
      </c>
      <c r="F77" s="550">
        <f>IF(($H$74="سادة"),(J77*H77*E77*($U$73+(Sheet2!B41*1000))/1000),(J77*H77*E77*($U$73+(Sheet2!B15))/1000))</f>
        <v>10830</v>
      </c>
      <c r="G77" s="555"/>
      <c r="H77" s="551">
        <f>IF(AND((C77&gt;=200),(C77&lt;250)),5,IF(AND((C77&gt;=250),(C77&lt;=350)),7,IF(AND((C77&gt;350),(C77&lt;501)),5,IF(AND((C77&gt;=501),(C77&lt;701)),7,0))))</f>
        <v>5</v>
      </c>
      <c r="I77" s="284">
        <f t="shared" si="21"/>
        <v>1</v>
      </c>
      <c r="J77" s="554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572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3780</v>
      </c>
      <c r="V77" s="240">
        <f>M77*U77</f>
        <v>7560</v>
      </c>
      <c r="W77" s="241">
        <f>(V77)/$R$68</f>
        <v>0.030800821355236138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450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571</v>
      </c>
      <c r="AW77" s="194">
        <v>1</v>
      </c>
      <c r="AX77" s="194">
        <f>(15.6*(AW74-1)+4)</f>
        <v>347.2</v>
      </c>
      <c r="AY77" s="194" t="s">
        <v>564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574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0.027134056908184219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567</v>
      </c>
      <c r="B78" s="550">
        <v>2</v>
      </c>
      <c r="C78" s="552">
        <f>D74</f>
        <v>400</v>
      </c>
      <c r="D78" s="550" t="s">
        <v>564</v>
      </c>
      <c r="E78" s="550">
        <v>3.8</v>
      </c>
      <c r="F78" s="550">
        <f>IF(($H$74="سادة"),(J78*H78*E78*($U$73+(Sheet2!B41*1000))/1000),(J78*H78*E78*($U$73+(Sheet2!B15))/1000))</f>
        <v>10830</v>
      </c>
      <c r="G78" s="555"/>
      <c r="H78" s="551">
        <f>IF(AND((C78&gt;=200),(C78&lt;=250)),5,IF(AND((C78&gt;250),(C78&lt;=350)),7,IF(AND((C78&gt;350),(C78&lt;501)),5,IF(AND((C78&gt;=501),(C78&lt;701)),7,0))))</f>
        <v>5</v>
      </c>
      <c r="I78" s="284">
        <f t="shared" si="21"/>
        <v>1.25</v>
      </c>
      <c r="J78" s="554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574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0.027134056908184219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452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575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577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0.032267527134056909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448</v>
      </c>
      <c r="CO78" s="255"/>
    </row>
    <row r="79" ht="18.75">
      <c r="A79" s="549" t="s">
        <v>569</v>
      </c>
      <c r="B79" s="550">
        <v>2</v>
      </c>
      <c r="C79" s="552">
        <f>F74</f>
        <v>500</v>
      </c>
      <c r="D79" s="550" t="s">
        <v>564</v>
      </c>
      <c r="E79" s="550">
        <v>1.7</v>
      </c>
      <c r="F79" s="550">
        <f>IF(($H$74="سادة"),(J79*H79*E79*($U$73+(Sheet2!B41*1000))/1000),(J79*H79*E79*($U$73+(Sheet2!B15))/1000))</f>
        <v>4845</v>
      </c>
      <c r="G79" s="555"/>
      <c r="H79" s="551">
        <f>IF(AND((C79&gt;=200),(C79&lt;=250)),5,IF(AND((C79&gt;250),(C79&lt;=350)),7,IF(AND((C79&gt;350),(C79&lt;501)),5,IF(AND((C79&gt;=501),(C79&lt;701)),7,0))))</f>
        <v>5</v>
      </c>
      <c r="I79" s="284">
        <f t="shared" si="21"/>
        <v>1</v>
      </c>
      <c r="J79" s="554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577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0.032267527134056909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454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578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572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450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573</v>
      </c>
      <c r="B80" s="550">
        <v>2</v>
      </c>
      <c r="C80" s="552">
        <f>D74</f>
        <v>400</v>
      </c>
      <c r="D80" s="550" t="s">
        <v>564</v>
      </c>
      <c r="E80" s="550">
        <v>1.7</v>
      </c>
      <c r="F80" s="550">
        <f>IF(($H$74="سادة"),(J80*H80*E80*($U$73+(Sheet2!B41*1000))/1000),(J80*H80*E80*($U$73+(Sheet2!B15))/1000))</f>
        <v>4845</v>
      </c>
      <c r="G80" s="555"/>
      <c r="H80" s="551">
        <f>IF(AND((C80&gt;=200),(C80&lt;=250)),5,IF(AND((C80&gt;250),(C80&lt;=350)),7,IF(AND((C80&gt;350),(C80&lt;501)),5,IF(AND((C80&gt;=501),(C80&lt;701)),7,0))))</f>
        <v>5</v>
      </c>
      <c r="I80" s="284">
        <f t="shared" si="21"/>
        <v>1.25</v>
      </c>
      <c r="J80" s="554">
        <f t="shared" si="22"/>
        <v>2</v>
      </c>
      <c r="K80" s="187"/>
      <c r="L80" s="211">
        <v>4</v>
      </c>
      <c r="M80" s="212">
        <v>0</v>
      </c>
      <c r="N80" s="213" t="s">
        <v>572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456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579</v>
      </c>
      <c r="AW80" s="194">
        <v>1</v>
      </c>
      <c r="AX80" s="196">
        <v>100</v>
      </c>
      <c r="AY80" s="194" t="s">
        <v>564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580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452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576</v>
      </c>
      <c r="B81" s="550">
        <v>2</v>
      </c>
      <c r="C81" s="550">
        <f>C76</f>
        <v>483.5</v>
      </c>
      <c r="D81" s="550" t="s">
        <v>564</v>
      </c>
      <c r="E81" s="550">
        <v>0.65</v>
      </c>
      <c r="F81" s="550">
        <f>IF(($H$74="سادة"),(J81*H81*E81*($U$73+(Sheet2!B41*1000))/1000),(J81*H81*E81*($U$73+(Sheet2!B15))/1000))</f>
        <v>1852.5</v>
      </c>
      <c r="G81" s="555"/>
      <c r="H81" s="551">
        <f>IF(AND((C81&gt;=150),(C81&lt;201)),4,IF(AND((C81&gt;=201),(C81&lt;251)),5,IF(AND((C81&gt;=251),(C81&lt;401)),4,IF(AND((C81&gt;=401),(C81&lt;501)),5,0))))</f>
        <v>5</v>
      </c>
      <c r="I81" s="284">
        <f t="shared" si="21"/>
        <v>1.0341261633919339</v>
      </c>
      <c r="J81" s="554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580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458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584</v>
      </c>
      <c r="AW81" s="194"/>
      <c r="AX81" s="194">
        <v>100</v>
      </c>
      <c r="AY81" s="194" t="s">
        <v>370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0.090202405397477273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454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571</v>
      </c>
      <c r="B82" s="550">
        <v>2</v>
      </c>
      <c r="C82" s="550">
        <f>(15.6*(B76-1)+4)</f>
        <v>378.4</v>
      </c>
      <c r="D82" s="550" t="s">
        <v>564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22140</v>
      </c>
      <c r="W82" s="244">
        <f>Table15880101[[#Totals],[اجمالي]]/$R$68</f>
        <v>0.090202405397477273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460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582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46" t="s">
        <v>76</v>
      </c>
      <c r="BK82" s="646"/>
      <c r="BL82" s="646"/>
      <c r="BM82" s="646"/>
      <c r="BN82" s="646"/>
      <c r="BO82" s="646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456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575</v>
      </c>
      <c r="B83" s="550"/>
      <c r="C83" s="550">
        <f>B76*2</f>
        <v>50</v>
      </c>
      <c r="D83" s="550" t="s">
        <v>28</v>
      </c>
      <c r="E83" s="550">
        <v>20</v>
      </c>
      <c r="F83" s="550">
        <f>E83*C83</f>
        <v>1000</v>
      </c>
      <c r="G83" s="555"/>
      <c r="H83" s="556"/>
      <c r="I83" s="540"/>
      <c r="J83" s="540"/>
      <c r="K83" s="187"/>
      <c r="L83" s="216"/>
      <c r="M83" s="216"/>
      <c r="N83" s="217"/>
      <c r="O83" s="646" t="s">
        <v>76</v>
      </c>
      <c r="P83" s="646"/>
      <c r="Q83" s="646"/>
      <c r="R83" s="646"/>
      <c r="S83" s="646"/>
      <c r="T83" s="646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462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583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458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578</v>
      </c>
      <c r="B84" s="550"/>
      <c r="C84" s="550">
        <f>B76*2</f>
        <v>50</v>
      </c>
      <c r="D84" s="550" t="s">
        <v>28</v>
      </c>
      <c r="E84" s="550">
        <v>18</v>
      </c>
      <c r="F84" s="550">
        <f>E84*C84</f>
        <v>900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464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0.0048890192627358952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460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579</v>
      </c>
      <c r="B85" s="550">
        <v>1</v>
      </c>
      <c r="C85" s="552">
        <v>100</v>
      </c>
      <c r="D85" s="550" t="s">
        <v>564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0.0032593461751572635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5668.5406250000005</v>
      </c>
      <c r="AX85" s="310"/>
      <c r="AY85" s="310"/>
      <c r="AZ85" s="310"/>
      <c r="BA85" s="310">
        <f>SUBTOTAL(109,Table80102113[price])</f>
        <v>82451.5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0.00089632019816824747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462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584</v>
      </c>
      <c r="B86" s="550"/>
      <c r="C86" s="550">
        <v>4</v>
      </c>
      <c r="D86" s="550" t="s">
        <v>370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0.00089632019816824747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0.00052964375346305529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464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585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0.00052964375346305529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0.0019556077050943582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582</v>
      </c>
      <c r="B88" s="550"/>
      <c r="C88" s="550">
        <f>B76*2</f>
        <v>50</v>
      </c>
      <c r="D88" s="550" t="s">
        <v>28</v>
      </c>
      <c r="E88" s="550">
        <v>120</v>
      </c>
      <c r="F88" s="550">
        <f>C88*E88</f>
        <v>6000</v>
      </c>
      <c r="G88" s="555"/>
      <c r="H88" s="540"/>
      <c r="I88" s="540"/>
      <c r="J88" s="540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>
        <f>(V88)/$R$68</f>
        <v>0.0032593461751572635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583</v>
      </c>
      <c r="B89" s="550"/>
      <c r="C89" s="550">
        <f>B76*2</f>
        <v>50</v>
      </c>
      <c r="D89" s="550" t="s">
        <v>28</v>
      </c>
      <c r="E89" s="550">
        <v>120</v>
      </c>
      <c r="F89" s="550">
        <f>C89*E89</f>
        <v>6000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>
        <f>(V89)/$R$68</f>
        <v>0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0.0082705909194615568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586</v>
      </c>
      <c r="B90" s="550">
        <v>2</v>
      </c>
      <c r="C90" s="550"/>
      <c r="D90" s="550" t="s">
        <v>564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>
        <f>Table15617293[[#Totals],[اجمالي]]/$R$68</f>
        <v>0.007944656301945829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46" t="s">
        <v>99</v>
      </c>
      <c r="BK90" s="646"/>
      <c r="BL90" s="646"/>
      <c r="BM90" s="646"/>
      <c r="BN90" s="646"/>
      <c r="BO90" s="646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587</v>
      </c>
      <c r="B91" s="550"/>
      <c r="C91" s="550">
        <f>ROUNDUP(((C76*B76)/100),0)</f>
        <v>121</v>
      </c>
      <c r="D91" s="550" t="s">
        <v>564</v>
      </c>
      <c r="E91" s="550">
        <v>10</v>
      </c>
      <c r="F91" s="550">
        <f>C91*E91</f>
        <v>1210</v>
      </c>
      <c r="G91" s="555"/>
      <c r="H91" s="540"/>
      <c r="I91" s="540"/>
      <c r="J91" s="540"/>
      <c r="K91" s="187"/>
      <c r="L91" s="216"/>
      <c r="M91" s="216"/>
      <c r="N91" s="217"/>
      <c r="O91" s="646" t="s">
        <v>99</v>
      </c>
      <c r="P91" s="646"/>
      <c r="Q91" s="646"/>
      <c r="R91" s="646"/>
      <c r="S91" s="646"/>
      <c r="T91" s="646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588</v>
      </c>
      <c r="B92" s="566"/>
      <c r="C92" s="566">
        <f>C91</f>
        <v>121</v>
      </c>
      <c r="D92" s="550" t="s">
        <v>564</v>
      </c>
      <c r="E92" s="566">
        <v>20</v>
      </c>
      <c r="F92" s="550">
        <f ref="F92:F93" t="shared" si="25">C92*E92</f>
        <v>2420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0.00880023467292461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589</v>
      </c>
      <c r="B93" s="550" t="s">
        <v>590</v>
      </c>
      <c r="C93" s="550">
        <f>ROUNDUP((B76/3),0)</f>
        <v>9</v>
      </c>
      <c r="D93" s="550" t="s">
        <v>28</v>
      </c>
      <c r="E93" s="550">
        <v>250</v>
      </c>
      <c r="F93" s="550">
        <f t="shared" si="25"/>
        <v>2250</v>
      </c>
      <c r="G93" s="540"/>
      <c r="H93" s="540"/>
      <c r="I93" s="540"/>
      <c r="J93" s="540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2160</v>
      </c>
      <c r="W93" s="249">
        <f>(V93)/$R$68</f>
        <v>0.00880023467292461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471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591</v>
      </c>
      <c r="B94" s="550" t="s">
        <v>592</v>
      </c>
      <c r="C94" s="550">
        <f>C93</f>
        <v>9</v>
      </c>
      <c r="D94" s="550" t="s">
        <v>28</v>
      </c>
      <c r="E94" s="550">
        <v>40</v>
      </c>
      <c r="F94" s="550">
        <f>E94*C94</f>
        <v>360</v>
      </c>
      <c r="G94" s="540"/>
      <c r="H94" s="540"/>
      <c r="I94" s="540"/>
      <c r="J94" s="540"/>
      <c r="L94" s="211">
        <v>2</v>
      </c>
      <c r="M94" s="219">
        <v>0</v>
      </c>
      <c r="N94" s="220" t="s">
        <v>471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0.0022000586682311527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593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33.75</v>
      </c>
      <c r="V95" s="240">
        <f>M95*U95</f>
        <v>540</v>
      </c>
      <c r="W95" s="251">
        <f>(V95)/$R$68</f>
        <v>0.0022000586682311527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0.011000293341155765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183</v>
      </c>
      <c r="B96" s="550" t="s">
        <v>28</v>
      </c>
      <c r="C96" s="550">
        <v>1</v>
      </c>
      <c r="D96" s="550" t="s">
        <v>28</v>
      </c>
      <c r="E96" s="550">
        <f>E23</f>
        <v>9000</v>
      </c>
      <c r="F96" s="550">
        <f>E96*C96</f>
        <v>9000</v>
      </c>
      <c r="G96" s="540"/>
      <c r="H96" s="540"/>
      <c r="I96" s="540"/>
      <c r="J96" s="540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2700</v>
      </c>
      <c r="W96" s="244">
        <f>Table16627394[[#Totals],[اجمالي]]/$R$68</f>
        <v>0.011000293341155765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46" t="s">
        <v>102</v>
      </c>
      <c r="BK96" s="646"/>
      <c r="BL96" s="646"/>
      <c r="BM96" s="646"/>
      <c r="BN96" s="646"/>
      <c r="BO96" s="646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8521.15</v>
      </c>
      <c r="C97" s="194"/>
      <c r="D97" s="194"/>
      <c r="E97" s="194"/>
      <c r="F97" s="194">
        <f>SUBTOTAL(109,Table80102114115[price])</f>
        <v>154930</v>
      </c>
      <c r="L97" s="216"/>
      <c r="M97" s="216"/>
      <c r="N97" s="217"/>
      <c r="O97" s="646" t="s">
        <v>102</v>
      </c>
      <c r="P97" s="646"/>
      <c r="Q97" s="646"/>
      <c r="R97" s="646"/>
      <c r="S97" s="646"/>
      <c r="T97" s="646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0.00022000586682311527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0.00030556370392099345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0.00022000586682311527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0.00030556370392099345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0.00010185456797366448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0.00016296730875786316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0.0006111274078419869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0.0006111274078419869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0.00032593461751572632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0.00032593461751572632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420</v>
      </c>
      <c r="BR105" s="251">
        <f t="shared" si="27" ca="1"/>
        <v>0.0017111567419575632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420</v>
      </c>
      <c r="W106" s="251">
        <f t="shared" si="29" ca="1"/>
        <v>0.0017111567419575632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9" t="s">
        <v>132</v>
      </c>
      <c r="BJ107" s="581"/>
      <c r="BK107" s="581"/>
      <c r="BL107" s="581"/>
      <c r="BM107" s="583"/>
      <c r="BN107" s="582"/>
      <c r="BO107" s="211"/>
      <c r="BP107" s="248">
        <v>30</v>
      </c>
      <c r="BQ107" s="240">
        <f t="shared" si="26"/>
        <v>15120</v>
      </c>
      <c r="BR107" s="251">
        <f t="shared" si="27" ca="1"/>
        <v>0.061601642710472276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77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9" t="s">
        <v>62</v>
      </c>
      <c r="BJ108" s="581"/>
      <c r="BK108" s="581"/>
      <c r="BL108" s="581"/>
      <c r="BM108" s="583" t="s">
        <v>115</v>
      </c>
      <c r="BN108" s="582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0.04838091978749063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>
        <f t="shared" si="29" ca="1"/>
        <v>0.061601642710472276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7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9" t="s">
        <v>70</v>
      </c>
      <c r="BJ109" s="581"/>
      <c r="BK109" s="581"/>
      <c r="BL109" s="581"/>
      <c r="BM109" s="584" t="s">
        <v>116</v>
      </c>
      <c r="BN109" s="582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0.053473648186173853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0.04838091978749063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7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9" t="s">
        <v>78</v>
      </c>
      <c r="BJ110" s="581"/>
      <c r="BK110" s="581"/>
      <c r="BL110" s="581"/>
      <c r="BM110" s="584" t="s">
        <v>117</v>
      </c>
      <c r="BN110" s="582"/>
      <c r="BO110" s="211"/>
      <c r="BP110" s="248">
        <f t="shared" si="30"/>
        <v>160</v>
      </c>
      <c r="BQ110" s="240">
        <f t="shared" si="26"/>
        <v>800</v>
      </c>
      <c r="BR110" s="251">
        <f t="shared" si="27" ca="1"/>
        <v>0.0032593461751572635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0.053473648186173853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7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9" t="s">
        <v>80</v>
      </c>
      <c r="BJ111" s="581"/>
      <c r="BK111" s="581"/>
      <c r="BL111" s="581"/>
      <c r="BM111" s="584" t="s">
        <v>117</v>
      </c>
      <c r="BN111" s="582"/>
      <c r="BO111" s="211"/>
      <c r="BP111" s="248">
        <f t="shared" si="30"/>
        <v>160</v>
      </c>
      <c r="BQ111" s="240">
        <f t="shared" si="26"/>
        <v>800</v>
      </c>
      <c r="BR111" s="251">
        <f t="shared" si="27" ca="1"/>
        <v>0.0032593461751572635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0.0032593461751572635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76"/>
      <c r="BI112" s="578"/>
      <c r="BJ112" s="580"/>
      <c r="BK112" s="580"/>
      <c r="BL112" s="580"/>
      <c r="BM112" s="582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9" t="s">
        <v>58</v>
      </c>
      <c r="BH113" s="570"/>
      <c r="BI113" s="571" t="s">
        <v>58</v>
      </c>
      <c r="BJ113" s="572"/>
      <c r="BK113" s="572"/>
      <c r="BL113" s="572"/>
      <c r="BM113" s="569" t="s">
        <v>118</v>
      </c>
      <c r="BN113" s="569"/>
      <c r="BO113" s="569"/>
      <c r="BP113" s="573"/>
      <c r="BQ113" s="574">
        <f>SUBTOTAL(109,Table13597192103[اجمالي])</f>
        <v>42503</v>
      </c>
      <c r="BR113" s="575">
        <f>Table13597192103[[#Totals],[اجمالي]]/$R$68</f>
        <v>0.17316498810338646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41760</v>
      </c>
      <c r="W114" s="525">
        <f>Table13597192[[#Totals],[اجمالي]]/$R$68</f>
        <v>0.17013787034320915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46" t="s">
        <v>131</v>
      </c>
      <c r="BK115" s="646"/>
      <c r="BL115" s="646"/>
      <c r="BM115" s="646"/>
      <c r="BN115" s="646"/>
      <c r="BO115" s="646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46" t="s">
        <v>131</v>
      </c>
      <c r="P116" s="646"/>
      <c r="Q116" s="646"/>
      <c r="R116" s="646"/>
      <c r="S116" s="646"/>
      <c r="T116" s="646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556</v>
      </c>
      <c r="BJ117" s="214"/>
      <c r="BK117" s="211"/>
      <c r="BL117" s="216"/>
      <c r="BM117" s="214"/>
      <c r="BN117" s="211"/>
      <c r="BO117" s="247"/>
      <c r="BP117" s="248">
        <f>Table80102113[[#Totals],[price]]</f>
        <v>82451.5</v>
      </c>
      <c r="BQ117" s="252">
        <f>BH117*Table1613687798109[[#This Row],[سعر الشبك ]]</f>
        <v>82451.5</v>
      </c>
      <c r="BR117" s="241">
        <f>(BQ117)/$R$68</f>
        <v>0.33592247645122386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556</v>
      </c>
      <c r="O118" s="214"/>
      <c r="P118" s="211"/>
      <c r="Q118" s="216"/>
      <c r="R118" s="214"/>
      <c r="S118" s="211"/>
      <c r="T118" s="247"/>
      <c r="U118" s="248">
        <f>F97</f>
        <v>154930</v>
      </c>
      <c r="V118" s="252">
        <f>M118*Table1613687798[[#This Row],[سعر الشبك ]]</f>
        <v>154930</v>
      </c>
      <c r="W118" s="241">
        <f>(V118)/$R$68</f>
        <v>0.63121312864639356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82451.5</v>
      </c>
      <c r="BQ118" s="240">
        <f>BH118*Table1613687798109[[#This Row],[سعر الشبك ]]</f>
        <v>8245.15</v>
      </c>
      <c r="BR118" s="241">
        <f>(BQ118)/$R$68</f>
        <v>0.033592247645122385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154930</v>
      </c>
      <c r="V119" s="240">
        <f>M119*Table1613687798[[#This Row],[سعر الشبك ]]</f>
        <v>15493</v>
      </c>
      <c r="W119" s="241">
        <f>(V119)/$R$68</f>
        <v>0.063121312864639359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90696.65</v>
      </c>
      <c r="BR119" s="244">
        <f>Table1613687798109[[#Totals],[اجمالي]]/$R$68</f>
        <v>0.36951472409634623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170423</v>
      </c>
      <c r="W120" s="244">
        <f>Table1613687798[[#Totals],[اجمالي]]/$R$68</f>
        <v>0.69433444151103285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46" t="s">
        <v>133</v>
      </c>
      <c r="BK120" s="646"/>
      <c r="BL120" s="646"/>
      <c r="BM120" s="646"/>
      <c r="BN120" s="646"/>
      <c r="BO120" s="646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46" t="s">
        <v>133</v>
      </c>
      <c r="P121" s="646"/>
      <c r="Q121" s="646"/>
      <c r="R121" s="646"/>
      <c r="S121" s="646"/>
      <c r="T121" s="646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3" ca="1">BH122*BP122</f>
        <v>370</v>
      </c>
      <c r="BR122" s="241">
        <f ref="BR122:BR134" t="shared" si="34" ca="1">(BQ122)/$R$68</f>
        <v>0.0015074476060102343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5" ca="1">M123*U123</f>
        <v>400</v>
      </c>
      <c r="W123" s="241">
        <f ref="W123:W135" t="shared" si="36" ca="1">(V123)/$R$68</f>
        <v>0.0016296730875786317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3" ca="1"/>
        <v>370</v>
      </c>
      <c r="BR123" s="241">
        <f t="shared" si="34" ca="1"/>
        <v>0.0015074476060102343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5" ca="1"/>
        <v>400</v>
      </c>
      <c r="W124" s="241">
        <f t="shared" si="36" ca="1"/>
        <v>0.0016296730875786317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3" ca="1"/>
        <v>1110</v>
      </c>
      <c r="BR125" s="241">
        <f t="shared" si="34" ca="1"/>
        <v>0.0045223428180307034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5" ca="1"/>
        <v>1200</v>
      </c>
      <c r="W126" s="241">
        <f t="shared" si="36" ca="1"/>
        <v>0.0048890192627358952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3" ca="1"/>
        <v>2480</v>
      </c>
      <c r="BR126" s="241">
        <f t="shared" si="34" ca="1"/>
        <v>0.010103973142987516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5" ca="1"/>
        <v>2600</v>
      </c>
      <c r="W127" s="241">
        <f t="shared" si="36" ca="1"/>
        <v>0.010592875069261105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3" ca="1"/>
        <v>1860</v>
      </c>
      <c r="BR127" s="241">
        <f t="shared" si="34" ca="1"/>
        <v>0.0075779798572406373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5" ca="1"/>
        <v>1950</v>
      </c>
      <c r="W128" s="241">
        <f t="shared" si="36" ca="1"/>
        <v>0.007944656301945829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3" ca="1"/>
        <v>2480</v>
      </c>
      <c r="BR129" s="241">
        <f t="shared" si="34" ca="1"/>
        <v>0.010103973142987516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5" ca="1"/>
        <v>2600</v>
      </c>
      <c r="W130" s="241">
        <f t="shared" si="36" ca="1"/>
        <v>0.010592875069261105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0.01075584237801897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0.01075584237801897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0.0091669111176298033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0.0091669111176298033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0.018741240507154266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0.018741240507154266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0.0034223134839151265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0.0034223134839151265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0.077409471659985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4390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0.079365079365079361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9"/>
      <c r="BK136" s="639"/>
      <c r="BL136" s="639"/>
      <c r="BM136" s="639"/>
      <c r="BN136" s="639"/>
      <c r="BO136" s="639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9"/>
      <c r="P137" s="639"/>
      <c r="Q137" s="639"/>
      <c r="R137" s="639"/>
      <c r="S137" s="639"/>
      <c r="T137" s="639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179069.65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258453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232790.545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335988.9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FA1E11A4-1C89-4A3B-BC0A-945AE7E4DCEE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5" t="s">
        <v>420</v>
      </c>
      <c r="K1" s="665"/>
      <c r="L1" s="665"/>
      <c r="M1" s="665"/>
      <c r="N1" s="665"/>
      <c r="O1" s="665"/>
      <c r="P1" s="665"/>
      <c r="Q1" s="665"/>
      <c r="R1" s="665"/>
      <c r="S1" s="665"/>
    </row>
    <row r="2" ht="18" customHeight="1">
      <c r="A2" s="11" t="s">
        <v>358</v>
      </c>
      <c r="B2" s="654">
        <f>Royal!C3</f>
        <v>0</v>
      </c>
      <c r="C2" s="655"/>
      <c r="D2" s="655"/>
      <c r="E2" s="655"/>
      <c r="F2" s="656"/>
      <c r="G2" s="1">
        <v>1</v>
      </c>
      <c r="J2" s="665"/>
      <c r="K2" s="665"/>
      <c r="L2" s="665"/>
      <c r="M2" s="665"/>
      <c r="N2" s="665"/>
      <c r="O2" s="665"/>
      <c r="P2" s="665"/>
      <c r="Q2" s="665"/>
      <c r="R2" s="665"/>
      <c r="S2" s="665"/>
    </row>
    <row r="3" ht="18" customHeight="1">
      <c r="A3" s="11" t="s">
        <v>421</v>
      </c>
      <c r="F3" s="657" t="s">
        <v>422</v>
      </c>
      <c r="G3" s="657"/>
    </row>
    <row r="4" ht="18" customHeight="1">
      <c r="A4" s="11" t="s">
        <v>290</v>
      </c>
      <c r="F4" s="658" t="s">
        <v>423</v>
      </c>
      <c r="G4" s="659"/>
      <c r="H4" s="659"/>
      <c r="I4" s="660"/>
      <c r="J4" s="10"/>
    </row>
    <row r="5" ht="18" customHeight="1">
      <c r="A5" s="11" t="s">
        <v>291</v>
      </c>
      <c r="F5" s="661" t="s">
        <v>424</v>
      </c>
      <c r="G5" s="662"/>
      <c r="H5" s="662"/>
      <c r="I5" s="663"/>
      <c r="J5" s="10"/>
    </row>
    <row r="6" ht="18" customHeight="1">
      <c r="A6" s="11" t="s">
        <v>362</v>
      </c>
      <c r="Q6" s="664"/>
      <c r="R6" s="664"/>
      <c r="S6" s="664"/>
    </row>
    <row r="7" ht="18" customHeight="1">
      <c r="B7" s="180" t="s">
        <v>125</v>
      </c>
      <c r="C7" s="181">
        <f>تسعير!AA10</f>
        <v>300</v>
      </c>
      <c r="D7" s="182" t="s">
        <v>425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292</v>
      </c>
    </row>
    <row r="10" ht="18" customHeight="1">
      <c r="A10" s="11" t="s">
        <v>293</v>
      </c>
    </row>
    <row r="11" ht="18" customHeight="1">
      <c r="A11" s="11" t="s">
        <v>309</v>
      </c>
      <c r="B11" s="666" t="s">
        <v>426</v>
      </c>
      <c r="C11" s="667"/>
      <c r="D11" s="662" t="s">
        <v>427</v>
      </c>
      <c r="E11" s="663"/>
    </row>
    <row r="12" ht="18" customHeight="1">
      <c r="A12" s="11" t="s">
        <v>294</v>
      </c>
    </row>
    <row r="13" ht="18" customHeight="1">
      <c r="A13" s="11" t="s">
        <v>428</v>
      </c>
    </row>
    <row r="14" ht="18" customHeight="1"/>
    <row r="15" ht="24.6" customHeight="1">
      <c r="A15" s="11" t="s">
        <v>297</v>
      </c>
      <c r="Q15" s="664"/>
      <c r="R15" s="664"/>
      <c r="S15" s="664"/>
    </row>
    <row r="16" ht="18" customHeight="1">
      <c r="C16" s="657" t="s">
        <v>429</v>
      </c>
      <c r="D16" s="657"/>
      <c r="E16" s="657"/>
      <c r="F16" s="1" t="s">
        <v>430</v>
      </c>
    </row>
    <row r="17" ht="18" customHeight="1">
      <c r="A17" s="657" t="s">
        <v>295</v>
      </c>
      <c r="B17" s="657"/>
      <c r="C17" s="657"/>
    </row>
    <row r="18" ht="18" customHeight="1">
      <c r="A18" s="668" t="s">
        <v>431</v>
      </c>
      <c r="B18" s="669"/>
      <c r="C18" s="14">
        <f>'Format Φωτισμου'!B9</f>
        <v>4</v>
      </c>
    </row>
    <row r="19" ht="18" customHeight="1">
      <c r="A19" s="668" t="s">
        <v>432</v>
      </c>
      <c r="B19" s="669"/>
      <c r="C19" s="14">
        <f>'Format Φωτισμου'!B12</f>
        <v>8</v>
      </c>
    </row>
    <row r="20" ht="18" customHeight="1">
      <c r="A20" s="668" t="s">
        <v>433</v>
      </c>
      <c r="B20" s="669"/>
      <c r="C20" s="14">
        <f>C19/C18</f>
        <v>2</v>
      </c>
    </row>
    <row r="21" ht="18" customHeight="1">
      <c r="A21" s="670" t="s">
        <v>434</v>
      </c>
      <c r="B21" s="671"/>
      <c r="C21" s="672">
        <v>20</v>
      </c>
      <c r="D21" s="673"/>
      <c r="E21" s="666" t="s">
        <v>435</v>
      </c>
      <c r="F21" s="667"/>
      <c r="G21" s="667"/>
      <c r="H21" s="14">
        <f>C21/C18</f>
        <v>5</v>
      </c>
      <c r="J21" s="675"/>
      <c r="K21" s="675"/>
      <c r="L21" s="675"/>
      <c r="M21" s="675"/>
      <c r="N21" s="675"/>
      <c r="O21" s="675"/>
      <c r="P21" s="675"/>
      <c r="Q21" s="675"/>
      <c r="R21" s="675"/>
      <c r="S21" s="675"/>
    </row>
    <row r="22" ht="18" customHeight="1">
      <c r="A22" s="668" t="s">
        <v>436</v>
      </c>
      <c r="B22" s="669"/>
      <c r="C22" s="179">
        <v>50</v>
      </c>
      <c r="D22" s="184" t="s">
        <v>437</v>
      </c>
      <c r="J22" s="675"/>
      <c r="K22" s="675"/>
      <c r="L22" s="675"/>
      <c r="M22" s="675"/>
      <c r="N22" s="675"/>
      <c r="O22" s="675"/>
      <c r="P22" s="675"/>
      <c r="Q22" s="675"/>
      <c r="R22" s="675"/>
      <c r="S22" s="675"/>
    </row>
    <row r="23" ht="18" customHeight="1">
      <c r="J23" s="675"/>
      <c r="K23" s="675"/>
      <c r="L23" s="675"/>
      <c r="M23" s="675"/>
      <c r="N23" s="675"/>
      <c r="O23" s="675"/>
      <c r="P23" s="675"/>
      <c r="Q23" s="675"/>
      <c r="R23" s="675"/>
      <c r="S23" s="675"/>
    </row>
    <row r="24" ht="18" customHeight="1"/>
    <row r="25" ht="18" customHeight="1">
      <c r="A25" s="11" t="s">
        <v>438</v>
      </c>
      <c r="J25" s="674"/>
      <c r="K25" s="674"/>
      <c r="L25" s="674"/>
      <c r="M25" s="674"/>
      <c r="N25" s="674"/>
      <c r="O25" s="674"/>
      <c r="P25" s="674"/>
      <c r="Q25" s="674"/>
      <c r="R25" s="15"/>
      <c r="S25" s="10"/>
    </row>
    <row r="26" ht="18" customHeight="1">
      <c r="G26" s="1" t="s">
        <v>439</v>
      </c>
      <c r="H26" s="1" t="s">
        <v>440</v>
      </c>
    </row>
    <row r="27" ht="18" customHeight="1">
      <c r="A27" s="11" t="s">
        <v>306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64"/>
      <c r="K27" s="664"/>
      <c r="L27" s="664"/>
      <c r="M27" s="664"/>
      <c r="N27" s="664"/>
      <c r="O27" s="664"/>
      <c r="P27" s="664"/>
      <c r="Q27" s="664"/>
      <c r="R27" s="664"/>
      <c r="S27" s="664"/>
    </row>
    <row r="28" ht="18" customHeight="1">
      <c r="A28" s="11" t="s">
        <v>307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309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2024-08-20T09:15:31Z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