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<sst xmlns="http://schemas.openxmlformats.org/spreadsheetml/2006/main" count="598" uniqueCount="598">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</sst>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14802.083333333332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1800</v>
      </c>
      <c r="D7" s="182" t="s">
        <v>428</v>
      </c>
      <c r="E7" s="183">
        <f>تسعير!X31</f>
        <v>1800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6</v>
      </c>
      <c r="H27" s="185">
        <f>IF('Format (2)'!J8=3,تسجيل2!G27,IF('Format (2)'!J8=1,تسجيل2!G27-2,IF('Format (2)'!J8=2,تسجيل2!G27-1,IF('Format (2)'!J8=4,تسجيل2!G27+1,IF('Format (2)'!J8=5,تسجيل2!G27+2)))))</f>
        <v>6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7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7</v>
      </c>
      <c r="M29" s="15"/>
      <c r="O29" s="15"/>
    </row>
    <row r="30" ht="18" customHeight="1">
      <c r="A30" s="11" t="s">
        <v>312</v>
      </c>
      <c r="G30" s="185">
        <f>G27</f>
        <v>6</v>
      </c>
      <c r="H30" s="185">
        <f>IF('Format (2)'!M8=3,G30,IF('Format (2)'!M8=1,G30-2,IF('Format (2)'!M8=2,G30-1,IF('Format (2)'!M8=4,G30+1,IF('Format (2)'!M8=5,G30+2)))))</f>
        <v>6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265000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265000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1800</v>
      </c>
      <c r="L6" s="759"/>
      <c r="M6" s="94" t="s">
        <v>366</v>
      </c>
      <c r="N6" s="95">
        <f>تسجيل2!E7</f>
        <v>1800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324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1799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1772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382.53936</v>
      </c>
      <c r="U8" s="138">
        <f>T8*S8</f>
        <v>105198.324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6</v>
      </c>
      <c r="H11" s="743"/>
      <c r="I11" s="744">
        <f>'Format διαστασης οδηγου (2)'!F8</f>
        <v>1765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6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13.2375</v>
      </c>
      <c r="U11" s="103">
        <f>CEILING(T11,0.5)</f>
        <v>13.5</v>
      </c>
      <c r="V11" s="103">
        <f>U11*S11</f>
        <v>108</v>
      </c>
      <c r="W11" s="140">
        <v>4.45627705627706</v>
      </c>
      <c r="X11" s="141">
        <f>($W$1/1000)*W11*V11</f>
        <v>127538.64935064946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359.7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3.597</v>
      </c>
      <c r="U12" s="103">
        <f ref="U12:U21" t="shared" si="0">CEILING(T12,0.25)</f>
        <v>3.75</v>
      </c>
      <c r="V12" s="103">
        <f ref="V12:V20" t="shared" si="1">G12*S12</f>
        <v>16</v>
      </c>
      <c r="W12" s="140">
        <v>1.86378737541528</v>
      </c>
      <c r="X12" s="141">
        <f>($W$1/1000)*W12*V12</f>
        <v>7902.4584717607877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6</v>
      </c>
      <c r="H13" s="718"/>
      <c r="I13" s="719">
        <f>IF(G13="-------","-------",L17-5)</f>
        <v>353.2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5.2979999999999992</v>
      </c>
      <c r="U13" s="103">
        <f t="shared" si="0"/>
        <v>5.5</v>
      </c>
      <c r="V13" s="103">
        <f t="shared" si="1"/>
        <v>24</v>
      </c>
      <c r="W13" s="140">
        <v>1.86378737541528</v>
      </c>
      <c r="X13" s="141">
        <f ref="X13:X20" t="shared" si="7">($W$1/1000)*W13*V13</f>
        <v>11853.687707641182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359.7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361.7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0.90425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1478.564102564108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361.7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358.2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0.90425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1478.564102564108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3</v>
      </c>
      <c r="H18" s="718"/>
      <c r="I18" s="719">
        <f>IF(G18="-------","-------",L17)</f>
        <v>358.2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2.6864999999999997</v>
      </c>
      <c r="U18" s="103">
        <f t="shared" si="0"/>
        <v>2.75</v>
      </c>
      <c r="V18" s="103">
        <f t="shared" si="1"/>
        <v>12</v>
      </c>
      <c r="W18" s="140">
        <v>1.3948717948718</v>
      </c>
      <c r="X18" s="141">
        <f t="shared" si="7"/>
        <v>4435.692307692324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1797.5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5</v>
      </c>
      <c r="H20" s="724"/>
      <c r="I20" s="719">
        <f>L17-7</f>
        <v>351.2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4.39</v>
      </c>
      <c r="U20" s="103">
        <f t="shared" si="0"/>
        <v>4.5</v>
      </c>
      <c r="V20" s="103">
        <f t="shared" si="1"/>
        <v>20</v>
      </c>
      <c r="W20" s="103">
        <v>1.65</v>
      </c>
      <c r="X20" s="141">
        <f t="shared" si="7"/>
        <v>8745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6</v>
      </c>
      <c r="H21" s="710"/>
      <c r="I21" s="711">
        <f>(I11*2)+45</f>
        <v>3575</v>
      </c>
      <c r="J21" s="711"/>
      <c r="K21" s="106"/>
      <c r="L21" s="112">
        <f>IF(Format!E7=1,"-------",IF(Format!E7=5,"-------",تسجيل2!H30))</f>
        <v>6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214.5</v>
      </c>
      <c r="U21" s="142">
        <f t="shared" si="0"/>
        <v>214.5</v>
      </c>
      <c r="V21" s="142">
        <f>U21*S21</f>
        <v>214.5</v>
      </c>
      <c r="W21" s="142">
        <f>Sheet2!B17</f>
        <v>175</v>
      </c>
      <c r="X21" s="144">
        <f>W21*V21</f>
        <v>37537.5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6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780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6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132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12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636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6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2640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12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6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24</v>
      </c>
      <c r="AB29" s="60">
        <f t="shared" si="10"/>
        <v>9000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6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 t="e">
        <f t="shared" si="11"/>
        <v>#VALUE!</v>
      </c>
      <c r="AB30" s="60">
        <f t="shared" si="10"/>
        <v>9000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6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540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18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6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63</v>
      </c>
      <c r="AB33" s="60">
        <f t="shared" si="10"/>
        <v>990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18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63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8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360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5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500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6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270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70.6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247.09999999999997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1799</v>
      </c>
      <c r="L97" s="177" t="str">
        <f>M8</f>
        <v>Χ</v>
      </c>
      <c r="M97" s="682">
        <f>N8</f>
        <v>1772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1800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1800</v>
      </c>
      <c r="C19" s="31">
        <f>IF(B18&gt;2400,8,IF(B18&gt;2000,7,IF(B18&gt;1600,6,IF(B18&gt;1200,5,IF(B18&gt;800,4,IF(B18&gt;400,3,2))))))</f>
        <v>6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1800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1800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1800</v>
      </c>
      <c r="T31" s="47" t="s">
        <v>348</v>
      </c>
      <c r="U31" s="57">
        <f>INT((S31-4)/25)+1</f>
        <v>72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1800</v>
      </c>
      <c r="E2" s="1">
        <f>تسجيل2!E7</f>
        <v>1800</v>
      </c>
      <c r="F2" s="1">
        <f>تسجيل2!E7</f>
        <v>1800</v>
      </c>
      <c r="G2" s="1">
        <f>تسجيل2!E7</f>
        <v>1800</v>
      </c>
      <c r="H2" s="8">
        <f>تسجيل2!E7</f>
        <v>1800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1800</v>
      </c>
      <c r="E6" s="1">
        <f>IF(E3=0,E2,E2-E3-E4+10)</f>
        <v>1800</v>
      </c>
      <c r="F6" s="1">
        <f>IF(F3=0,F2,F2-F3-F4+10)</f>
        <v>1800</v>
      </c>
      <c r="G6" s="1">
        <f>IF(G3=0,G2,G2-G3-G4+10)</f>
        <v>1800</v>
      </c>
      <c r="H6" s="8">
        <f>IF(H3=0,H2,H2-H3-H4+10)</f>
        <v>1800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1800</v>
      </c>
      <c r="L6" s="10">
        <f>IF('Format (2)'!E8=1,تسجيل2!E7-30,IF('Format (2)'!E8=2,D7,IF('Format (2)'!E8=3,E7,IF('Format (2)'!E8=4,F7,IF('Format (2)'!E8=5,G7,IF('Format (2)'!E8=6,H7,"-----"))))))</f>
        <v>1770</v>
      </c>
    </row>
    <row r="7">
      <c r="A7" s="783"/>
      <c r="B7" s="784"/>
      <c r="C7" s="19" t="s">
        <v>278</v>
      </c>
      <c r="D7" s="6">
        <f>D6-30</f>
        <v>1770</v>
      </c>
      <c r="E7" s="6">
        <f>E6-17</f>
        <v>1783</v>
      </c>
      <c r="F7" s="6">
        <f>F6-30</f>
        <v>1770</v>
      </c>
      <c r="G7" s="6">
        <f>G6-17</f>
        <v>1783</v>
      </c>
      <c r="H7" s="9">
        <f>H6-30</f>
        <v>1770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1800</v>
      </c>
      <c r="E11" s="1">
        <f>تسجيل2!E7</f>
        <v>1800</v>
      </c>
      <c r="F11" s="1">
        <f>تسجيل2!E7</f>
        <v>1800</v>
      </c>
      <c r="G11" s="1">
        <f>تسجيل2!E7</f>
        <v>1800</v>
      </c>
      <c r="H11" s="8">
        <f>تسجيل2!E7</f>
        <v>1800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1800</v>
      </c>
      <c r="L14" s="10">
        <f>IF('Format (2)'!E8=1,تسجيل2!E7-30,IF('Format (2)'!E8=2,D16,IF('Format (2)'!E8=3,E16,IF('Format (2)'!E8=4,F16,IF('Format (2)'!E8=5,G16,IF('Format (2)'!E8=6,H16))))))</f>
        <v>1770</v>
      </c>
    </row>
    <row r="15">
      <c r="A15" s="787"/>
      <c r="B15" s="788"/>
      <c r="C15" s="10" t="s">
        <v>276</v>
      </c>
      <c r="D15" s="1">
        <f>IF(D12=0,D11,D11-D12-D13+11)</f>
        <v>1800</v>
      </c>
      <c r="E15" s="1">
        <f>IF(E12=0,E11,E11-E12-E13+11)</f>
        <v>1800</v>
      </c>
      <c r="F15" s="1">
        <f>IF(F12=0,F11,F11-F12-F13+11)</f>
        <v>1800</v>
      </c>
      <c r="G15" s="1">
        <f>IF(G12=0,G11,G11-G12-G13+11)</f>
        <v>1800</v>
      </c>
      <c r="H15" s="8">
        <f>IF(H12=0,H11,H11-H12-H13+11)</f>
        <v>1800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1770</v>
      </c>
      <c r="E16" s="6">
        <f>E15-17</f>
        <v>1783</v>
      </c>
      <c r="F16" s="6">
        <f>F15-30</f>
        <v>1770</v>
      </c>
      <c r="G16" s="6">
        <f>G15-17</f>
        <v>1783</v>
      </c>
      <c r="H16" s="9">
        <f>H15-30</f>
        <v>1770</v>
      </c>
      <c r="Q16" s="10">
        <f>IF('Format (2)'!A7=1,K6,IF('Format (2)'!A7=3,K6,IF('Format (2)'!A7=4,K23,IF('Format (2)'!A7=2,K23,IF('Format (2)'!A7=5,K14,"------")))))</f>
        <v>1800</v>
      </c>
      <c r="R16" s="10">
        <f>IF('Format (2)'!A7=1,L6,IF('Format (2)'!A7=3,L6,IF('Format (2)'!A7=4,L23,IF('Format (2)'!A7=2,L23+2,IF('Format (2)'!A7=5,L14,"------")))))</f>
        <v>1772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1800</v>
      </c>
      <c r="E20" s="1">
        <f>تسجيل2!E7</f>
        <v>1800</v>
      </c>
      <c r="F20" s="1">
        <f>تسجيل2!E7</f>
        <v>1800</v>
      </c>
      <c r="G20" s="1">
        <f>تسجيل2!E7</f>
        <v>1800</v>
      </c>
      <c r="H20" s="8">
        <f>تسجيل2!E7</f>
        <v>1800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1800</v>
      </c>
      <c r="L23" s="10">
        <f>IF('Format (2)'!E8=1,تسجيل2!E7-30,IF('Format (2)'!E8=2,D25,IF('Format (2)'!E8=3,E25,IF('Format (2)'!E8=4,F25,IF('Format (2)'!E8=5,G25,IF('Format (2)'!E8=6,H25))))))</f>
        <v>1770</v>
      </c>
    </row>
    <row r="24">
      <c r="A24" s="793"/>
      <c r="B24" s="794"/>
      <c r="C24" s="10" t="s">
        <v>276</v>
      </c>
      <c r="D24" s="1">
        <f>IF(D21=0,D20,D20-D21-D22+11)</f>
        <v>1800</v>
      </c>
      <c r="E24" s="1">
        <f>IF(E21=0,E20,E20-E21-E22+11)</f>
        <v>1800</v>
      </c>
      <c r="F24" s="1">
        <f>IF(F21=0,F20,F20-F21-F22+11)</f>
        <v>1800</v>
      </c>
      <c r="G24" s="1">
        <f>IF(G21=0,G20,G20-G21-G22+11)</f>
        <v>1800</v>
      </c>
      <c r="H24" s="8">
        <f>IF(H21=0,H20,H20-H21-H22+11)</f>
        <v>1800</v>
      </c>
    </row>
    <row r="25">
      <c r="A25" s="795"/>
      <c r="B25" s="796"/>
      <c r="C25" s="19" t="s">
        <v>278</v>
      </c>
      <c r="D25" s="6">
        <f>D24-30</f>
        <v>1770</v>
      </c>
      <c r="E25" s="6">
        <f>E24-13</f>
        <v>1787</v>
      </c>
      <c r="F25" s="6">
        <f>F24-30</f>
        <v>1770</v>
      </c>
      <c r="G25" s="6">
        <f>G24-13</f>
        <v>1787</v>
      </c>
      <c r="H25" s="9">
        <f>H24-30</f>
        <v>1770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1800</v>
      </c>
      <c r="J4" s="15">
        <v>4</v>
      </c>
      <c r="K4" s="15">
        <v>2</v>
      </c>
    </row>
    <row r="5">
      <c r="A5" s="1" t="s">
        <v>257</v>
      </c>
      <c r="B5" s="1">
        <f>تسجيل2!E7</f>
        <v>1800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1768</v>
      </c>
      <c r="F8" s="1">
        <f>IF('Format (2)'!A7=1,C6,IF('Format (2)'!A7=2,C7,IF('Format (2)'!A7=3,C8,IF('Format (2)'!A7=4,C9,IF('Format (2)'!A7=5,C10)))))</f>
        <v>1765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1800</v>
      </c>
      <c r="F16" s="1">
        <f>IF('Format (2)'!A7=1,C14,IF('Format (2)'!A7=2,C15,IF('Format (2)'!A7=3,C16,IF('Format (2)'!A7=4,C17,IF('Format (2)'!A7=5,C118)))))</f>
        <v>1800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38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176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1800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538443CA-DAA4-46F7-A2C4-1DE4045F3305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87D73E88-7F8F-40EA-9660-48DA753EA1B2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FF633D93-3960-424E-AD1B-79E02A5A2151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A2FF0DC7-736A-487F-9FC9-F8A0FDE3CA55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4B37843F-B4E3-499B-8065-43CD8541F7FF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723DDC7D-3366-4180-9690-83594E3FB59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D77FAE31-4877-40FD-957F-A349A1EA4BAA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D9573EF9-6103-4C77-AEF0-F8286C4CE52C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7795FA98-F058-447F-B2A9-EC856263C8A7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6E40DC12-102F-43CF-937B-3E3B9D27CE75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26CC2B2A-74B1-4E53-99D1-32E619AE2FDC}">
          <x14:formula1>
            <xm:f>wavy2!$A$19:$A$20</xm:f>
          </x14:formula1>
          <xm:sqref>BE9</xm:sqref>
        </x14:dataValidation>
        <x14:dataValidation type="list" allowBlank="1" showInputMessage="1" showErrorMessage="1" xr:uid="{4FBB5D67-4A31-4FA0-9813-0E972EEF9362}">
          <x14:formula1>
            <xm:f>wavy1!$A$19:$A$20</xm:f>
          </x14:formula1>
          <xm:sqref>AT9</xm:sqref>
        </x14:dataValidation>
        <x14:dataValidation type="list" allowBlank="1" showInputMessage="1" showErrorMessage="1" xr:uid="{231EFDA4-007E-4833-9FCF-203EB4D75D9A}">
          <x14:formula1>
            <xm:f>Sheet2!$B$5:$B$7</xm:f>
          </x14:formula1>
          <xm:sqref>T25 T46 T64</xm:sqref>
        </x14:dataValidation>
        <x14:dataValidation type="list" allowBlank="1" showInputMessage="1" showErrorMessage="1" xr:uid="{F511B726-C6BF-412B-9534-952CFDE3CD7B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152D696E-EE86-4D07-AD4A-C4A16A9F17D3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B979C64F-0C20-4BA2-AFC7-E225F6199660}">
          <x14:formula1>
            <xm:f>Sheet2!$C$5:$C$6</xm:f>
          </x14:formula1>
          <xm:sqref>T26</xm:sqref>
        </x14:dataValidation>
        <x14:dataValidation type="list" allowBlank="1" showInputMessage="1" showErrorMessage="1" xr:uid="{886CF400-0A03-476A-943F-27661EA7E399}">
          <x14:formula1>
            <xm:f>Sheet2!$A$5</xm:f>
          </x14:formula1>
          <xm:sqref>U31</xm:sqref>
        </x14:dataValidation>
        <x14:dataValidation type="list" allowBlank="1" showInputMessage="1" showErrorMessage="1" xr:uid="{93F58FA9-003C-4884-BE13-3188B36AAC59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5070777E-E3AC-44AA-A67B-85B76968A24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CDCE079F-C780-464B-9934-7A3470B7406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C9436AF-7CF7-4AC4-86A3-0408C19B3332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521B44EC-77BB-4EF7-9FD4-6B7FF784DCC5}">
          <x14:formula1>
            <xm:f>Sheet2!$D$5:$D$6</xm:f>
          </x14:formula1>
          <xm:sqref>T32 T53 T71</xm:sqref>
        </x14:dataValidation>
        <x14:dataValidation type="list" allowBlank="1" showInputMessage="1" showErrorMessage="1" xr:uid="{C9CC5FD2-D005-41EF-BBF2-08976B20234E}">
          <x14:formula1>
            <xm:f>Sheet2!$A$6</xm:f>
          </x14:formula1>
          <xm:sqref>AC36</xm:sqref>
        </x14:dataValidation>
        <x14:dataValidation type="list" allowBlank="1" showInputMessage="1" showErrorMessage="1" xr:uid="{F2981E6F-05A7-4F96-9002-184BDA3FE33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45563.617966712962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150A4377-60BC-4FC6-9A8F-6CE874CA01E7}">
      <formula1>$N$2:$N$20</formula1>
    </dataValidation>
    <dataValidation type="list" allowBlank="1" showInputMessage="1" showErrorMessage="1" sqref="G63:G75" xr:uid="{7973BF26-9E9E-4E16-8C6B-8556150CDD8E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45563.617966724538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382.5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2103.75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2520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288.75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1500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5712.083333333333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-500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-240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4390</v>
      </c>
      <c r="I81" s="560"/>
      <c r="J81" s="564"/>
      <c r="K81" s="565">
        <f>SUBTOTAL(109,Table161229[اجمالي])</f>
        <v>9650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E69D41BD-BCCE-45F5-B7B7-16C171263E33}">
      <formula1>$U$4:$U$5</formula1>
    </dataValidation>
    <dataValidation type="list" allowBlank="1" showInputMessage="1" showErrorMessage="1" sqref="F72:F80" xr:uid="{FB3BF058-C15B-416E-86D1-3A2E593D95B1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45563.617966770835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9A35146D-C42D-4A31-BEEE-CA60FF660EF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45563.617966782411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8C0671BA-E6AC-4137-9059-DD1017B3E935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E7652231-BBEC-4E0B-946C-CFF31788E0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45563.6179668287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45563.6179668287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45563.617966886573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45563.617966886573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F78C6B18-05FC-4575-A885-52B2606BE67D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