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<sst xmlns="http://schemas.openxmlformats.org/spreadsheetml/2006/main" count="598" uniqueCount="598">
  <si>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</si>
  <si>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</si>
  <si>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</si>
  <si>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</si>
  <si>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</si>
  <si>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</si>
  <si>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</si>
  <si>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</si>
  <si>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</si>
  <si>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</si>
  <si>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</si>
  <si>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</si>
  <si>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</si>
  <si>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</si>
  <si>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</si>
  <si>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</si>
  <si>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</si>
  <si>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</si>
  <si>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</si>
  <si>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</si>
  <si>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</si>
  <si>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</si>
  <si>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</si>
  <si>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</si>
  <si>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</si>
  <si>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</si>
  <si>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</si>
  <si>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</si>
  <si>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</si>
  <si>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</si>
  <si>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</si>
  <si>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</si>
  <si>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</si>
  <si>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</si>
  <si>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</si>
  <si>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</si>
  <si>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</si>
  <si>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</si>
  <si>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</si>
  <si>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</si>
  <si>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</si>
  <si>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</si>
  <si>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</si>
  <si>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</si>
  <si>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</si>
  <si>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</si>
  <si>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</si>
  <si>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</si>
  <si>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</si>
  <si>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</si>
  <si>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</si>
  <si>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</si>
  <si>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</si>
  <si>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</si>
  <si>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</si>
  <si>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</si>
  <si>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</si>
  <si>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</si>
  <si>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</si>
  <si>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</si>
  <si>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</si>
  <si>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</si>
  <si>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</si>
  <si>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</si>
  <si>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</si>
  <si>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</si>
  <si>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</si>
  <si>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</si>
  <si>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</si>
  <si>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</si>
  <si>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</si>
  <si>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</si>
  <si>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</si>
  <si>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</si>
  <si>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</si>
  <si>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</si>
  <si>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</si>
  <si>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</si>
  <si>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</si>
  <si>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</si>
  <si>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</si>
  <si>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</si>
  <si>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</si>
  <si>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</si>
  <si>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</si>
  <si>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</si>
  <si>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</si>
  <si>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</si>
  <si>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</si>
  <si>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</si>
  <si>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</si>
  <si>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</si>
  <si>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</si>
  <si>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</si>
  <si>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</si>
  <si>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</si>
  <si>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</si>
  <si>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</si>
  <si>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</si>
  <si>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</si>
  <si>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</si>
  <si>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</si>
  <si>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</si>
  <si>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</si>
  <si>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</si>
  <si>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</si>
  <si>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</si>
  <si>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</si>
  <si>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</si>
  <si>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</si>
  <si>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</si>
  <si>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</si>
  <si>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</si>
  <si>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</si>
  <si>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</si>
  <si>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</si>
  <si>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</si>
  <si>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</si>
  <si>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</si>
  <si>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</si>
  <si>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</si>
  <si>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</si>
  <si>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</si>
  <si>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</si>
  <si>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</si>
  <si>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</si>
  <si>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</si>
  <si>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</si>
  <si>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</si>
  <si>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</si>
  <si>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</si>
  <si>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</si>
  <si>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</si>
  <si>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</si>
  <si>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</si>
  <si>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</si>
  <si>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</si>
  <si>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</si>
  <si>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</si>
  <si>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</si>
  <si>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</si>
  <si>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</si>
  <si>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</si>
  <si>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</si>
  <si>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</si>
  <si>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</si>
  <si>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</si>
  <si>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</si>
  <si>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</si>
  <si>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</si>
  <si>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</si>
  <si>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</si>
  <si>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</si>
  <si>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</si>
  <si>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</si>
  <si>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</si>
  <si>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</si>
  <si>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</si>
  <si>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</si>
  <si>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</si>
  <si>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</si>
  <si>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</si>
  <si>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</si>
  <si>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</si>
  <si>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</si>
  <si>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</si>
  <si>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</si>
  <si>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A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</si>
  <si>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</si>
  <si>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</si>
  <si>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</si>
  <si>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</si>
  <si>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</si>
  <si>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</si>
  <si>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</si>
  <si>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</si>
  <si>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</si>
  <si>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</si>
  <si>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</si>
  <si>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</si>
  <si>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</si>
  <si>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</si>
  <si>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</si>
  <si>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</si>
  <si>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</si>
  <si>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</si>
  <si>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</si>
  <si>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</si>
  <si>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</si>
  <si>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</si>
  <si>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</si>
  <si>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</si>
  <si>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</si>
  <si>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</si>
  <si>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</si>
  <si>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</si>
  <si>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</si>
  <si>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خشبي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</si>
  <si>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</si>
  <si>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</si>
  <si>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</si>
  <si>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</si>
  <si>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</si>
  <si>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</si>
  <si>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بالتات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</si>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</sst>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168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167</v>
      </c>
      <c r="C2" s="495" t="s">
        <v>169</v>
      </c>
      <c r="D2" s="496" t="s">
        <v>204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197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167</v>
      </c>
      <c r="C5" s="495" t="s">
        <v>169</v>
      </c>
      <c r="D5" s="496" t="s">
        <v>204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197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 t="str">
        <f>IF((BG14="OK"),wavy2!R72,"R")</f>
        <v>R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 t="e">
        <f>BE2/(BG10*BL12)*10000</f>
        <v>#VALUE!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167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168</v>
      </c>
      <c r="T6" s="522" t="s">
        <v>169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170</v>
      </c>
      <c r="AJ6" s="458" t="s">
        <v>171</v>
      </c>
      <c r="AK6" s="459" t="s">
        <v>172</v>
      </c>
      <c r="AL6" s="458" t="s">
        <v>173</v>
      </c>
      <c r="AM6" s="458" t="s">
        <v>174</v>
      </c>
      <c r="AN6" s="460" t="s">
        <v>175</v>
      </c>
      <c r="AO6" s="627" t="s">
        <v>176</v>
      </c>
      <c r="AP6" s="628"/>
      <c r="AQ6" s="407"/>
      <c r="AR6" s="406"/>
      <c r="AS6" s="420" t="s">
        <v>168</v>
      </c>
      <c r="AT6" s="421" t="s">
        <v>169</v>
      </c>
      <c r="AU6" s="467"/>
      <c r="AV6" s="467"/>
      <c r="AW6" s="467"/>
      <c r="AX6" s="467"/>
      <c r="AY6" s="467"/>
      <c r="AZ6" s="467"/>
      <c r="BA6" s="467"/>
      <c r="BB6" s="467"/>
      <c r="BD6" s="482" t="s">
        <v>168</v>
      </c>
      <c r="BE6" s="487" t="s">
        <v>169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169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4000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191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برجاء مراجعة عرض البرجولة علما بأن اقصي عرض هو 500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192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193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194</v>
      </c>
      <c r="AT21" s="408"/>
      <c r="AU21" s="471"/>
      <c r="AW21" s="477"/>
      <c r="BC21" s="406"/>
      <c r="BD21" s="408" t="s">
        <v>195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167</v>
      </c>
      <c r="AW25" s="485">
        <f>AT34</f>
        <v>400</v>
      </c>
      <c r="BD25" s="418" t="s">
        <v>165</v>
      </c>
      <c r="BE25" s="419" t="s">
        <v>167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168</v>
      </c>
      <c r="T26" s="439" t="s">
        <v>169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170</v>
      </c>
      <c r="AH26" s="613" t="s">
        <v>196</v>
      </c>
      <c r="AI26" s="592" t="s">
        <v>173</v>
      </c>
      <c r="AJ26" s="592" t="s">
        <v>174</v>
      </c>
      <c r="AK26" s="592" t="s">
        <v>175</v>
      </c>
      <c r="AL26" s="603" t="s">
        <v>176</v>
      </c>
      <c r="AM26" s="603"/>
      <c r="AN26" s="407"/>
      <c r="AO26" s="407"/>
      <c r="AP26" s="407"/>
      <c r="AQ26" s="407"/>
      <c r="AR26" s="406"/>
      <c r="AS26" s="420" t="s">
        <v>168</v>
      </c>
      <c r="AT26" s="421" t="s">
        <v>197</v>
      </c>
      <c r="BD26" s="420" t="s">
        <v>168</v>
      </c>
      <c r="BE26" s="421" t="s">
        <v>197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198</v>
      </c>
      <c r="AH28" s="590" t="s">
        <v>199</v>
      </c>
      <c r="AI28" s="590" t="s">
        <v>169</v>
      </c>
      <c r="AJ28" s="590" t="s">
        <v>200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201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202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203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204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204</v>
      </c>
      <c r="BA32" s="476"/>
      <c r="BD32" s="430" t="s">
        <v>187</v>
      </c>
      <c r="BE32" s="426" t="s">
        <v>204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167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168</v>
      </c>
      <c r="AT46" s="421" t="s">
        <v>197</v>
      </c>
      <c r="AX46" s="485">
        <f>AT54</f>
        <v>400</v>
      </c>
      <c r="BD46" s="420" t="s">
        <v>168</v>
      </c>
      <c r="BE46" s="421" t="s">
        <v>197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204</v>
      </c>
      <c r="BA52" s="476"/>
      <c r="BD52" s="430" t="s">
        <v>187</v>
      </c>
      <c r="BE52" s="426" t="s">
        <v>204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167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474E491C-9FBB-468B-98D7-6503FA55542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78D8BE10-222E-4899-957A-2442D8CE3E16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EFE2BAB1-DCA1-4937-A666-151C129F51C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8AA8E9EE-3BAD-441A-B9B6-8D667D70A01C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AC8E5C5F-D6C3-46AB-85BF-FA359FF4046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79F92D89-8A63-4C4F-8B5E-9F417DA8B64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43467D22-3548-4370-9185-706659780BDF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3C8A687-469C-4299-8DF4-6918BFAA5966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F3CB3363-F1FB-413A-8358-1CC72DD4D0B5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B1CBAE-A145-4EAD-8FF4-1DEFA1E484C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D961415A-2759-4CDC-8312-7377F79A5C7E}">
          <x14:formula1>
            <xm:f>wavy2!$A$19:$A$20</xm:f>
          </x14:formula1>
          <xm:sqref>BE9</xm:sqref>
        </x14:dataValidation>
        <x14:dataValidation type="list" allowBlank="1" showInputMessage="1" showErrorMessage="1" xr:uid="{D05EC4DE-4036-4842-93A7-B2C3707F8B2A}">
          <x14:formula1>
            <xm:f>wavy1!$A$19:$A$20</xm:f>
          </x14:formula1>
          <xm:sqref>AT9</xm:sqref>
        </x14:dataValidation>
        <x14:dataValidation type="list" allowBlank="1" showInputMessage="1" showErrorMessage="1" xr:uid="{293CF9C9-248D-494C-B024-148491755F65}">
          <x14:formula1>
            <xm:f>Sheet2!$B$5:$B$7</xm:f>
          </x14:formula1>
          <xm:sqref>T25 T46 T64</xm:sqref>
        </x14:dataValidation>
        <x14:dataValidation type="list" allowBlank="1" showInputMessage="1" showErrorMessage="1" xr:uid="{EE90B007-5E70-45BE-9721-FB5B56F8D1E6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7D0130D9-B298-4993-BCE4-B7E322BA5A07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3C2429EA-81DD-479A-92F5-A3E5271C5986}">
          <x14:formula1>
            <xm:f>Sheet2!$C$5:$C$6</xm:f>
          </x14:formula1>
          <xm:sqref>T26</xm:sqref>
        </x14:dataValidation>
        <x14:dataValidation type="list" allowBlank="1" showInputMessage="1" showErrorMessage="1" xr:uid="{3FE9BACB-56E5-44F5-8E96-33D75E46F8EB}">
          <x14:formula1>
            <xm:f>Sheet2!$A$5</xm:f>
          </x14:formula1>
          <xm:sqref>U31</xm:sqref>
        </x14:dataValidation>
        <x14:dataValidation type="list" allowBlank="1" showInputMessage="1" showErrorMessage="1" xr:uid="{9787CD7F-82D6-470C-8530-CF7BA1FBB1B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DEEB4E4-715D-4EBB-9DD5-A4510D7B68B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0C64A42-5F59-4F7E-9026-173766C6A6F5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7849345-0421-4FEA-A16C-A97E69F6B738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36DCCE47-DA81-4D75-BDA2-B1153DBC3E23}">
          <x14:formula1>
            <xm:f>Sheet2!$D$5:$D$6</xm:f>
          </x14:formula1>
          <xm:sqref>T32 T53 T71</xm:sqref>
        </x14:dataValidation>
        <x14:dataValidation type="list" allowBlank="1" showInputMessage="1" showErrorMessage="1" xr:uid="{A16308FE-36B5-4A2E-A255-2172F4E79311}">
          <x14:formula1>
            <xm:f>Sheet2!$A$6</xm:f>
          </x14:formula1>
          <xm:sqref>AC36</xm:sqref>
        </x14:dataValidation>
        <x14:dataValidation type="list" allowBlank="1" showInputMessage="1" showErrorMessage="1" xr:uid="{78B935CF-44E1-47BA-95F6-9AC9D28F45B8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45568.659752523148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B21EC3F-167C-43F9-AAEA-0EE43B4662BC}">
      <formula1>$N$2:$N$20</formula1>
    </dataValidation>
    <dataValidation type="list" allowBlank="1" showInputMessage="1" showErrorMessage="1" sqref="G63:G75" xr:uid="{8DF48364-B660-46DB-BC75-0CC59DDC541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45568.659752523148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125ED3F1-E955-4C4F-85D4-0AFE5D491811}">
      <formula1>$U$4:$U$5</formula1>
    </dataValidation>
    <dataValidation type="list" allowBlank="1" showInputMessage="1" showErrorMessage="1" sqref="F72:F80" xr:uid="{7789FB17-179E-46F7-9562-C32A3CDB941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45568.659752523148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9CDEADC-40CC-4AB7-B030-F0E613BD11DD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280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4000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d2</v>
      </c>
      <c r="O3" s="207"/>
      <c r="P3" s="207"/>
      <c r="Q3" s="234" t="s">
        <v>18</v>
      </c>
      <c r="R3" s="641">
        <f>NOW()</f>
        <v>45568.659752523148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5.7280000000000015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6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4.32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2295</v>
      </c>
      <c r="W6" s="241">
        <f>(V6)/$R$71</f>
        <v>0.014788723958556726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5.432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328.00000000000006</v>
      </c>
      <c r="D7" s="187">
        <v>225</v>
      </c>
      <c r="F7" s="384">
        <f t="shared" si="0"/>
        <v>73800.000000000015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5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9.0000000000000018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6412.5</v>
      </c>
      <c r="W7" s="241">
        <f>(V7)/$R$71</f>
        <v>0.041321434590084971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3.5800000000000005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13.320000000000002</v>
      </c>
      <c r="R8" s="211"/>
      <c r="S8" s="211">
        <f>(S7*M7)</f>
        <v>142.5</v>
      </c>
      <c r="T8" s="211"/>
      <c r="U8" s="242"/>
      <c r="V8" s="240">
        <f>SUBTOTAL(109,Table15855[اجمالي])</f>
        <v>8707.5</v>
      </c>
      <c r="W8" s="244">
        <f>Table15855[[#Totals],[اجمالي]]/$R$71</f>
        <v>0.056110158548641695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5.7280000000000015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0.0025775553740403881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0.0014176554557222133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0.000837705496563126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0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0</v>
      </c>
      <c r="W14" s="241">
        <f t="shared" si="2"/>
        <v>0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371.87500000000006</v>
      </c>
      <c r="F17" s="387">
        <f>SUBTOTAL(109,Table823[اجمالي التكلفة])</f>
        <v>104125.00000000002</v>
      </c>
      <c r="G17" s="386"/>
      <c r="H17" s="386"/>
      <c r="I17" s="386"/>
      <c r="J17" s="386"/>
      <c r="L17" s="211">
        <v>7</v>
      </c>
      <c r="M17" s="212">
        <f>IF((N3="d1"),4,IF((N3="d2"),4,0))</f>
        <v>4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4800</v>
      </c>
      <c r="W17" s="241">
        <f t="shared" si="2"/>
        <v>0.030930664488484656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5550</v>
      </c>
      <c r="W18" s="244">
        <f>Table156140[[#Totals],[اجمالي]]/$R$71</f>
        <v>0.035763580814810382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0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</v>
      </c>
      <c r="R23" s="211"/>
      <c r="S23" s="211">
        <f>(S21*M21)+(M22*S22)</f>
        <v>0</v>
      </c>
      <c r="T23" s="211"/>
      <c r="U23" s="242"/>
      <c r="V23" s="240">
        <f>SUBTOTAL(109,Table166241[اجمالي])</f>
        <v>0</v>
      </c>
      <c r="W23" s="244">
        <f>Table166241[[#Totals],[اجمالي]]/$R$71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1.1933333333333336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477.33333333333343</v>
      </c>
      <c r="W26" s="241">
        <f ref="W26:W44" t="shared" si="4">(V26)/$R$71</f>
        <v>0.0030758827463548636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0.00028997497957954365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0.00028997497957954365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0.00048329163263257274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0.0028997497957954366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0.00077326661221211639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2.8589473684210529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300.18947368421055</v>
      </c>
      <c r="W32" s="241">
        <f t="shared" si="4"/>
        <v>0.0019343874778127313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5.7280000000000015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1432.0000000000005</v>
      </c>
      <c r="W33" s="241">
        <f t="shared" si="4"/>
        <v>0.00922764823906459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5.7280000000000015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2921.2800000000007</v>
      </c>
      <c r="W34" s="241">
        <f t="shared" si="4"/>
        <v>0.018824402407691766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0</v>
      </c>
      <c r="W41" s="251">
        <f t="shared" si="4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0</v>
      </c>
      <c r="W42" s="251">
        <f t="shared" si="4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5865.8028070175451</v>
      </c>
      <c r="W45" s="516">
        <f>Table135926[[#Totals],[اجمالي]]/$R$71</f>
        <v>0.037798578870723167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104125.00000000002</v>
      </c>
      <c r="V50" s="240">
        <f>M50*Table16136845[[#This Row],[سعر الشبك ]]</f>
        <v>104125.00000000002</v>
      </c>
      <c r="W50" s="241">
        <f t="shared" si="6"/>
        <v>0.6709698833048886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104125.00000000002</v>
      </c>
      <c r="V51" s="240">
        <f>M51*Table16136845[[#This Row],[سعر الشبك ]]</f>
        <v>10412.500000000002</v>
      </c>
      <c r="W51" s="241">
        <f t="shared" si="6"/>
        <v>0.067096988330488855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114537.50000000002</v>
      </c>
      <c r="W52" s="244">
        <f>Table16136845[[#Totals],[اجمالي]]/$R$71</f>
        <v>0.73806687163537743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1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5" s="240">
        <f ref="V55:V67" t="shared" si="7">M55*U55</f>
        <v>500</v>
      </c>
      <c r="W55" s="241">
        <f ref="W55:W67" t="shared" si="8">(V55)/$R$71</f>
        <v>0.003221944217550485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1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6" s="240">
        <f t="shared" si="7"/>
        <v>500</v>
      </c>
      <c r="W56" s="241">
        <f t="shared" si="8"/>
        <v>0.003221944217550485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0.003221944217550485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0.0048329163263257273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2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1050</v>
      </c>
      <c r="V59" s="240">
        <f t="shared" si="7"/>
        <v>4200</v>
      </c>
      <c r="W59" s="241">
        <f t="shared" si="8"/>
        <v>0.027064331427424072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2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1050</v>
      </c>
      <c r="V60" s="240">
        <f t="shared" si="7"/>
        <v>3150</v>
      </c>
      <c r="W60" s="241">
        <f t="shared" si="8"/>
        <v>0.020298248570568056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0.010149124285284028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0.015465332244242328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7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1750</v>
      </c>
      <c r="W64" s="241">
        <f t="shared" si="8"/>
        <v>0.011276804761426697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2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4600</v>
      </c>
      <c r="W66" s="241">
        <f t="shared" si="8"/>
        <v>0.02964188680146446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5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600</v>
      </c>
      <c r="W67" s="241">
        <f t="shared" si="8"/>
        <v>0.0038663330610605819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20525</v>
      </c>
      <c r="W68" s="566">
        <f>Table16126744[[#Totals],[اجمالي]]/$R$71</f>
        <v>0.13226081013044741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155185.80280701755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201741.54364912282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9D55BB50-29E7-46CD-92C0-46C5E5AD33B9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196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196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199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200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200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197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197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169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169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196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198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196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198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199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83EC3A3D-9508-4AFC-AE69-0D849DAC1D75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173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45568.659752523148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45568.659752523148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45568.65975269676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173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45568.65975269676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F709AAA0-5199-405C-9588-EB6E21AA03C8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