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<sst xmlns="http://schemas.openxmlformats.org/spreadsheetml/2006/main" count="596" uniqueCount="596">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</sst>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219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220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221</v>
      </c>
      <c r="B10" s="568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50000</v>
      </c>
    </row>
    <row r="13">
      <c r="A13" s="233" t="s">
        <v>225</v>
      </c>
      <c r="B13" s="233">
        <v>55000</v>
      </c>
    </row>
    <row r="14">
      <c r="A14" s="558" t="s">
        <v>226</v>
      </c>
      <c r="B14" s="233">
        <v>215000</v>
      </c>
    </row>
    <row r="15">
      <c r="A15" s="233" t="s">
        <v>227</v>
      </c>
      <c r="B15" s="233">
        <v>55000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230</v>
      </c>
      <c r="B33" s="233">
        <v>11000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450</v>
      </c>
    </row>
    <row r="43" ht="18.75">
      <c r="A43" s="331" t="s">
        <v>240</v>
      </c>
      <c r="B43" s="233">
        <v>160</v>
      </c>
    </row>
    <row r="44" ht="18.75">
      <c r="A44" s="331" t="s">
        <v>241</v>
      </c>
      <c r="B44" s="233">
        <v>175</v>
      </c>
    </row>
    <row r="45">
      <c r="A45" s="558" t="s">
        <v>242</v>
      </c>
      <c r="B45" s="233">
        <v>4000</v>
      </c>
    </row>
    <row r="46">
      <c r="A46" s="558" t="s">
        <v>243</v>
      </c>
      <c r="B46" s="233">
        <v>3000</v>
      </c>
    </row>
    <row r="47">
      <c r="A47" s="233" t="s">
        <v>244</v>
      </c>
      <c r="B47" s="233">
        <v>160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58" t="s">
        <v>251</v>
      </c>
      <c r="B54" s="233">
        <v>1200</v>
      </c>
    </row>
    <row r="55">
      <c r="A55" s="537" t="s">
        <v>252</v>
      </c>
      <c r="B55" s="233">
        <v>23000</v>
      </c>
    </row>
    <row r="56">
      <c r="A56" s="537" t="s">
        <v>253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366</v>
      </c>
      <c r="O7" s="99">
        <f>AA41/K7</f>
        <v>2895.7462160158993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 (2)'!B9</f>
        <v>5</v>
      </c>
    </row>
    <row r="19" ht="18" customHeight="1">
      <c r="A19" s="637" t="s">
        <v>433</v>
      </c>
      <c r="B19" s="638"/>
      <c r="C19" s="14">
        <f>'Format Φωτισμου (2)'!B12</f>
        <v>35</v>
      </c>
    </row>
    <row r="20" ht="18" customHeight="1">
      <c r="A20" s="637" t="s">
        <v>434</v>
      </c>
      <c r="B20" s="638"/>
      <c r="C20" s="14">
        <f>C19/C18</f>
        <v>7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366</v>
      </c>
      <c r="O7" s="99">
        <f>AA41/K7</f>
        <v>2110.4132453090647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6" t="s">
        <v>288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6" t="s">
        <v>288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6" t="s">
        <v>288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6" t="s">
        <v>288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 t="e">
        <f>'بيرسا و لوفرز'!BM68</f>
        <v>#DIV/0!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 t="e">
        <f>AT42/(AT53*AT54/10000)</f>
        <v>#DIV/0!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211</v>
      </c>
      <c r="AZ45" s="493">
        <f>AT53</f>
        <v>600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250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192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600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250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 t="e">
        <f>('بيرسا و لوفرز'!BA14+'بيرسا و لوفرز'!BP62+'بيرسا و لوفرز'!BQ54)*1.35</f>
        <v>#DIV/0!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 t="e">
        <f>AS57/(AT53*AT54/10000)</f>
        <v>#DIV/0!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216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217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218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45427.8327634375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45427.8327634375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45427.832763611113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45427.832763611113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215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215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15</v>
      </c>
      <c r="AX1" s="190" t="s">
        <v>426</v>
      </c>
      <c r="AY1" s="191">
        <f>تسعير!$AT$54</f>
        <v>250</v>
      </c>
      <c r="AZ1" s="190" t="s">
        <v>125</v>
      </c>
      <c r="BA1" s="191">
        <f>تسعير!$AT$53</f>
        <v>600</v>
      </c>
      <c r="BB1" s="192"/>
      <c r="BC1" s="192"/>
      <c r="BD1" s="192" t="str">
        <f>تسعير!AT52</f>
        <v>قواعد عادية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45427.832763611113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15</v>
      </c>
      <c r="AX3" s="197">
        <f>BA1-16.5</f>
        <v>583.5</v>
      </c>
      <c r="AY3" s="194" t="s">
        <v>564</v>
      </c>
      <c r="AZ3" s="194">
        <v>2</v>
      </c>
      <c r="BA3" s="194" t="e">
        <f>IF((تسعير!$AT$46="سادة"),(BE3*BC3*AZ3*(Sheet2!$B$14+12000)/1000),(BE3*BC3*AZ3*(Sheet2!$B$14+Sheet2!$B$15)/1000))</f>
        <v>#DIV/0!</v>
      </c>
      <c r="BC3" s="258">
        <f>IF(AND((AX3&gt;=150),(AX3&lt;201)),4,IF(AND((AX3&gt;=201),(AX3&lt;251)),5,IF(AND((AX3&gt;=251),(AX3&lt;401)),4,IF(AND((AX3&gt;=401),(AX3&lt;501)),5,0))))</f>
        <v>0</v>
      </c>
      <c r="BD3" s="259">
        <f>(BC3*100)/AX3</f>
        <v>0</v>
      </c>
      <c r="BE3" s="263" t="e">
        <f>AW3/(ROUNDDOWN(BD3,0))</f>
        <v>#DIV/0!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B12</v>
      </c>
      <c r="BJ3" s="207"/>
      <c r="BK3" s="207"/>
      <c r="BL3" s="234" t="s">
        <v>18</v>
      </c>
      <c r="BM3" s="630">
        <f>NOW()</f>
        <v>45427.832763611113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600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6426</v>
      </c>
      <c r="BC4" s="260">
        <f ref="BC4:BC5" t="shared" si="3">IF(AND((AX4&gt;=200),(AX4&lt;350)),5,IF(AND((AX4&gt;=350),(AX4&lt;400)),7,IF(AND((AX4&gt;=400),(AX4&lt;501)),5,IF(AND((AX4&gt;=501),(AX4&lt;701)),7,0))))</f>
        <v>7</v>
      </c>
      <c r="BD4" s="205">
        <f ref="BD4:BD5" t="shared" si="4">(BC4*100)/AX4</f>
        <v>1.1666666666666667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250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2295</v>
      </c>
      <c r="BC5" s="261">
        <f t="shared" si="3"/>
        <v>5</v>
      </c>
      <c r="BD5" s="262">
        <f t="shared" si="4"/>
        <v>2</v>
      </c>
      <c r="BE5" s="265">
        <f t="shared" si="5"/>
        <v>1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222.4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2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7.1999999999999993</v>
      </c>
      <c r="BM6" s="211"/>
      <c r="BN6" s="211">
        <v>57</v>
      </c>
      <c r="BO6" s="211">
        <f>Table1588090[[#This Row],[المسطح]]*Table1588090[[#This Row],[عدد]]</f>
        <v>14.399999999999999</v>
      </c>
      <c r="BP6" s="239">
        <f>BN6*$S$2/1000</f>
        <v>2850</v>
      </c>
      <c r="BQ6" s="240">
        <f>BH6*BP6</f>
        <v>5700</v>
      </c>
      <c r="BR6" s="241">
        <f>(BQ6)/$R$68</f>
        <v>0.025183741906409263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30</v>
      </c>
      <c r="AY7" s="194" t="s">
        <v>28</v>
      </c>
      <c r="AZ7" s="194">
        <v>17</v>
      </c>
      <c r="BA7" s="194">
        <f>AZ7*AX7</f>
        <v>510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7.2000000000000011</v>
      </c>
      <c r="BM7" s="211"/>
      <c r="BN7" s="211">
        <v>37</v>
      </c>
      <c r="BO7" s="211">
        <f>Table1588090[[#This Row],[المسطح]]*Table1588090[[#This Row],[عدد]]</f>
        <v>21.6</v>
      </c>
      <c r="BP7" s="239">
        <f>BN7*$S$2/1000</f>
        <v>1850</v>
      </c>
      <c r="BQ7" s="240">
        <f>BH7*BP7</f>
        <v>5550</v>
      </c>
      <c r="BR7" s="241">
        <f>(BQ7)/$R$68</f>
        <v>0.024521011856240598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30</v>
      </c>
      <c r="AY8" s="194" t="s">
        <v>28</v>
      </c>
      <c r="AZ8" s="194">
        <v>12</v>
      </c>
      <c r="BA8" s="194">
        <f>AZ8*AX8</f>
        <v>360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2.16</v>
      </c>
      <c r="BM8" s="211"/>
      <c r="BN8" s="211">
        <v>5</v>
      </c>
      <c r="BO8" s="211">
        <f>Table1588090[[#This Row],[المسطح]]*Table1588090[[#This Row],[عدد]]</f>
        <v>6.48</v>
      </c>
      <c r="BP8" s="239">
        <f>BN8*$S$2/1000</f>
        <v>250</v>
      </c>
      <c r="BQ8" s="240">
        <f>BH8*BP8</f>
        <v>750</v>
      </c>
      <c r="BR8" s="241">
        <f>(BQ8)/$R$68</f>
        <v>0.003313650250843324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3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2.16</v>
      </c>
      <c r="BM10" s="242" t="s">
        <v>43</v>
      </c>
      <c r="BN10" s="211"/>
      <c r="BO10" s="211">
        <f>Table1588090[[#This Row],[المسطح]]*Table1588090[[#This Row],[عدد]]</f>
        <v>6.48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30</v>
      </c>
      <c r="AY11" s="194" t="s">
        <v>28</v>
      </c>
      <c r="AZ11" s="194">
        <v>100</v>
      </c>
      <c r="BA11" s="194">
        <f>AX11*AZ11</f>
        <v>3000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18.720000000000002</v>
      </c>
      <c r="BM11" s="211"/>
      <c r="BN11" s="211">
        <f>(BN6*BH6)+(BN7*BG7)+(BN8*BG8)+(BN9*BG9)</f>
        <v>539</v>
      </c>
      <c r="BO11" s="211">
        <f>SUBTOTAL(109,Table1588090[اجمالي المسطح])</f>
        <v>48.960000000000008</v>
      </c>
      <c r="BP11" s="242"/>
      <c r="BQ11" s="240">
        <f>SUBTOTAL(109,Table1588090[اجمالي])</f>
        <v>12000</v>
      </c>
      <c r="BR11" s="244">
        <f>Table1588090[[#Totals],[اجمالي]]/$R$68</f>
        <v>0.053018404013493184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30</v>
      </c>
      <c r="AY12" s="194" t="s">
        <v>28</v>
      </c>
      <c r="AZ12" s="194">
        <v>100</v>
      </c>
      <c r="BA12" s="194">
        <f>AX12*AZ12</f>
        <v>3000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 t="e">
        <f>(Table8091[[#Totals],[price]]*1.1)/(BA1*AY1/10000)</f>
        <v>#DIV/0!</v>
      </c>
      <c r="AX14" s="194"/>
      <c r="AY14" s="194"/>
      <c r="AZ14" s="194"/>
      <c r="BA14" s="194" t="e">
        <f>SUBTOTAL(109,Table8091[price])</f>
        <v>#DIV/0!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8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240</v>
      </c>
      <c r="BR17" s="241">
        <f>(BQ17)/$R$68</f>
        <v>0.0010603680802698636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2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1285</v>
      </c>
      <c r="BR19" s="244">
        <f>Table15617282[[#Totals],[اجمالي]]/$R$68</f>
        <v>0.0056773874297782285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0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0</v>
      </c>
      <c r="BR22" s="249">
        <f>(BQ22)/$R$68</f>
        <v>0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0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0</v>
      </c>
      <c r="BR24" s="251">
        <f>(BQ24)/$R$68</f>
        <v>0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9.96</v>
      </c>
      <c r="BM25" s="211"/>
      <c r="BN25" s="211">
        <f>(BN23*BH23)+(BH24*BN24)</f>
        <v>14</v>
      </c>
      <c r="BO25" s="211"/>
      <c r="BP25" s="242"/>
      <c r="BQ25" s="240">
        <f>SUBTOTAL(109,Table16627383[اجمالي])</f>
        <v>700</v>
      </c>
      <c r="BR25" s="244">
        <f>Table16627383[[#Totals],[اجمالي]]/$R$68</f>
        <v>0.0030927402341204358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0</v>
      </c>
      <c r="BR28" s="241">
        <f ref="BR28:BR41" t="shared" si="12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0</v>
      </c>
      <c r="BR34" s="251">
        <f t="shared" si="12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420</v>
      </c>
      <c r="BR35" s="251">
        <f t="shared" si="12" ca="1"/>
        <v>0.0018556441404722615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0</v>
      </c>
      <c r="BR36" s="251">
        <f t="shared" si="12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783</v>
      </c>
      <c r="BR42" s="244">
        <f>Table13597166[[#Totals],[اجمالي]]/$R$68</f>
        <v>0.00345945086188043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 t="e">
        <f>Table8091[[#Totals],[price]]</f>
        <v>#DIV/0!</v>
      </c>
      <c r="BQ46" s="252" t="e">
        <f>BH46*Table1613687787[[#This Row],[سعر الشبك ]]</f>
        <v>#DIV/0!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 t="e">
        <f>BQ46</f>
        <v>#DIV/0!</v>
      </c>
      <c r="BQ47" s="240" t="e">
        <f>BH47*Table1613687787[[#This Row],[سعر الشبك ]]</f>
        <v>#DIV/0!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 t="e">
        <f>SUBTOTAL(109,Table1613687787[اجمالي])</f>
        <v>#DIV/0!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 t="e">
        <f>Table1612677686[[#Totals],[اجمالي]]+Table1613687787[[#Totals],[اجمالي]]+Table13597166[[#Totals],[اجمالي]]+Table16627383[[#Totals],[اجمالي]]+Table15617282[[#Totals],[اجمالي]]+Table1588090[[#Totals],[اجمالي]]</f>
        <v>#DIV/0!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 t="e">
        <f>BM67*(1+Table18707989[[#This Row],[Column3]])</f>
        <v>#DIV/0!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45427.832763796294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45427.832763796294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788"/>
      <c r="C92" s="788">
        <f>C91</f>
        <v>82</v>
      </c>
      <c r="D92" s="550" t="s">
        <v>564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Φωτισμου'!B9</f>
        <v>5</v>
      </c>
    </row>
    <row r="19" ht="18" customHeight="1">
      <c r="A19" s="637" t="s">
        <v>433</v>
      </c>
      <c r="B19" s="638"/>
      <c r="C19" s="14">
        <f>'Format Φωτισμου'!B12</f>
        <v>15</v>
      </c>
    </row>
    <row r="20" ht="18" customHeight="1">
      <c r="A20" s="637" t="s">
        <v>434</v>
      </c>
      <c r="B20" s="638"/>
      <c r="C20" s="14">
        <f>C19/C18</f>
        <v>3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