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<sst xmlns="http://schemas.openxmlformats.org/spreadsheetml/2006/main" count="595" uniqueCount="595">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</sst>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20862.083333333332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4800</v>
      </c>
      <c r="D7" s="182" t="s">
        <v>425</v>
      </c>
      <c r="E7" s="183">
        <f>تسعير!X31</f>
        <v>4800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 t="e">
        <f>'Format Φωτισμου (2)'!B9</f>
        <v>#VALUE!</v>
      </c>
    </row>
    <row r="19" ht="18" customHeight="1">
      <c r="A19" s="637" t="s">
        <v>432</v>
      </c>
      <c r="B19" s="638"/>
      <c r="C19" s="14" t="e">
        <f>'Format Φωτισμου (2)'!B12</f>
        <v>#VALUE!</v>
      </c>
    </row>
    <row r="20" ht="18" customHeight="1">
      <c r="A20" s="637" t="s">
        <v>433</v>
      </c>
      <c r="B20" s="638"/>
      <c r="C20" s="14" t="e">
        <f>C19/C18</f>
        <v>#VALUE!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 t="e">
        <f>C21/C18</f>
        <v>#VALUE!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309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4800</v>
      </c>
      <c r="L6" s="748"/>
      <c r="M6" s="94" t="s">
        <v>363</v>
      </c>
      <c r="N6" s="95">
        <f>تسجيل2!E7</f>
        <v>4800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2304</v>
      </c>
      <c r="L7" s="721"/>
      <c r="M7" s="721"/>
      <c r="N7" s="98" t="s">
        <v>365</v>
      </c>
      <c r="O7" s="99" t="e">
        <f>AA41/K7</f>
        <v>#VALUE!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4799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4772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2748.09936</v>
      </c>
      <c r="U8" s="138">
        <f>T8*S8</f>
        <v>755727.324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8</v>
      </c>
      <c r="H11" s="732"/>
      <c r="I11" s="733">
        <f>'Format διαστασης οδηγου (2)'!F8</f>
        <v>4765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8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47.65</v>
      </c>
      <c r="U11" s="103">
        <f>CEILING(T11,0.5)</f>
        <v>48</v>
      </c>
      <c r="V11" s="103">
        <f>U11*S11</f>
        <v>384</v>
      </c>
      <c r="W11" s="140">
        <v>4.45627705627706</v>
      </c>
      <c r="X11" s="141">
        <f>($W$1/1000)*W11*V11</f>
        <v>402134.4415584419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685.92857142857144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6.8592857142857149</v>
      </c>
      <c r="U12" s="103">
        <f ref="U12:U21" t="shared" si="0">CEILING(T12,0.25)</f>
        <v>7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10</v>
      </c>
      <c r="H13" s="707"/>
      <c r="I13" s="708">
        <f>IF(G13="-------","-------",L17-5)</f>
        <v>679.42857142857144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16.985714285714288</v>
      </c>
      <c r="U13" s="103">
        <f t="shared" si="0"/>
        <v>17</v>
      </c>
      <c r="V13" s="103">
        <f t="shared" si="1"/>
        <v>40</v>
      </c>
      <c r="W13" s="140">
        <v>1.86378737541528</v>
      </c>
      <c r="X13" s="141">
        <f ref="X13:X20" t="shared" si="7">($W$1/1000)*W13*V13</f>
        <v>17519.601328903631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 t="e">
        <f>IF(L11&gt;2,2*L14,IF(L11=2,L14))</f>
        <v>#VALUE!</v>
      </c>
      <c r="H14" s="707"/>
      <c r="I14" s="708">
        <f>I12</f>
        <v>685.92857142857144</v>
      </c>
      <c r="J14" s="708"/>
      <c r="K14" s="106"/>
      <c r="L14" s="109" t="e">
        <f>تسجيل2!H28</f>
        <v>#VALUE!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e">
        <f>IF(L11&lt;=3,"0",(L11-3)*L14)</f>
        <v>#VALUE!</v>
      </c>
      <c r="H15" s="707"/>
      <c r="I15" s="708" t="e">
        <f>IF(G15="-------","---------",I13)</f>
        <v>#VALUE!</v>
      </c>
      <c r="J15" s="708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687.92857142857144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1.7198214285714286</v>
      </c>
      <c r="U16" s="103">
        <f>CEILING(T16,0.5)</f>
        <v>2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687.92857142857144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684.42857142857144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1.7198214285714286</v>
      </c>
      <c r="U17" s="103">
        <f>CEILING(T17,0.5)</f>
        <v>2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5</v>
      </c>
      <c r="H18" s="707"/>
      <c r="I18" s="708">
        <f>IF(G18="-------","-------",L17)</f>
        <v>684.42857142857144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8.5553571428571438</v>
      </c>
      <c r="U18" s="103">
        <f t="shared" si="0"/>
        <v>8.75</v>
      </c>
      <c r="V18" s="103">
        <f t="shared" si="1"/>
        <v>20</v>
      </c>
      <c r="W18" s="140">
        <v>1.3948717948718</v>
      </c>
      <c r="X18" s="141">
        <f t="shared" si="7"/>
        <v>6555.8974358974592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4797.5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7</v>
      </c>
      <c r="H20" s="713"/>
      <c r="I20" s="708">
        <f>L17-7</f>
        <v>677.42857142857144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11.855</v>
      </c>
      <c r="U20" s="103">
        <f t="shared" si="0"/>
        <v>12</v>
      </c>
      <c r="V20" s="103">
        <f t="shared" si="1"/>
        <v>28</v>
      </c>
      <c r="W20" s="103">
        <v>1.65</v>
      </c>
      <c r="X20" s="141">
        <f t="shared" si="7"/>
        <v>10857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8</v>
      </c>
      <c r="H21" s="699"/>
      <c r="I21" s="700">
        <f>(I11*2)+45</f>
        <v>9575</v>
      </c>
      <c r="J21" s="700"/>
      <c r="K21" s="106"/>
      <c r="L21" s="112">
        <f>IF(Format!E7=1,"-------",IF(Format!E7=5,"-------",تسجيل2!H30))</f>
        <v>8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766</v>
      </c>
      <c r="U21" s="142">
        <f t="shared" si="0"/>
        <v>766</v>
      </c>
      <c r="V21" s="142">
        <f>U21*S21</f>
        <v>766</v>
      </c>
      <c r="W21" s="142">
        <f>Sheet2!B17</f>
        <v>200</v>
      </c>
      <c r="X21" s="144">
        <f>W21*V21</f>
        <v>153200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8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8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 t="e">
        <f>L14</f>
        <v>#VALUE!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16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32</v>
      </c>
      <c r="AB29" s="60">
        <f t="shared" si="10"/>
        <v>12000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 t="e">
        <f>L14*L11</f>
        <v>#VALUE!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12000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 t="e">
        <f>(L14+N14)*2</f>
        <v>#VALUE!</v>
      </c>
      <c r="G31" s="71"/>
      <c r="H31" s="72">
        <v>23</v>
      </c>
      <c r="I31" s="691" t="s">
        <v>407</v>
      </c>
      <c r="J31" s="691"/>
      <c r="K31" s="691"/>
      <c r="L31" s="691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 t="e">
        <f>(L14+N14)*2</f>
        <v>#VALUE!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24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24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12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 t="e">
        <f>IF(L11&gt;2,(L11-2)*L14,"0")</f>
        <v>#VALUE!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190.6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667.1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 t="e">
        <f>SUM(AA24:AB38)</f>
        <v>#VALUE!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 t="e">
        <f>AA39+X22+U8</f>
        <v>#VALUE!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4799</v>
      </c>
      <c r="L97" s="177" t="str">
        <f>M8</f>
        <v>Χ</v>
      </c>
      <c r="M97" s="671">
        <f>N8</f>
        <v>4772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4800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4800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4800</v>
      </c>
      <c r="D31" s="34" t="s">
        <v>344</v>
      </c>
      <c r="E31" s="36" t="str">
        <f>H34</f>
        <v>N/A</v>
      </c>
      <c r="F31" s="34"/>
      <c r="G31" s="34"/>
      <c r="H31" s="35"/>
      <c r="I31" s="753" t="s">
        <v>343</v>
      </c>
      <c r="J31" s="754"/>
      <c r="K31" s="36">
        <f>B19</f>
        <v>4800</v>
      </c>
      <c r="L31" s="34" t="s">
        <v>344</v>
      </c>
      <c r="M31" s="36" t="str">
        <f>P34</f>
        <v>N/A</v>
      </c>
      <c r="N31" s="15"/>
      <c r="O31" s="34"/>
      <c r="P31" s="35"/>
      <c r="Q31" s="755" t="s">
        <v>343</v>
      </c>
      <c r="R31" s="756"/>
      <c r="S31" s="57">
        <f>B19</f>
        <v>4800</v>
      </c>
      <c r="T31" s="47" t="s">
        <v>345</v>
      </c>
      <c r="U31" s="57">
        <f>INT((S31-4)/25)+1</f>
        <v>192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4800</v>
      </c>
      <c r="E2" s="1">
        <f>تسجيل2!E7</f>
        <v>4800</v>
      </c>
      <c r="F2" s="1">
        <f>تسجيل2!E7</f>
        <v>4800</v>
      </c>
      <c r="G2" s="1">
        <f>تسجيل2!E7</f>
        <v>4800</v>
      </c>
      <c r="H2" s="8">
        <f>تسجيل2!E7</f>
        <v>4800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4800</v>
      </c>
      <c r="E6" s="1">
        <f>IF(E3=0,E2,E2-E3-E4+10)</f>
        <v>4800</v>
      </c>
      <c r="F6" s="1">
        <f>IF(F3=0,F2,F2-F3-F4+10)</f>
        <v>4800</v>
      </c>
      <c r="G6" s="1">
        <f>IF(G3=0,G2,G2-G3-G4+10)</f>
        <v>4800</v>
      </c>
      <c r="H6" s="8">
        <f>IF(H3=0,H2,H2-H3-H4+10)</f>
        <v>4800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4800</v>
      </c>
      <c r="L6" s="10">
        <f>IF('Format (2)'!E8=1,تسجيل2!E7-30,IF('Format (2)'!E8=2,D7,IF('Format (2)'!E8=3,E7,IF('Format (2)'!E8=4,F7,IF('Format (2)'!E8=5,G7,IF('Format (2)'!E8=6,H7,"-----"))))))</f>
        <v>4770</v>
      </c>
    </row>
    <row r="7">
      <c r="A7" s="772"/>
      <c r="B7" s="773"/>
      <c r="C7" s="19" t="s">
        <v>275</v>
      </c>
      <c r="D7" s="6">
        <f>D6-30</f>
        <v>4770</v>
      </c>
      <c r="E7" s="6">
        <f>E6-17</f>
        <v>4783</v>
      </c>
      <c r="F7" s="6">
        <f>F6-30</f>
        <v>4770</v>
      </c>
      <c r="G7" s="6">
        <f>G6-17</f>
        <v>4783</v>
      </c>
      <c r="H7" s="9">
        <f>H6-30</f>
        <v>4770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4800</v>
      </c>
      <c r="E11" s="1">
        <f>تسجيل2!E7</f>
        <v>4800</v>
      </c>
      <c r="F11" s="1">
        <f>تسجيل2!E7</f>
        <v>4800</v>
      </c>
      <c r="G11" s="1">
        <f>تسجيل2!E7</f>
        <v>4800</v>
      </c>
      <c r="H11" s="8">
        <f>تسجيل2!E7</f>
        <v>4800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4800</v>
      </c>
      <c r="L14" s="10">
        <f>IF('Format (2)'!E8=1,تسجيل2!E7-30,IF('Format (2)'!E8=2,D16,IF('Format (2)'!E8=3,E16,IF('Format (2)'!E8=4,F16,IF('Format (2)'!E8=5,G16,IF('Format (2)'!E8=6,H16))))))</f>
        <v>4770</v>
      </c>
    </row>
    <row r="15">
      <c r="A15" s="776"/>
      <c r="B15" s="777"/>
      <c r="C15" s="10" t="s">
        <v>273</v>
      </c>
      <c r="D15" s="1">
        <f>IF(D12=0,D11,D11-D12-D13+11)</f>
        <v>4800</v>
      </c>
      <c r="E15" s="1">
        <f>IF(E12=0,E11,E11-E12-E13+11)</f>
        <v>4800</v>
      </c>
      <c r="F15" s="1">
        <f>IF(F12=0,F11,F11-F12-F13+11)</f>
        <v>4800</v>
      </c>
      <c r="G15" s="1">
        <f>IF(G12=0,G11,G11-G12-G13+11)</f>
        <v>4800</v>
      </c>
      <c r="H15" s="8">
        <f>IF(H12=0,H11,H11-H12-H13+11)</f>
        <v>4800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4770</v>
      </c>
      <c r="E16" s="6">
        <f>E15-17</f>
        <v>4783</v>
      </c>
      <c r="F16" s="6">
        <f>F15-30</f>
        <v>4770</v>
      </c>
      <c r="G16" s="6">
        <f>G15-17</f>
        <v>4783</v>
      </c>
      <c r="H16" s="9">
        <f>H15-30</f>
        <v>4770</v>
      </c>
      <c r="Q16" s="10">
        <f>IF('Format (2)'!A7=1,K6,IF('Format (2)'!A7=3,K6,IF('Format (2)'!A7=4,K23,IF('Format (2)'!A7=2,K23,IF('Format (2)'!A7=5,K14,"------")))))</f>
        <v>4800</v>
      </c>
      <c r="R16" s="10">
        <f>IF('Format (2)'!A7=1,L6,IF('Format (2)'!A7=3,L6,IF('Format (2)'!A7=4,L23,IF('Format (2)'!A7=2,L23+2,IF('Format (2)'!A7=5,L14,"------")))))</f>
        <v>4772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4800</v>
      </c>
      <c r="E20" s="1">
        <f>تسجيل2!E7</f>
        <v>4800</v>
      </c>
      <c r="F20" s="1">
        <f>تسجيل2!E7</f>
        <v>4800</v>
      </c>
      <c r="G20" s="1">
        <f>تسجيل2!E7</f>
        <v>4800</v>
      </c>
      <c r="H20" s="8">
        <f>تسجيل2!E7</f>
        <v>4800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4800</v>
      </c>
      <c r="L23" s="10">
        <f>IF('Format (2)'!E8=1,تسجيل2!E7-30,IF('Format (2)'!E8=2,D25,IF('Format (2)'!E8=3,E25,IF('Format (2)'!E8=4,F25,IF('Format (2)'!E8=5,G25,IF('Format (2)'!E8=6,H25))))))</f>
        <v>4770</v>
      </c>
    </row>
    <row r="24">
      <c r="A24" s="782"/>
      <c r="B24" s="783"/>
      <c r="C24" s="10" t="s">
        <v>273</v>
      </c>
      <c r="D24" s="1">
        <f>IF(D21=0,D20,D20-D21-D22+11)</f>
        <v>4800</v>
      </c>
      <c r="E24" s="1">
        <f>IF(E21=0,E20,E20-E21-E22+11)</f>
        <v>4800</v>
      </c>
      <c r="F24" s="1">
        <f>IF(F21=0,F20,F20-F21-F22+11)</f>
        <v>4800</v>
      </c>
      <c r="G24" s="1">
        <f>IF(G21=0,G20,G20-G21-G22+11)</f>
        <v>4800</v>
      </c>
      <c r="H24" s="8">
        <f>IF(H21=0,H20,H20-H21-H22+11)</f>
        <v>4800</v>
      </c>
    </row>
    <row r="25">
      <c r="A25" s="784"/>
      <c r="B25" s="785"/>
      <c r="C25" s="19" t="s">
        <v>275</v>
      </c>
      <c r="D25" s="6">
        <f>D24-30</f>
        <v>4770</v>
      </c>
      <c r="E25" s="6">
        <f>E24-13</f>
        <v>4787</v>
      </c>
      <c r="F25" s="6">
        <f>F24-30</f>
        <v>4770</v>
      </c>
      <c r="G25" s="6">
        <f>G24-13</f>
        <v>4787</v>
      </c>
      <c r="H25" s="9">
        <f>H24-30</f>
        <v>4770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4800</v>
      </c>
      <c r="J4" s="15">
        <v>4</v>
      </c>
      <c r="K4" s="15">
        <v>2</v>
      </c>
    </row>
    <row r="5">
      <c r="A5" s="1" t="s">
        <v>254</v>
      </c>
      <c r="B5" s="1">
        <f>تسجيل2!E7</f>
        <v>4800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280</v>
      </c>
      <c r="B6" s="1" t="e">
        <f>'Cutting Ro-2'!L14</f>
        <v>#VALUE!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285</v>
      </c>
      <c r="B9" s="1" t="e">
        <f>O8</f>
        <v>#VALUE!</v>
      </c>
      <c r="J9" s="15">
        <v>9</v>
      </c>
      <c r="K9" s="15">
        <v>4</v>
      </c>
    </row>
    <row r="10">
      <c r="A10" s="12" t="s">
        <v>286</v>
      </c>
      <c r="B10" s="13" t="e">
        <f>(((B4-(تسجيل2!C22*2))/200)+1)*B9</f>
        <v>#VALUE!</v>
      </c>
      <c r="C10" s="636" t="s">
        <v>287</v>
      </c>
      <c r="D10" s="636"/>
      <c r="E10" s="14" t="e">
        <f>ROUND(B10,0)</f>
        <v>#VALUE!</v>
      </c>
      <c r="J10" s="15">
        <v>10</v>
      </c>
      <c r="K10" s="15">
        <v>4</v>
      </c>
    </row>
    <row r="11">
      <c r="A11" s="12" t="s">
        <v>288</v>
      </c>
      <c r="B11" s="13" t="e">
        <f>E10/B9</f>
        <v>#VALUE!</v>
      </c>
      <c r="C11" s="636" t="s">
        <v>287</v>
      </c>
      <c r="D11" s="636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289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4768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4765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4768</v>
      </c>
      <c r="F8" s="1">
        <f>IF('Format (2)'!A7=1,C6,IF('Format (2)'!A7=2,C7,IF('Format (2)'!A7=3,C8,IF('Format (2)'!A7=4,C9,IF('Format (2)'!A7=5,C10)))))</f>
        <v>4765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4768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4800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4800</v>
      </c>
      <c r="F16" s="1">
        <f>IF('Format (2)'!A7=1,C14,IF('Format (2)'!A7=2,C15,IF('Format (2)'!A7=3,C16,IF('Format (2)'!A7=4,C17,IF('Format (2)'!A7=5,C118)))))</f>
        <v>4800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4800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 t="e">
        <f>Royal2!G85</f>
        <v>#VALUE!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 t="e">
        <f>T22/(AA33*X31)*10000</f>
        <v>#VALUE!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199</v>
      </c>
      <c r="AH28" s="579" t="s">
        <v>200</v>
      </c>
      <c r="AI28" s="579" t="s">
        <v>169</v>
      </c>
      <c r="AJ28" s="579" t="s">
        <v>201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4800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4800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7AD4F3EB-E088-419B-A4C8-37C15E4805A3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D173DF1F-36BD-4B64-849F-5FBE1AC8159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4F71D280-E1B9-4D3C-B6F1-870EE6DD37AF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CEF01352-2500-401B-8196-B00FBDE6CCFB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433C13FD-E99D-4B60-B6D9-540452F81E7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120FAC9-1EC5-44B2-8388-A001BC218AE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F4C5E6BF-D499-4CBB-989B-8B6AB7F427B2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F9E8459B-8127-412D-9185-021CB88585C5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919F9AF-9CE8-4114-AD20-8FFE4241DBBD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A98E0F9-9C19-4E66-A092-969E7503903D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54E1627-3018-427D-B5FA-992045342DE0}">
          <x14:formula1>
            <xm:f>wavy2!$A$19:$A$20</xm:f>
          </x14:formula1>
          <xm:sqref>BE9</xm:sqref>
        </x14:dataValidation>
        <x14:dataValidation type="list" allowBlank="1" showInputMessage="1" showErrorMessage="1" xr:uid="{26DFC9F8-4B24-41EA-9DC1-8DA271850469}">
          <x14:formula1>
            <xm:f>wavy1!$A$19:$A$20</xm:f>
          </x14:formula1>
          <xm:sqref>AT9</xm:sqref>
        </x14:dataValidation>
        <x14:dataValidation type="list" allowBlank="1" showInputMessage="1" showErrorMessage="1" xr:uid="{05F8301A-923D-4266-9ED0-D6D4FC3D0873}">
          <x14:formula1>
            <xm:f>Sheet2!$B$5:$B$7</xm:f>
          </x14:formula1>
          <xm:sqref>T25 T46 T64</xm:sqref>
        </x14:dataValidation>
        <x14:dataValidation type="list" allowBlank="1" showInputMessage="1" showErrorMessage="1" xr:uid="{0FDF8D5B-AD99-4DA2-B767-C7129900DEE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D6E28EB7-0A7D-4C17-86F0-85D38C63B5F6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D3E1593-D90B-4DB0-9A06-13B3A5490189}">
          <x14:formula1>
            <xm:f>Sheet2!$C$5:$C$6</xm:f>
          </x14:formula1>
          <xm:sqref>T26</xm:sqref>
        </x14:dataValidation>
        <x14:dataValidation type="list" allowBlank="1" showInputMessage="1" showErrorMessage="1" xr:uid="{70D523F3-6306-4025-91E4-855133A98C67}">
          <x14:formula1>
            <xm:f>Sheet2!$A$5</xm:f>
          </x14:formula1>
          <xm:sqref>U31</xm:sqref>
        </x14:dataValidation>
        <x14:dataValidation type="list" allowBlank="1" showInputMessage="1" showErrorMessage="1" xr:uid="{E89CC0CD-A791-4CE1-B244-827F7CF9C58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60DF9EA4-8509-4B70-B5CA-3AC6DE446236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804A4C73-66F7-40C8-984B-FC384D36E6F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484E68F-15E3-46FB-9FDC-4F76ABBE8EE8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8D28CD38-9EDE-4428-BDD1-89C32869D780}">
          <x14:formula1>
            <xm:f>Sheet2!$D$5:$D$6</xm:f>
          </x14:formula1>
          <xm:sqref>T32 T53 T71</xm:sqref>
        </x14:dataValidation>
        <x14:dataValidation type="list" allowBlank="1" showInputMessage="1" showErrorMessage="1" xr:uid="{B56B3E15-4897-46E5-9C54-4B61537B1B9A}">
          <x14:formula1>
            <xm:f>Sheet2!$A$6</xm:f>
          </x14:formula1>
          <xm:sqref>AC36</xm:sqref>
        </x14:dataValidation>
        <x14:dataValidation type="list" allowBlank="1" showInputMessage="1" showErrorMessage="1" xr:uid="{5A453406-2823-4A5E-B6FD-F696BF4DF3DB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45364.373587407405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DAB1453-602A-4B28-9FFF-5A86A073FCC6}">
      <formula1>$N$2:$N$20</formula1>
    </dataValidation>
    <dataValidation type="list" allowBlank="1" showInputMessage="1" showErrorMessage="1" sqref="G63:G75" xr:uid="{C9049084-7214-4EE6-AE0A-5337A089F91F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#VALUE!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45364.373587407405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552.5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3038.75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1836.25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3640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/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15150</v>
      </c>
      <c r="K13" s="240">
        <f ref="K13:K14" t="shared" si="4">B13*J13</f>
        <v>15150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15150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450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550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 t="e">
        <f>'Cutting Ro-2'!$O$7</f>
        <v>#VALUE!</v>
      </c>
      <c r="I59" s="247"/>
      <c r="J59" s="411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9000</v>
      </c>
      <c r="L81" s="525" t="e">
        <f>Table161229[[#Totals],[اجمالي]]/$G$84</f>
        <v>#VALUE!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69A2B75A-265F-472F-ADB7-2E2BEFC5AABC}">
      <formula1>$U$4:$U$5</formula1>
    </dataValidation>
    <dataValidation type="list" allowBlank="1" showInputMessage="1" showErrorMessage="1" sqref="F72:F80" xr:uid="{A39D6FC0-2B27-4502-84F9-DB377ADAC6C2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45364.373587592592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B04333C5-AFF6-4446-89AE-ED358427BF9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45364.373587592592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F40B3F6-1C62-41D0-8741-DAE1FC742EFD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482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482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482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482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495</v>
      </c>
      <c r="W6" s="331">
        <v>250</v>
      </c>
      <c r="X6" s="323"/>
      <c r="Y6" s="339" t="s">
        <v>496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179</v>
      </c>
      <c r="F18" s="323" t="s">
        <v>214</v>
      </c>
      <c r="H18" s="331" t="s">
        <v>527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199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182</v>
      </c>
      <c r="H19" s="331" t="s">
        <v>529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179</v>
      </c>
      <c r="W19" s="339" t="s">
        <v>214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2CE2BA97-96AF-4522-9F8B-B7950D7B966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45364.373587592592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45364.373587592592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45364.373587592592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45364.373587592592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24BC0B4-3B09-4F08-B12E-2B225F26B9A5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