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2570" tabRatio="92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<sst xmlns="http://schemas.openxmlformats.org/spreadsheetml/2006/main" count="594" uniqueCount="594">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</sst>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201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191" totalsRowDxfId="1192"/>
    <tableColumn id="2" name="عدد" dataDxfId="1193" totalsRowDxfId="119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BP28</calculatedColumnFormula>
    </tableColumn>
    <tableColumn id="8" name="اجمالي" totalsRowFunction="sum" dataDxfId="1196" totalsRowDxfId="1197">
      <calculatedColumnFormula>BH98*BP99</calculatedColumnFormula>
    </tableColumn>
    <tableColumn id="9" name="%" totalsRowFunction="custom" totalsRowDxfId="119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191" totalsRowDxfId="1192"/>
    <tableColumn id="2" name="عدد" dataDxfId="1193" totalsRowDxfId="1192">
      <calculatedColumnFormula>IF((#REF!="بالتات"),0,4)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212" totalsRowDxfId="1195">
      <calculatedColumnFormula>Sheet2!AW26</calculatedColumnFormula>
    </tableColumn>
    <tableColumn id="8" name="اجمالي" totalsRowFunction="sum" dataDxfId="1196" totalsRowDxfId="1197">
      <calculatedColumnFormula>BH84*BP84</calculatedColumnFormula>
    </tableColumn>
    <tableColumn id="9" name="%" totalsRowFunction="custom" totalsRowDxfId="119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191"/>
    <tableColumn id="2" name="عدد" totalsRowFunction="sum" dataDxfId="1191">
      <calculatedColumnFormula>BH90*4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(Table16627394105[[#This Row],[Column1]]*Table16627394105[[#This Row],[Column2]])*Table16627394105[[#This Row],[عدد]]</calculatedColumnFormula>
    </tableColumn>
    <tableColumn id="4" name="الوحده" dataDxfId="1191"/>
    <tableColumn id="5" name="الوزن" totalsRowFunction="custom">
      <totalsRowFormula>(BN93*BH93)+(BH94*BN94)</totalsRowFormula>
    </tableColumn>
    <tableColumn id="6" name="سعر الكيلو" dataDxfId="1193"/>
    <tableColumn id="7" name="سعر الشبك " dataDxfId="1194">
      <calculatedColumnFormula>BN92*$S$2/1000</calculatedColumnFormula>
    </tableColumn>
    <tableColumn id="8" name="اجمالي" totalsRowFunction="sum" dataDxfId="119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191"/>
    <tableColumn id="2" name="عدد" dataDxfId="1207">
      <calculatedColumnFormula>IF((تسعير!$AU$14="بالتات"),0,BH119-2)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تسعير!$BE$44</calculatedColumnFormula>
    </tableColumn>
    <tableColumn id="10" name="شيفت العمل" dataDxfId="1191"/>
    <tableColumn id="12" name="Column12" totalsRowFunction="sum" dataDxfId="1199">
      <calculatedColumnFormula>SUMIF(Table17697899110[Column1],Table1612677697108[[#This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Table1612677697108[[#This Row],[Column12]]</calculatedColumnFormula>
    </tableColumn>
    <tableColumn id="8" name="اجمالي" totalsRowFunction="sum" dataDxfId="1196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02"/>
    <tableColumn id="2" name="عدد" dataDxfId="1207">
      <calculatedColumnFormula>IF((BL133="الاسكندرية"),0.25,0.1)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BQ116</calculatedColumnFormula>
    </tableColumn>
    <tableColumn id="8" name="اجمالي" totalsRowFunction="sum" dataDxfId="119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IF((BL133="المقطم"),0.3,IF((BL133="التجمع"),0.3,IF((BL133="الشيخ زايد"),0.3,IF((BL133="الاسكندرية"),0.5,0.35))))</calculatedColumnFormula>
    </tableColumn>
    <tableColumn id="2" name="Column2" dataDxfId="120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191"/>
    <tableColumn id="2" name="عدد" dataDxfId="1191">
      <calculatedColumnFormula>IF(OR((BI69="B11"),(BI69="B12"),(BI69="B21"),(BI69="B22"),(BI69="B31"),(BI69="B32")),3,0)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(Table15880101112[[#This Row],[Column1]]+Table15880101112[[#This Row],[Column2]])*12*Table15880101112[[#This Row],[عدد]]</calculatedColumnFormula>
    </tableColumn>
    <tableColumn id="4" name="الوحده" dataDxfId="1191"/>
    <tableColumn id="5" name="الوزن" totalsRowFunction="custom">
      <totalsRowFormula>(BN76*BH76)+(BN77*BH77)+(BN78*BH78)+(BN79*BH79)</totalsRowFormula>
    </tableColumn>
    <tableColumn id="6" name="اجمالي المسطح" totalsRowFunction="sum" dataDxfId="1193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196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191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230" totalsRowDxfId="1231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36">
  <autoFilter ref="A75:F95"/>
  <tableColumns count="6">
    <tableColumn id="1" name="Column1" totalsRowLabel="Total" dataDxfId="1234" totalsRowDxfId="1232"/>
    <tableColumn id="2" name="عدد" totalsRowFunction="custom" dataDxfId="1234" totalsRowDxfId="1233">
      <totalsRowFormula>(Table80102114115[[#Totals],[price]]*1.1)/(F74*D74/10000)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191"/>
    <tableColumn id="2" name="عدد" dataDxfId="1191">
      <calculatedColumnFormula>IF((F74="الاسكندرية"),0.25,0.1)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19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191" totalsRowDxfId="1192"/>
    <tableColumn id="2" name="عدد" dataDxfId="51" totalsRowDxfId="1192">
      <calculatedColumnFormula>B60</calculatedColumnFormula>
    </tableColumn>
    <tableColumn id="3" name="بيان" totalsRowLabel="Total" dataDxfId="81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SUMIF(Table17[Column1],Table1612[[#This Row],[موقع العمل]],$T$2:$T$20)</calculatedColumnFormula>
    </tableColumn>
    <tableColumn id="4" name="عدد الايام" dataDxfId="76" totalsRowDxfId="1192"/>
    <tableColumn id="7" name="اجمالي التكلفة للعامل" dataDxfId="75" totalsRowDxfId="1195">
      <calculatedColumnFormula>Table1612[[#This Row],[Column12]]</calculatedColumnFormula>
    </tableColumn>
    <tableColumn id="8" name="اجمالي" totalsRowFunction="sum" dataDxfId="1196" totalsRowDxfId="1197">
      <calculatedColumnFormula>B63*J63</calculatedColumnFormula>
    </tableColumn>
    <tableColumn id="9" name="%" totalsRowFunction="custom" totalsRowDxfId="119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02"/>
    <tableColumn id="4" name="Column22" dataDxfId="1202"/>
    <tableColumn id="5" name="Column23" dataDxfId="1202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0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191"/>
    <tableColumn id="2" name="عدد" dataDxfId="119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191"/>
    <tableColumn id="5" name="الوزن" dataDxfId="1191"/>
    <tableColumn id="6" name="اجمالي الميزان" totalsRowFunction="sum" dataDxfId="1193">
      <calculatedColumnFormula>Table118[[#This Row],[الوزن]]*Table118[[#This Row],[عدد]]</calculatedColumnFormula>
    </tableColumn>
    <tableColumn id="7" name="سعر الشبك " dataDxfId="1194">
      <calculatedColumnFormula>H6*$H$2/1000</calculatedColumnFormula>
    </tableColumn>
    <tableColumn id="8" name="اجمالي" totalsRowFunction="sum" dataDxfId="1196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191"/>
    <tableColumn id="2" name="عدد" dataDxfId="119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1"/>
    <tableColumn id="4" name="الوحده" totalsRowLabel="total" dataDxfId="1191"/>
    <tableColumn id="5" name="الوزن" dataDxfId="119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191">
      <calculatedColumnFormula>Sheet2!B7</calculatedColumnFormula>
    </tableColumn>
    <tableColumn id="7" name="سعر الشبك " dataDxfId="1194"/>
    <tableColumn id="8" name="اجمالي" totalsRowFunction="sum" dataDxfId="1196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191"/>
    <tableColumn id="2" name="عدد" dataDxfId="1191">
      <calculatedColumnFormula>IF((تسعير!X30&lt;800),0,IF(AND((تسعير!X30&gt;800),(600&gt;=تسعير!AA32)),1,0))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(Table1421[[#This Row],[Column1]]+Table1421[[#This Row],[Column2]])*12*Table1421[[#This Row],[عدد]]</calculatedColumnFormula>
    </tableColumn>
    <tableColumn id="4" name="الوحده" dataDxfId="1191"/>
    <tableColumn id="5" name="الوزن" dataDxfId="1191"/>
    <tableColumn id="6" name="سعر الكيلو" totalsRowFunction="sum" dataDxfId="1193">
      <calculatedColumnFormula>Table1421[[#This Row],[الوزن]]*Table1421[[#This Row],[عدد]]</calculatedColumnFormula>
    </tableColumn>
    <tableColumn id="7" name="سعر الشبك " dataDxfId="1194">
      <calculatedColumnFormula>H13*$I$2/1000</calculatedColumnFormula>
    </tableColumn>
    <tableColumn id="8" name="اجمالي" totalsRowFunction="sum" dataDxfId="119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191"/>
    <tableColumn id="2" name="عدد" dataDxfId="119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191"/>
    <tableColumn id="2" name="عدد" totalsRowFunction="count" dataDxfId="1193">
      <calculatedColumnFormula>B30*4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191"/>
    <tableColumn id="5" name="الوزن" totalsRowFunction="custom">
      <totalsRowFormula>H31*B31+H32*B32</totalsRowFormula>
    </tableColumn>
    <tableColumn id="6" name="سعر الكيلو" dataDxfId="1193">
      <calculatedColumnFormula>$H$2/1000</calculatedColumnFormula>
    </tableColumn>
    <tableColumn id="7" name="سعر الشبك " dataDxfId="1194">
      <calculatedColumnFormula>H31*$H$2/1000</calculatedColumnFormula>
    </tableColumn>
    <tableColumn id="8" name="اجمالي" totalsRowFunction="sum" dataDxfId="119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191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202"/>
    <tableColumn id="10" name="Column1" dataDxfId="1203"/>
    <tableColumn id="12" name="Column12" totalsRowFunction="sum" dataDxfId="1209"/>
    <tableColumn id="4" name="الوحده" dataDxfId="1210"/>
    <tableColumn id="5" name="الوزن" dataDxfId="1211"/>
    <tableColumn id="6" name="سعر الكيلو" dataDxfId="1203"/>
    <tableColumn id="7" name="سعر الشبك " dataDxfId="1212">
      <calculatedColumnFormula>Sheet2!B31</calculatedColumnFormula>
    </tableColumn>
    <tableColumn id="8" name="اجمالي" totalsRowFunction="sum" dataDxfId="119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191"/>
    <tableColumn id="2" name="عدد" dataDxfId="1191">
      <calculatedColumnFormula>IF((F79="الاسكندرية"),0.25,0.1)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1205"/>
    <tableColumn id="7" name="سعر البرجولا كاملة" dataDxfId="1194">
      <calculatedColumnFormula>K58</calculatedColumnFormula>
    </tableColumn>
    <tableColumn id="8" name="اجمالي" totalsRowFunction="sum" dataDxfId="119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191" totalsRowDxfId="1192"/>
    <tableColumn id="2" name="عدد" dataDxfId="1207" totalsRowDxfId="1192">
      <calculatedColumnFormula>B65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SUMIF(Table1731[Column1],Table161229[[#This Row],[موقع العمل]],$T$2:$T$26)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196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192"/>
    <tableColumn id="2" name="عدد" dataDxfId="1207" totalsRowDxfId="119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68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/>
    <tableColumn id="8" name="اجمالي" totalsRowFunction="sum" dataDxfId="1196" totalsRowDxfId="1197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0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206" totalsRowDxfId="1216"/>
    <tableColumn id="5" name="وزن المتر " dataDxfId="1206" totalsRowDxfId="1216"/>
    <tableColumn id="4" name="سعر الكيلو" dataDxfId="1206" totalsRowDxfId="1216"/>
    <tableColumn id="3" name="اجمالي عدد " totalsRowFunction="custom" totalsRowDxfId="1216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206" totalsRowDxfId="1216"/>
    <tableColumn id="11" name="Column3" dataDxfId="1206" totalsRowDxfId="1216"/>
    <tableColumn id="12" name="Column4" dataDxfId="1206" totalsRowDxfId="121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SUMIF(Table1769[Column1],Table161267[[#This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IF((N2="A1"),2,IF((N2="A2"),3,IF((N2="B1"),2.5,IF((N2="B2"),3,0))))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(Table158[[#This Row],[Column1]]+Table158[[#This Row],[Column2]])*12*Table158[[#This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totalsRowFunction="sum" dataDxfId="1193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06"/>
    <tableColumn id="6" name="الطول بالمتر" dataDxfId="1206"/>
    <tableColumn id="5" name="وزن المتر " dataDxfId="1206"/>
    <tableColumn id="4" name="سعر الكيلو" dataDxfId="1206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206"/>
    <tableColumn id="10" name="Column2" dataDxfId="1206"/>
    <tableColumn id="11" name="Column3" dataDxfId="1206"/>
    <tableColumn id="12" name="Column4" dataDxfId="120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(Table166241[[#This Row],[Column1]]*Table166241[[#This Row],[Column2]])*Table166241[[#This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IF((تسعير!$BF$14="بالتات"),0,M52-2)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تسعير!$BE$4</calculatedColumnFormula>
    </tableColumn>
    <tableColumn id="10" name="شيفت العمل" dataDxfId="1191" totalsRowDxfId="1192"/>
    <tableColumn id="12" name="Column12" totalsRowFunction="sum" dataDxfId="1199" totalsRowDxfId="1200"/>
    <tableColumn id="4" name="عدد الايام" dataDxfId="1213" totalsRowDxfId="1192"/>
    <tableColumn id="7" name="اجمالي التكلفة للعامل" dataDxfId="1214" totalsRowDxfId="1195">
      <calculatedColumnFormula>Table16126744[[#This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06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IF((N2="c1"),3,IF((N2="c2"),4,IF((N2="d1"),4,IF((N2="d2"),5,0))))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(Table15855[[#This Row],[Column1]]+Table15855[[#This Row],[Column2]])*12*Table15855[[#This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dataDxfId="1193"/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206"/>
    <tableColumn id="2" name="المقاس" dataDxfId="1206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192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0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06" totalsRowDxfId="630"/>
    <tableColumn id="2" name="عدد/الشمسية" dataDxfId="606" totalsRowDxfId="626"/>
    <tableColumn id="3" name="سعر الوحدة" dataDxfId="1206" totalsRowDxfId="1220"/>
    <tableColumn id="4" name="قيمة" totalsRowFunction="sum" dataDxfId="1206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06"/>
    <tableColumn id="2" name="Column2" dataDxfId="120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2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20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06" totalsRowDxfId="1200"/>
    <tableColumn id="2" name="عدد/الشمسية" dataDxfId="1224" totalsRowDxfId="1200"/>
    <tableColumn id="3" name="سعر الوحدة" dataDxfId="1206" totalsRowDxfId="1200"/>
    <tableColumn id="4" name="قيمة" totalsRowFunction="sum" dataDxfId="1206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191" totalsRowDxfId="1192"/>
    <tableColumn id="2" name="عدد" dataDxfId="1193" totalsRowDxfId="119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06"/>
    <tableColumn id="2" name="Column2" dataDxfId="12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Table12[[#This Row],[سعر]]*Table12[[#This Row],[ميزان]]*Table12[[#This Row],[عدد]]</calculatedColumnFormula>
    </tableColumn>
    <tableColumn id="6" name="Column6" totalsRowFunction="custom" totalsRowDxfId="122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7" totalsRowDxfId="1192">
      <calculatedColumnFormula>I28</calculatedColumnFormula>
    </tableColumn>
    <tableColumn id="3" name="بيان" totalsRowLabel="Total" dataDxfId="535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تسعير!$T$45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Table161243[[#This Row],[Column12]]</calculatedColumnFormula>
    </tableColumn>
    <tableColumn id="8" name="اجمالي" totalsRowFunction="sum" dataDxfId="1196" totalsRowDxfId="1197">
      <calculatedColumnFormula>I31*Q31</calculatedColumnFormula>
    </tableColumn>
    <tableColumn id="9" name="%" totalsRowFunction="custom" totalsRowDxfId="11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0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27" totalsRowDxfId="1228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Table1257[[#This Row],[سعر]]*Table1257[[#This Row],[ميزان]]*Table1257[[#This Row],[عدد]]</calculatedColumnFormula>
    </tableColumn>
    <tableColumn id="6" name="Column6" totalsRowFunction="custom" totalsRowDxfId="122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07" totalsRowDxfId="1192">
      <calculatedColumnFormula>I61</calculatedColumnFormula>
    </tableColumn>
    <tableColumn id="3" name="بيان" totalsRowLabel="Total" dataDxfId="1229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تسعير!$T$63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SUMIF(Table17[Column1],Table16124360[[#This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Table16124360[[#This Row],[Column12]]</calculatedColumnFormula>
    </tableColumn>
    <tableColumn id="8" name="اجمالي" totalsRowFunction="sum" dataDxfId="1196" totalsRowDxfId="1197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0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M28*U28</calculatedColumnFormula>
    </tableColumn>
    <tableColumn id="9" name="%" totalsRowFunction="custom" totalsRowDxfId="119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191"/>
    <tableColumn id="2" name="عدد" dataDxfId="1191">
      <calculatedColumnFormula>IF((تسعير!X7&lt;800),0,IF(AND((تسعير!X7&gt;800),(600&gt;=تسعير!AA9)),1,0))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(Table14[[#This Row],[Column1]]+Table14[[#This Row],[Column2]])*12*Table14[[#This Row],[عدد]]</calculatedColumnFormula>
    </tableColumn>
    <tableColumn id="4" name="الوحده" dataDxfId="1191"/>
    <tableColumn id="5" name="الوزن" totalsRowFunction="custom">
      <totalsRowFormula>H12*B12+H13*B13</totalsRowFormula>
    </tableColumn>
    <tableColumn id="6" name="مسطح" dataDxfId="1193">
      <calculatedColumnFormula>Table14[[#This Row],[Column12]]*Table14[[#This Row],[عدد]]</calculatedColumnFormula>
    </tableColumn>
    <tableColumn id="7" name="سعر الشبك " dataDxfId="1194">
      <calculatedColumnFormula>H12*$I$2/1000</calculatedColumnFormula>
    </tableColumn>
    <tableColumn id="8" name="اجمالي" totalsRowFunction="sum" dataDxfId="119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(Table166273[[#This Row],[Column1]]*Table166273[[#This Row],[Column2]])*Table166273[[#This Row],[عدد]]</calculatedColumnFormula>
    </tableColumn>
    <tableColumn id="4" name="الوحده" dataDxfId="1191"/>
    <tableColumn id="5" name="الوزن" totalsRowFunction="custom">
      <totalsRowFormula>(S23*M23)+(M24*S24)</totalsRowFormula>
    </tableColumn>
    <tableColumn id="6" name="سعر الكيلو" dataDxfId="1193"/>
    <tableColumn id="7" name="سعر الشبك " dataDxfId="1194">
      <calculatedColumnFormula>S22*$S$2/1000</calculatedColumnFormula>
    </tableColumn>
    <tableColumn id="8" name="اجمالي" totalsRowFunction="sum" dataDxfId="119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IF((تسعير!$AU$14="بالتات"),0,M49-2)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SUMIF(Table176978[Column1],Table16126776[[#This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Table16126776[[#This Row],[Column12]]</calculatedColumnFormula>
    </tableColumn>
    <tableColumn id="8" name="اجمالي" totalsRowFunction="sum" dataDxfId="1196" totalsRowDxfId="1197">
      <calculatedColumnFormula>M52*U52</calculatedColumnFormula>
    </tableColumn>
    <tableColumn id="9" name="%" totalsRowFunction="custom" totalsRowDxfId="11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02" totalsRowDxfId="1192"/>
    <tableColumn id="2" name="عدد" dataDxfId="1207" totalsRowDxfId="1192">
      <calculatedColumnFormula>IF((Q63="الاسكندرية"),0.25,0.1)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Table80102114[[#Totals],[price]]</calculatedColumnFormula>
    </tableColumn>
    <tableColumn id="8" name="اجمالي" totalsRowFunction="sum" dataDxfId="1196" totalsRowDxfId="1197">
      <calculatedColumnFormula>M47*Table16136877[[#This Row],[سعر الشبك ]]</calculatedColumnFormula>
    </tableColumn>
    <tableColumn id="9" name="%" totalsRowFunction="custom" totalsRowDxfId="119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IF((Q63="المقطم"),0.3,IF((Q63="التجمع"),0.3,IF((Q63="الشيخ زايد"),0.3,IF((Q63="الاسكندرية"),0.5,0.35))))</calculatedColumnFormula>
    </tableColumn>
    <tableColumn id="2" name="Column2" dataDxfId="120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(Table15880[[#This Row],[Column1]]+Table15880[[#This Row],[Column2]])*12*Table15880[[#This Row],[عدد]]</calculatedColumnFormula>
    </tableColumn>
    <tableColumn id="4" name="الوحده" dataDxfId="1191"/>
    <tableColumn id="5" name="الوزن" totalsRowFunction="custom">
      <totalsRowFormula>(S6*M6)+(S7*M7)+(M8*S8)+(S9*M9)</totalsRowFormula>
    </tableColumn>
    <tableColumn id="6" name="اجمالي المسطح" totalsRowFunction="sum" dataDxfId="1193">
      <calculatedColumnFormula>Table15880[[#This Row],[المسطح]]*Table15880[[#This Row],[عدد]]</calculatedColumnFormula>
    </tableColumn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191" totalsRowDxfId="1192"/>
    <tableColumn id="2" name="عدد" dataDxfId="1193" totalsRowDxfId="119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M99*U100</calculatedColumnFormula>
    </tableColumn>
    <tableColumn id="9" name="%" totalsRowFunction="custom" totalsRowDxfId="119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Sheet2!B22</calculatedColumnFormula>
    </tableColumn>
    <tableColumn id="8" name="اجمالي" totalsRowFunction="sum" dataDxfId="1196" totalsRowDxfId="1197">
      <calculatedColumnFormula>B17*J17</calculatedColumnFormula>
    </tableColumn>
    <tableColumn id="9" name="%" totalsRowFunction="custom" totalsRowDxfId="1198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191"/>
    <tableColumn id="2" name="عدد" dataDxfId="1193">
      <calculatedColumnFormula>IF((I70="بالتات"),0,4)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191"/>
    <tableColumn id="2" name="عدد" totalsRowFunction="sum" dataDxfId="1191">
      <calculatedColumnFormula>M91*4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(Table16627394[[#This Row],[Column1]]*Table16627394[[#This Row],[Column2]])*Table16627394[[#This Row],[عدد]]</calculatedColumnFormula>
    </tableColumn>
    <tableColumn id="4" name="الوحده" dataDxfId="1191"/>
    <tableColumn id="5" name="الوزن" totalsRowFunction="custom">
      <totalsRowFormula>(S94*M94)+(M95*S95)</totalsRowFormula>
    </tableColumn>
    <tableColumn id="6" name="سعر الكيلو" dataDxfId="1193"/>
    <tableColumn id="7" name="سعر الشبك " dataDxfId="1194">
      <calculatedColumnFormula>S93*$S$2/1000</calculatedColumnFormula>
    </tableColumn>
    <tableColumn id="8" name="اجمالي" totalsRowFunction="sum" dataDxfId="119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IF((تسعير!$AU$14="بالتات"),0,M120-2)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SUMIF(Table17697899[Column1],Table1612677697[[#This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Table1612677697[[#This Row],[Column12]]</calculatedColumnFormula>
    </tableColumn>
    <tableColumn id="8" name="اجمالي" totalsRowFunction="sum" dataDxfId="1196" totalsRowDxfId="1197">
      <calculatedColumnFormula>M123*U123</calculatedColumnFormula>
    </tableColumn>
    <tableColumn id="9" name="%" totalsRowFunction="custom" totalsRowDxfId="11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02" totalsRowDxfId="1192"/>
    <tableColumn id="2" name="عدد" dataDxfId="1207" totalsRowDxfId="1192">
      <calculatedColumnFormula>IF((Q134="الاسكندرية"),0.25,0.1)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F95</calculatedColumnFormula>
    </tableColumn>
    <tableColumn id="8" name="اجمالي" totalsRowFunction="sum" dataDxfId="1196" totalsRowDxfId="1197">
      <calculatedColumnFormula>M118*Table1613687798[[#This Row],[سعر الشبك ]]</calculatedColumnFormula>
    </tableColumn>
    <tableColumn id="9" name="%" totalsRowFunction="custom" totalsRowDxfId="119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120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191"/>
    <tableColumn id="2" name="عدد" dataDxfId="1191">
      <calculatedColumnFormula>IF(OR((N70="B11"),(N70="B12"),(N70="B21"),(N70="B22"),(N70="B31"),(N70="B32")),3,0)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(Table15880101[[#This Row],[Column1]]+Table15880101[[#This Row],[Column2]])*12*Table15880101[[#This Row],[عدد]]</calculatedColumnFormula>
    </tableColumn>
    <tableColumn id="4" name="الوحده" dataDxfId="1191"/>
    <tableColumn id="5" name="الوزن" totalsRowFunction="custom">
      <totalsRowFormula>(S77*M77)+(S78*M78)+(M79*S79)+(S80*M80)</totalsRowFormula>
    </tableColumn>
    <tableColumn id="6" name="اجمالي المسطح" totalsRowFunction="sum" dataDxfId="1193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196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Sheet2!AW6</calculatedColumnFormula>
    </tableColumn>
    <tableColumn id="8" name="اجمالي" totalsRowFunction="sum" dataDxfId="1196" totalsRowDxfId="1197">
      <calculatedColumnFormula>BH28*BP28</calculatedColumnFormula>
    </tableColumn>
    <tableColumn id="9" name="%" totalsRowFunction="custom" totalsRowDxfId="119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191" totalsRowDxfId="1192"/>
    <tableColumn id="2" name="عدد" totalsRowFunction="count" dataDxfId="1191" totalsRowDxfId="1192">
      <calculatedColumnFormula>B29*4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totalsRowFunction="sum" dataDxfId="1199" totalsRowDxfId="1200">
      <calculatedColumnFormula>(Table16[[#This Row],[Column1]]*Table16[[#This Row],[Column2]])*Table16[[#This Row],[عدد]]</calculatedColumnFormula>
    </tableColumn>
    <tableColumn id="4" name="الوحده" dataDxfId="1191" totalsRowDxfId="1192"/>
    <tableColumn id="5" name="الوزن" totalsRowFunction="custom" totalsRowDxfId="1192">
      <totalsRowFormula>H30*B30+H31*B31</totalsRowFormula>
    </tableColumn>
    <tableColumn id="6" name="Column3" dataDxfId="1193" totalsRowDxfId="1192"/>
    <tableColumn id="7" name="سعر الشبك " dataDxfId="1194" totalsRowDxfId="1195">
      <calculatedColumnFormula>H30*$H$2/1000</calculatedColumnFormula>
    </tableColumn>
    <tableColumn id="8" name="اجمالي" totalsRowFunction="sum" dataDxfId="119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Sheet2!AW26</calculatedColumnFormula>
    </tableColumn>
    <tableColumn id="8" name="اجمالي" totalsRowFunction="sum" dataDxfId="1196" totalsRowDxfId="1197">
      <calculatedColumnFormula>BH14*BP14</calculatedColumnFormula>
    </tableColumn>
    <tableColumn id="9" name="%" totalsRowFunction="custom" totalsRowDxfId="119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191"/>
    <tableColumn id="2" name="عدد" totalsRowFunction="count" dataDxfId="1191">
      <calculatedColumnFormula>BH20*4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(Table16627383[[#This Row],[Column1]]*Table16627383[[#This Row],[Column2]])*Table16627383[[#This Row],[عدد]]</calculatedColumnFormula>
    </tableColumn>
    <tableColumn id="4" name="الوحده" dataDxfId="1191"/>
    <tableColumn id="5" name="الوزن" totalsRowFunction="custom">
      <totalsRowFormula>(BN23*BH23)+(BH24*BN24)</totalsRowFormula>
    </tableColumn>
    <tableColumn id="6" name="سعر الكيلو" dataDxfId="1193"/>
    <tableColumn id="7" name="سعر الشبك " dataDxfId="1194">
      <calculatedColumnFormula>BN22*$S$2/1000</calculatedColumnFormula>
    </tableColumn>
    <tableColumn id="8" name="اجمالي" totalsRowFunction="sum" dataDxfId="119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191"/>
    <tableColumn id="2" name="عدد" dataDxfId="1207">
      <calculatedColumnFormula>IF((تسعير!$AU$14="بالتات"),0,BH48-2)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تسعير!$AT$44</calculatedColumnFormula>
    </tableColumn>
    <tableColumn id="10" name="شيفت العمل" dataDxfId="1191"/>
    <tableColumn id="12" name="Column12" totalsRowFunction="sum" dataDxfId="1199">
      <calculatedColumnFormula>SUMIF(Table17697888[Column1],Table1612677686[[#This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Table1612677686[[#This Row],[Column12]]</calculatedColumnFormula>
    </tableColumn>
    <tableColumn id="8" name="اجمالي" totalsRowFunction="sum" dataDxfId="1196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02"/>
    <tableColumn id="2" name="عدد" dataDxfId="1207">
      <calculatedColumnFormula>IF((BL62="الاسكندرية"),0.25,0.1)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BQ45</calculatedColumnFormula>
    </tableColumn>
    <tableColumn id="8" name="اجمالي" totalsRowFunction="sum" dataDxfId="119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IF((BL62="المقطم"),0.3,IF((BL62="التجمع"),0.3,IF((BL62="الشيخ زايد"),0.3,IF((BL62="الاسكندرية"),0.5,0.35))))</calculatedColumnFormula>
    </tableColumn>
    <tableColumn id="2" name="Column2" dataDxfId="120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(Table1588090[[#This Row],[Column1]]+Table1588090[[#This Row],[Column2]])*12*Table1588090[[#This Row],[عدد]]</calculatedColumnFormula>
    </tableColumn>
    <tableColumn id="4" name="الوحده" dataDxfId="1191"/>
    <tableColumn id="5" name="الوزن" totalsRowFunction="custom">
      <totalsRowFormula>(BN6*BH6)+(BN7*BG7)+(BN8*BG8)+(BN9*BG9)</totalsRowFormula>
    </tableColumn>
    <tableColumn id="6" name="اجمالي المسطح" totalsRowFunction="sum" dataDxfId="1193">
      <calculatedColumnFormula>Table1588090[[#This Row],[المسطح]]*Table1588090[[#This Row],[عدد]]</calculatedColumnFormula>
    </tableColumn>
    <tableColumn id="7" name="سعر الشبك " dataDxfId="1219">
      <calculatedColumnFormula>BN6*$S$2/1000</calculatedColumnFormula>
    </tableColumn>
    <tableColumn id="8" name="اجمالي" totalsRowFunction="sum" dataDxfId="1196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abSelected="1" zoomScale="90" zoomScaleNormal="90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218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39526.875</v>
      </c>
      <c r="J3" s="518"/>
    </row>
    <row r="4" ht="21">
      <c r="A4" s="512"/>
      <c r="B4" s="513"/>
      <c r="C4" s="513"/>
      <c r="D4" s="514"/>
      <c r="E4" s="503"/>
      <c r="F4" s="508"/>
      <c r="G4" s="568" t="s">
        <v>219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205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130456.25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220</v>
      </c>
      <c r="B10" s="569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75000</v>
      </c>
    </row>
    <row r="13">
      <c r="A13" s="233" t="s">
        <v>224</v>
      </c>
      <c r="B13" s="233">
        <v>75000</v>
      </c>
    </row>
    <row r="14">
      <c r="A14" s="564" t="s">
        <v>225</v>
      </c>
      <c r="B14" s="233">
        <v>230000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229</v>
      </c>
      <c r="B33" s="233">
        <v>8000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650</v>
      </c>
    </row>
    <row r="43" ht="18.75">
      <c r="A43" s="331" t="s">
        <v>239</v>
      </c>
      <c r="B43" s="233">
        <v>150</v>
      </c>
    </row>
    <row r="44" ht="18.75">
      <c r="A44" s="331" t="s">
        <v>240</v>
      </c>
      <c r="B44" s="233">
        <v>200</v>
      </c>
    </row>
    <row r="45">
      <c r="A45" s="564" t="s">
        <v>241</v>
      </c>
      <c r="B45" s="233">
        <v>4000</v>
      </c>
    </row>
    <row r="46">
      <c r="A46" s="564" t="s">
        <v>242</v>
      </c>
      <c r="B46" s="233">
        <v>3000</v>
      </c>
    </row>
    <row r="47">
      <c r="A47" s="233" t="s">
        <v>243</v>
      </c>
      <c r="B47" s="233">
        <v>150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64" t="s">
        <v>250</v>
      </c>
      <c r="B54" s="233">
        <v>1200</v>
      </c>
    </row>
    <row r="55">
      <c r="A55" s="540" t="s">
        <v>251</v>
      </c>
      <c r="B55" s="233">
        <v>21000</v>
      </c>
    </row>
    <row r="56">
      <c r="A56" s="540" t="s">
        <v>252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593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365</v>
      </c>
      <c r="O7" s="99">
        <f>AA41/K7</f>
        <v>2925.7747659743609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117030.99063897444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117030.99063897444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 (2)'!B9</f>
        <v>5</v>
      </c>
    </row>
    <row r="19" ht="18" customHeight="1">
      <c r="A19" s="639" t="s">
        <v>432</v>
      </c>
      <c r="B19" s="640"/>
      <c r="C19" s="14">
        <f>'Format Φωτισμου (2)'!B12</f>
        <v>35</v>
      </c>
    </row>
    <row r="20" ht="18" customHeight="1">
      <c r="A20" s="639" t="s">
        <v>433</v>
      </c>
      <c r="B20" s="640"/>
      <c r="C20" s="14">
        <f>C19/C18</f>
        <v>7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355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365</v>
      </c>
      <c r="O7" s="99">
        <f>AA41/K7</f>
        <v>2124.2963443004232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203932.44905284065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203932.44905284065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8" t="s">
        <v>287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8" t="s">
        <v>287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8" t="s">
        <v>287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8" t="s">
        <v>287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V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163</v>
      </c>
      <c r="T2" s="422">
        <f>IF((V14="ok"),Royal!G80,"R")</f>
        <v>272406.276043558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163</v>
      </c>
      <c r="AG2" s="61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14"/>
      <c r="AI2" s="425"/>
      <c r="AJ2" s="425"/>
      <c r="AK2" s="425"/>
      <c r="AR2" s="417"/>
      <c r="AS2" s="475" t="s">
        <v>163</v>
      </c>
      <c r="AT2" s="476">
        <f>IF((AV14="OK"),wavy1!R72,"R")</f>
        <v>74993.228289473685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100584.25045614038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6810.1569010889507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5999.4582631578951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2873.8357273182964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618" t="s">
        <v>176</v>
      </c>
      <c r="AP6" s="619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178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2.5</v>
      </c>
      <c r="AL8" s="473" t="s">
        <v>169</v>
      </c>
      <c r="AM8" s="473" t="s">
        <v>181</v>
      </c>
      <c r="AN8" s="474" t="s">
        <v>182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187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188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189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191</v>
      </c>
      <c r="T14" s="537"/>
      <c r="U14" s="500" t="s">
        <v>192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191</v>
      </c>
      <c r="AT14" s="441"/>
      <c r="AU14" s="437" t="s">
        <v>192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191</v>
      </c>
      <c r="BE14" s="495"/>
      <c r="BF14" s="500" t="s">
        <v>193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194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195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163</v>
      </c>
      <c r="T22" s="446">
        <f>Royal2!G85</f>
        <v>501646.52714556217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163</v>
      </c>
      <c r="AF22" s="595"/>
      <c r="AG22" s="596">
        <f>'شماسي و كانتليفر'!AE12</f>
        <v>26693.55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>
        <f>'بيرسا و لوفرز'!R69</f>
        <v>302627.25</v>
      </c>
      <c r="AU22" s="483"/>
      <c r="BC22" s="417"/>
      <c r="BD22" s="475" t="s">
        <v>163</v>
      </c>
      <c r="BE22" s="476">
        <f>'بيرسا و لوفرز'!R140</f>
        <v>337226.25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5225.4846577662729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15131.3625</v>
      </c>
      <c r="AU23" s="483"/>
      <c r="AV23" s="484"/>
      <c r="BC23" s="417"/>
      <c r="BD23" s="475" t="s">
        <v>127</v>
      </c>
      <c r="BE23" s="477">
        <f>BE22/(BE33*BE34/10000)</f>
        <v>16861.3125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16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166</v>
      </c>
      <c r="AW25" s="496">
        <f>AT34</f>
        <v>500</v>
      </c>
      <c r="BD25" s="429" t="s">
        <v>165</v>
      </c>
      <c r="BE25" s="430" t="s">
        <v>167</v>
      </c>
      <c r="BH25" s="496">
        <f>BE34</f>
        <v>500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170</v>
      </c>
      <c r="AH26" s="603" t="s">
        <v>198</v>
      </c>
      <c r="AI26" s="582" t="s">
        <v>173</v>
      </c>
      <c r="AJ26" s="582" t="s">
        <v>174</v>
      </c>
      <c r="AK26" s="582" t="s">
        <v>175</v>
      </c>
      <c r="AL26" s="593" t="s">
        <v>176</v>
      </c>
      <c r="AM26" s="593"/>
      <c r="AN26" s="418"/>
      <c r="AO26" s="418"/>
      <c r="AP26" s="418"/>
      <c r="AQ26" s="418"/>
      <c r="AR26" s="417"/>
      <c r="AS26" s="431" t="s">
        <v>168</v>
      </c>
      <c r="AT26" s="432" t="s">
        <v>177</v>
      </c>
      <c r="BD26" s="431" t="s">
        <v>168</v>
      </c>
      <c r="BE26" s="432" t="s">
        <v>177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179</v>
      </c>
      <c r="AH28" s="580" t="s">
        <v>199</v>
      </c>
      <c r="AI28" s="580" t="s">
        <v>169</v>
      </c>
      <c r="AJ28" s="580" t="s">
        <v>200</v>
      </c>
      <c r="AK28" s="580" t="s">
        <v>201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202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203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204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193</v>
      </c>
      <c r="BA32" s="487"/>
      <c r="BD32" s="441" t="s">
        <v>188</v>
      </c>
      <c r="BE32" s="437" t="s">
        <v>193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189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189</v>
      </c>
      <c r="AT33" s="441">
        <v>400</v>
      </c>
      <c r="BA33" s="0" t="s">
        <v>190</v>
      </c>
      <c r="BD33" s="441" t="s">
        <v>189</v>
      </c>
      <c r="BE33" s="441">
        <v>400</v>
      </c>
      <c r="BL33" s="0" t="s">
        <v>190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191</v>
      </c>
      <c r="AT34" s="441">
        <v>500</v>
      </c>
      <c r="AU34" s="489"/>
      <c r="AZ34" s="605"/>
      <c r="BA34" s="605"/>
      <c r="BB34" s="605"/>
      <c r="BD34" s="441" t="s">
        <v>191</v>
      </c>
      <c r="BE34" s="441">
        <v>500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205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190752.30000000002</v>
      </c>
      <c r="AT37" s="611"/>
      <c r="BD37" s="610">
        <f>('بيرسا و لوفرز'!F96+'بيرسا و لوفرز'!V126+'بيرسا و لوفرز'!V134)*1.35</f>
        <v>190752.30000000002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9537.6150000000016</v>
      </c>
      <c r="AT38" s="611"/>
      <c r="BD38" s="610">
        <f>BD37/(BE33*BE34/10000)</f>
        <v>9537.6150000000016</v>
      </c>
      <c r="BE38" s="611"/>
      <c r="BK38" s="496">
        <f>BE33</f>
        <v>400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206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207</v>
      </c>
      <c r="AT41" s="612"/>
      <c r="AU41" s="612"/>
      <c r="AW41" s="488"/>
      <c r="BD41" s="419" t="s">
        <v>208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209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163</v>
      </c>
      <c r="AT42" s="476">
        <f>'بيرسا و لوفرز'!BM68</f>
        <v>195225.095</v>
      </c>
      <c r="AU42" s="483"/>
      <c r="BD42" s="475" t="s">
        <v>163</v>
      </c>
      <c r="BE42" s="476">
        <f>'بيرسا و لوفرز'!BM139</f>
        <v>207022.48666666666</v>
      </c>
      <c r="BF42" s="483"/>
      <c r="BN42" s="418"/>
    </row>
    <row r="43" ht="42" customHeight="1">
      <c r="A43" s="590" t="s">
        <v>210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163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9761.25475</v>
      </c>
      <c r="AU43" s="483"/>
      <c r="AV43" s="484"/>
      <c r="BD43" s="475" t="s">
        <v>127</v>
      </c>
      <c r="BE43" s="477">
        <f>BE42/(BE53*BE54/10000)</f>
        <v>10351.124333333333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164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166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165</v>
      </c>
      <c r="T46" s="449" t="s">
        <v>166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500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211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212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213</v>
      </c>
      <c r="T52" s="462" t="s">
        <v>214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500</v>
      </c>
      <c r="BL53" s="0" t="s">
        <v>190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191</v>
      </c>
      <c r="AT54" s="441">
        <v>400</v>
      </c>
      <c r="AU54" s="489"/>
      <c r="AZ54" s="605"/>
      <c r="BA54" s="605"/>
      <c r="BB54" s="605"/>
      <c r="BD54" s="441" t="s">
        <v>191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130479.52500000001</v>
      </c>
      <c r="AT57" s="609"/>
      <c r="BD57" s="608">
        <f>('بيرسا و لوفرز'!BA85+'بيرسا و لوفرز'!BP133+'بيرسا و لوفرز'!BQ125)*1.35</f>
        <v>130479.52500000001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6523.9762500000006</v>
      </c>
      <c r="AT58" s="600"/>
      <c r="BD58" s="599">
        <f>BD57/(BE53*BE54/10000)</f>
        <v>6523.9762500000006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215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209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163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164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165</v>
      </c>
      <c r="T64" s="449" t="s">
        <v>166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211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212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213</v>
      </c>
      <c r="T70" s="462" t="s">
        <v>214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216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217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808733B-D012-4E11-9B5C-ACDB30D3FE6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5008F33-E11A-456F-9F0F-3F3777AC9E4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468B93-FE74-48EF-8799-FFF3D6534F7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222EC7-9DBF-45A5-A13C-CADB109B49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387C9B-DA55-4495-AC8D-852C2C7ED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E112E5F-68CF-4B2C-83AF-EC94887EB38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16D8CAA-4FA1-4B90-93E8-645EBDBD02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51E19BC-DE74-4C30-BEEA-F57FC8241A1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F66583-609B-4C2D-87FC-5243D48FF6A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63725BF-33B1-42F6-A101-AEA4A38312B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A770940-B062-48DE-B52E-B39B4A0C721E}">
          <x14:formula1>
            <xm:f>wavy2!$A$19:$A$20</xm:f>
          </x14:formula1>
          <xm:sqref>BE9</xm:sqref>
        </x14:dataValidation>
        <x14:dataValidation type="list" allowBlank="1" showInputMessage="1" showErrorMessage="1" xr:uid="{45262FF9-854E-43E6-93F3-E3208EBABE41}">
          <x14:formula1>
            <xm:f>wavy1!$A$19:$A$20</xm:f>
          </x14:formula1>
          <xm:sqref>AT9</xm:sqref>
        </x14:dataValidation>
        <x14:dataValidation type="list" allowBlank="1" showInputMessage="1" showErrorMessage="1" xr:uid="{07E599AD-36A5-440A-882B-E37BA38BDDF5}">
          <x14:formula1>
            <xm:f>Sheet2!$B$5:$B$7</xm:f>
          </x14:formula1>
          <xm:sqref>T25 T46 T64</xm:sqref>
        </x14:dataValidation>
        <x14:dataValidation type="list" allowBlank="1" showInputMessage="1" showErrorMessage="1" xr:uid="{37AF91D5-A724-4569-AA6A-C09A9D33CB3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F5F2974-8ABD-40B7-B758-6E39E8CC573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C518B5B-4B62-419B-9F5E-E9B3A9969C17}">
          <x14:formula1>
            <xm:f>Sheet2!$C$5:$C$6</xm:f>
          </x14:formula1>
          <xm:sqref>T26</xm:sqref>
        </x14:dataValidation>
        <x14:dataValidation type="list" allowBlank="1" showInputMessage="1" showErrorMessage="1" xr:uid="{EE292C9E-A57A-4C1D-BC19-0052B818E169}">
          <x14:formula1>
            <xm:f>Sheet2!$A$5</xm:f>
          </x14:formula1>
          <xm:sqref>U31</xm:sqref>
        </x14:dataValidation>
        <x14:dataValidation type="list" allowBlank="1" showInputMessage="1" showErrorMessage="1" xr:uid="{018CCBCC-956C-40BF-A2AD-AE5811184CE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163C899-B430-4F4E-AA5D-EAD05036C12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0425770-34D2-4241-99DC-C9C7C5EEBC2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91469F-43C1-4E3D-9273-D876B2F4A8F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ED9DEA7-40AE-4C6A-B0D5-A735DC63F69C}">
          <x14:formula1>
            <xm:f>Sheet2!$D$5:$D$6</xm:f>
          </x14:formula1>
          <xm:sqref>T32 T53 T71</xm:sqref>
        </x14:dataValidation>
        <x14:dataValidation type="list" allowBlank="1" showInputMessage="1" showErrorMessage="1" xr:uid="{8CB66D3C-35F9-4177-BAFA-4FD8DA5D5DD4}">
          <x14:formula1>
            <xm:f>Sheet2!$A$6</xm:f>
          </x14:formula1>
          <xm:sqref>AC36</xm:sqref>
        </x14:dataValidation>
        <x14:dataValidation type="list" allowBlank="1" showInputMessage="1" showErrorMessage="1" xr:uid="{174EE134-DBB5-4C3B-A80D-07784829ACB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45327.436578275461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0.024338646290733245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0.05856486763707687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0.030065386594435185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0.1129689005222453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0.0038178268691346265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0.0035792126898137127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0.0016225764193822164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0.00035792126898137128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0.0014316850759254851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0.0004295055227776455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0.023861417932091417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0.00019089134345673134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0.014316850759254851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0.0028633701518509702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0.052471258032669027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0.00035792126898137128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0.00035792126898137128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0.00059653544830228541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0.0035792126898137127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0.00095445671728365664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0.0048494355043987129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0.0016615082065345762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0.013429206012181052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0.026218926023782053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0.0520051231402588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230</v>
      </c>
      <c r="J53" s="414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0.0076833765741334365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0.015509921655859422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4860</v>
      </c>
      <c r="L55" s="244">
        <f>Table1610[[#Totals],[اجمالي]]/$G$79</f>
        <v>0.023193298229992859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2925.7747659743609</v>
      </c>
      <c r="I58" s="247"/>
      <c r="J58" s="414">
        <f>IF((Table1611[[#This Row],[عدد]]&gt;0),'Cutting Ro-1'!O8,0)</f>
        <v>117030.99063897444</v>
      </c>
      <c r="K58" s="240">
        <f>B58*Table1611[[#This Row],[سعر البرجولا كاملة]]</f>
        <v>117030.99063897444</v>
      </c>
      <c r="L58" s="241">
        <f>(K58)/$G$79</f>
        <v>0.55850507572864949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117030.99063897444</v>
      </c>
      <c r="K59" s="240">
        <f>B59*Table1611[[#This Row],[سعر البرجولا كاملة]]</f>
        <v>11703.099063897445</v>
      </c>
      <c r="L59" s="241">
        <f>(K59)/$G$79</f>
        <v>0.055850507572864957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128734.08970287189</v>
      </c>
      <c r="L60" s="244">
        <f>Table1611[[#Totals],[اجمالي]]/$G$79</f>
        <v>0.61435558330151452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0.0038178268691346265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0.0028633701518509702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0.0057267403037019405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0.0042950552277764547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0.018611905987031305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0.013958929490273478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0.018611905987031305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0.012598828668144269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0.019089134345673133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0.014316850759254851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0.021952504497524103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0.009162784485923104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0.14500583677331955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209543.2892642754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272406.276043558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0FDA02-85C3-430F-8677-502907368EA6}">
      <formula1>$N$2:$N$20</formula1>
    </dataValidation>
    <dataValidation type="list" allowBlank="1" showInputMessage="1" showErrorMessage="1" sqref="G63:G75" xr:uid="{ED9A08E9-C66B-4712-B881-C910B89C9C4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45327.436578298613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0.00826029838894432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0.07269062582271002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0.016472006787365438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0.021768315754394443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0.11919124675341422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0.0031097593934849206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0.0025914661612374337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0.0011013731185259093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0.00058307988627842252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0.0024878075147879365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0.00031097593934849207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0.031097593934849205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0.00010365864644949734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0.00233231954511369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0.0437180341400755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0.021768315754394443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0.00932927818045476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0.031097593934849205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0.0050533590144129954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0.00046646390902273807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0.00019435996209280754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0.00019435996209280754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0.00064786654030935843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0.0019435996209280753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0.00051829323224748672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0.018140263128662036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0.023323195451136904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0.0020731729289899469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0.0020731729289899469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0.054628106678885104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230</v>
      </c>
      <c r="J54" s="414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0.0052153256494903355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0.084222650240216593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34512.5</v>
      </c>
      <c r="L56" s="241">
        <f>Table161027[[#Totals],[اجمالي]]/$G$84</f>
        <v>0.089437975889706936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2124.2963443004232</v>
      </c>
      <c r="I59" s="247"/>
      <c r="J59" s="414">
        <f>IF((Table161128[[#This Row],[عدد]]&gt;0),'Cutting Ro-2'!O8,0)</f>
        <v>203932.44905284065</v>
      </c>
      <c r="K59" s="240">
        <f>Table161128[[#This Row],[عدد]]*Table161128[[#This Row],[سعر البرجولا كاملة]]</f>
        <v>203932.44905284065</v>
      </c>
      <c r="L59" s="241">
        <f>(K59)/$G$84</f>
        <v>0.52848404089871348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203932.44905284065</v>
      </c>
      <c r="K60" s="240">
        <f>Table161128[[#This Row],[عدد]]*Table161128[[#This Row],[سعر البرجولا كاملة]]</f>
        <v>20393.244905284068</v>
      </c>
      <c r="L60" s="241">
        <f>(K60)/$G$84</f>
        <v>0.052848404089871355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224325.69395812473</v>
      </c>
      <c r="L61" s="244">
        <f>Table161128[[#Totals],[اجمالي]]/$G$84</f>
        <v>0.58133244498858483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0.0031097593934849206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0.0015548796967424603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0.00466463909022738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0.0031097593934849206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0.010106718028825991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0.010106718028825991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0.010106718028825991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0.0068414706656668252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0.011661597725568452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0.0077743984837123012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0.0059603721708460971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0.0055975669082728571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0.08059459761448419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385881.94395812473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501646.52714556217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30B2883-37AB-455C-829E-5B017F1846A5}">
      <formula1>$U$4:$U$5</formula1>
    </dataValidation>
    <dataValidation type="list" allowBlank="1" showInputMessage="1" showErrorMessage="1" sqref="F72:F80" xr:uid="{60D9B639-6FEC-484E-A0E2-71154C2C4D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45327.436578333334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5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0.0331529933663221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0.0926333638176647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0.12578635718398679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0.0069339593968778248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0.0029469327436730756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0.0013001173869145921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0.0020801878190633474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1752.1</v>
      </c>
      <c r="F15" s="398">
        <f>SUBTOTAL(109,Table8[اجمالي التكلفة])</f>
        <v>21901.25</v>
      </c>
      <c r="G15" s="397"/>
      <c r="H15" s="397"/>
      <c r="I15" s="397"/>
      <c r="J15" s="397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0.034669796984389128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0.047930994330917964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0.00078007043214875537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0.00078007043214875537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0.00043337246230486405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0.0026002347738291842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0.0013867918793755651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0.003284507082731601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0.030336072361340484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0.039003521607437766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0.01386791879375565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0.01386791879375565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0.10634047861882828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21901.25</v>
      </c>
      <c r="V50" s="240">
        <f>M50*Table161368[[#This Row],[سعر الشبك ]]</f>
        <v>21901.25</v>
      </c>
      <c r="W50" s="241">
        <f t="shared" si="6" ca="1"/>
        <v>0.37965594560217619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21901.25</v>
      </c>
      <c r="V51" s="240">
        <f>M51*Table161368[[#This Row],[سعر الشبك ]]</f>
        <v>2190.125</v>
      </c>
      <c r="W51" s="241">
        <f t="shared" si="6" ca="1"/>
        <v>0.037965594560217614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24091.375</v>
      </c>
      <c r="W52" s="244">
        <f>Table161368[[#Totals],[اجمالي]]/$R$71</f>
        <v>0.41762154016239378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0.0069339593968778248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0.0069339593968778248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0.010400939095316737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0.010400939095316737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0.04507073607970586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0.0338030520597794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0.02253536803985293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0.045764132019393645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0.030336072361340484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0.079740533064094982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0.010400939095316737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0.30232062970387319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57687.098684210527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74993.228289473685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8BB94D1-124D-4CE1-A400-68F9B63411C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45327.436578483794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13</v>
      </c>
      <c r="F4" s="395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0.11050437766941139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0.11050437766941139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0.00516979544652217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0.0021971630647719224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0.0009693366462229069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0.0062037545358266041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1106.0142857142857</v>
      </c>
      <c r="F17" s="398">
        <f>SUBTOTAL(109,Table823[اجمالي التكلفة])</f>
        <v>38710.5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0.014540049693343604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0.027141426094241392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0.011632039754674884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0.038773465848916278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0.00317834715889311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0.00058160198773374414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0.00058160198773374414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0.0009693366462229069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0.0058160198773374418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0.001550938633956651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0.0024488504746683964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0.03980742493822071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0.045235710157068988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0.058160198773374416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0.0018776697061768527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0.0018776697061768527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0.16208537004756382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38710.5</v>
      </c>
      <c r="V50" s="240">
        <f>M50*Table16136845[[#This Row],[سعر الشبك ]]</f>
        <v>38710.5</v>
      </c>
      <c r="W50" s="241">
        <f t="shared" si="6"/>
        <v>0.5003134165814912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38710.5</v>
      </c>
      <c r="V51" s="240">
        <f>M51*Table16136845[[#This Row],[سعر الشبك ]]</f>
        <v>3871.05</v>
      </c>
      <c r="W51" s="241">
        <f t="shared" si="6"/>
        <v>0.050031341658149119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42581.55</v>
      </c>
      <c r="W52" s="244">
        <f>Table16136845[[#Totals],[اجمالي]]/$R$71</f>
        <v>0.55034475823964035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0.010339590893044341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0.010339590893044341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0.00516979544652217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0.0077546931697832552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0.016801835201197053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0.01260137640089779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0.031018772679133021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0.029726323817502478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0.12375197850112445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77372.5003508772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100584.25045614038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B9457AB-A060-47D8-A44B-2AC51760746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475</v>
      </c>
      <c r="B2" s="323" t="s">
        <v>198</v>
      </c>
      <c r="C2" s="323" t="s">
        <v>476</v>
      </c>
      <c r="E2" s="324" t="s">
        <v>9</v>
      </c>
      <c r="F2" s="323" t="s">
        <v>30</v>
      </c>
      <c r="H2" s="329" t="s">
        <v>9</v>
      </c>
      <c r="I2" s="364" t="s">
        <v>477</v>
      </c>
      <c r="J2" s="365" t="s">
        <v>478</v>
      </c>
      <c r="K2" s="366" t="s">
        <v>479</v>
      </c>
      <c r="M2" s="367" t="s">
        <v>480</v>
      </c>
      <c r="N2" s="367" t="s">
        <v>481</v>
      </c>
      <c r="O2" s="0" t="s">
        <v>9</v>
      </c>
      <c r="P2" s="368"/>
      <c r="R2" s="343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8"/>
    </row>
    <row r="3" ht="26.25">
      <c r="A3" s="330" t="s">
        <v>482</v>
      </c>
      <c r="B3" s="331">
        <v>2.5</v>
      </c>
      <c r="C3" s="331">
        <v>13</v>
      </c>
      <c r="E3" s="331" t="s">
        <v>181</v>
      </c>
      <c r="F3" s="331">
        <f>Sheet2!B42</f>
        <v>650</v>
      </c>
      <c r="H3" s="332" t="s">
        <v>483</v>
      </c>
      <c r="I3" s="369">
        <v>2</v>
      </c>
      <c r="J3" s="370">
        <v>75</v>
      </c>
      <c r="K3" s="371">
        <f ref="K3:K10" t="shared" si="0">I3*J3</f>
        <v>150</v>
      </c>
      <c r="M3" s="372" t="s">
        <v>484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5</v>
      </c>
      <c r="O3" s="372" t="e">
        <f>IF((N6&gt;0),"OK","WAIT")</f>
        <v>#VALUE!</v>
      </c>
      <c r="P3" s="368"/>
      <c r="R3" s="343"/>
      <c r="S3" s="386" t="s">
        <v>450</v>
      </c>
      <c r="T3" s="331">
        <v>17</v>
      </c>
      <c r="U3" s="323"/>
      <c r="V3" s="331" t="s">
        <v>181</v>
      </c>
      <c r="W3" s="331">
        <f>Sheet2!B42</f>
        <v>650</v>
      </c>
      <c r="X3" s="323"/>
      <c r="Y3" s="342" t="s">
        <v>485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484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482</v>
      </c>
      <c r="B4" s="331">
        <v>2.7</v>
      </c>
      <c r="C4" s="331" t="s">
        <v>486</v>
      </c>
      <c r="E4" s="331" t="s">
        <v>487</v>
      </c>
      <c r="F4" s="331">
        <f>Sheet2!B43</f>
        <v>150</v>
      </c>
      <c r="H4" s="332" t="s">
        <v>488</v>
      </c>
      <c r="I4" s="369">
        <v>2</v>
      </c>
      <c r="J4" s="370">
        <v>7</v>
      </c>
      <c r="K4" s="371">
        <f t="shared" si="0"/>
        <v>14</v>
      </c>
      <c r="M4" s="372" t="s">
        <v>489</v>
      </c>
      <c r="N4" s="372" t="str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v</v>
      </c>
      <c r="O4" s="372" t="str">
        <f>IF((N10=0),"WAIT","OK")</f>
        <v>OK</v>
      </c>
      <c r="P4" s="368"/>
      <c r="R4" s="343"/>
      <c r="S4" s="386" t="s">
        <v>199</v>
      </c>
      <c r="T4" s="331">
        <v>18.75</v>
      </c>
      <c r="U4" s="323"/>
      <c r="V4" s="331" t="s">
        <v>487</v>
      </c>
      <c r="W4" s="331">
        <f>Sheet2!B43</f>
        <v>150</v>
      </c>
      <c r="X4" s="323"/>
      <c r="Y4" s="342" t="s">
        <v>488</v>
      </c>
      <c r="Z4" s="378">
        <v>2</v>
      </c>
      <c r="AA4" s="331">
        <v>15</v>
      </c>
      <c r="AB4" s="331">
        <f t="shared" si="1"/>
        <v>30</v>
      </c>
      <c r="AD4" s="391" t="s">
        <v>489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482</v>
      </c>
      <c r="B5" s="331">
        <v>3</v>
      </c>
      <c r="C5" s="331">
        <v>14.5</v>
      </c>
      <c r="E5" s="331" t="s">
        <v>200</v>
      </c>
      <c r="F5" s="331">
        <f>Sheet2!B44</f>
        <v>200</v>
      </c>
      <c r="H5" s="332" t="s">
        <v>490</v>
      </c>
      <c r="I5" s="369">
        <v>16</v>
      </c>
      <c r="J5" s="370">
        <v>10</v>
      </c>
      <c r="K5" s="371">
        <f t="shared" si="0"/>
        <v>160</v>
      </c>
      <c r="M5" s="372" t="s">
        <v>491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8"/>
      <c r="R5" s="343"/>
      <c r="S5" s="331"/>
      <c r="T5" s="331"/>
      <c r="U5" s="323"/>
      <c r="V5" s="331" t="s">
        <v>200</v>
      </c>
      <c r="W5" s="331">
        <f>Sheet2!B44</f>
        <v>200</v>
      </c>
      <c r="X5" s="323"/>
      <c r="Y5" s="342" t="s">
        <v>492</v>
      </c>
      <c r="Z5" s="378">
        <v>1</v>
      </c>
      <c r="AA5" s="331">
        <v>150</v>
      </c>
      <c r="AB5" s="331">
        <f t="shared" si="1"/>
        <v>150</v>
      </c>
      <c r="AD5" s="391" t="s">
        <v>491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482</v>
      </c>
      <c r="B6" s="331">
        <v>3.5</v>
      </c>
      <c r="C6" s="331" t="s">
        <v>486</v>
      </c>
      <c r="E6" s="331" t="s">
        <v>493</v>
      </c>
      <c r="F6" s="331">
        <v>250</v>
      </c>
      <c r="H6" s="332" t="s">
        <v>494</v>
      </c>
      <c r="I6" s="369">
        <v>16</v>
      </c>
      <c r="J6" s="370">
        <v>1</v>
      </c>
      <c r="K6" s="371">
        <f t="shared" si="0"/>
        <v>16</v>
      </c>
      <c r="M6" s="372" t="s">
        <v>495</v>
      </c>
      <c r="N6" s="372" t="e">
        <f>(N5+'شماسي و كانتليفر'!F10)*(N4)</f>
        <v>#VALUE!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496</v>
      </c>
      <c r="W6" s="331">
        <v>250</v>
      </c>
      <c r="X6" s="323"/>
      <c r="Y6" s="342" t="s">
        <v>497</v>
      </c>
      <c r="Z6" s="378">
        <v>1</v>
      </c>
      <c r="AA6" s="331">
        <v>150</v>
      </c>
      <c r="AB6" s="331">
        <f t="shared" si="1"/>
        <v>150</v>
      </c>
      <c r="AD6" s="391" t="s">
        <v>495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91"/>
      <c r="AG6" s="368"/>
    </row>
    <row r="7" ht="18.75">
      <c r="A7" s="330" t="s">
        <v>180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498</v>
      </c>
      <c r="I7" s="369">
        <v>2</v>
      </c>
      <c r="J7" s="370">
        <v>100</v>
      </c>
      <c r="K7" s="371">
        <f t="shared" si="0"/>
        <v>200</v>
      </c>
      <c r="M7" s="372" t="s">
        <v>499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500</v>
      </c>
      <c r="Z7" s="378">
        <v>1</v>
      </c>
      <c r="AA7" s="331">
        <v>150</v>
      </c>
      <c r="AB7" s="331">
        <f t="shared" si="1"/>
        <v>150</v>
      </c>
      <c r="AD7" s="391" t="s">
        <v>499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 t="s">
        <v>486</v>
      </c>
      <c r="E8" s="331" t="s">
        <v>177</v>
      </c>
      <c r="F8" s="331">
        <f>Table626[[#This Row],[Column2]]</f>
        <v>50</v>
      </c>
      <c r="H8" s="332" t="s">
        <v>501</v>
      </c>
      <c r="I8" s="369">
        <v>2</v>
      </c>
      <c r="J8" s="370">
        <v>20</v>
      </c>
      <c r="K8" s="371">
        <f t="shared" si="0"/>
        <v>40</v>
      </c>
      <c r="M8" s="372" t="s">
        <v>502</v>
      </c>
      <c r="N8" s="372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503</v>
      </c>
      <c r="Z8" s="378">
        <v>2</v>
      </c>
      <c r="AA8" s="331">
        <v>50</v>
      </c>
      <c r="AB8" s="331">
        <f t="shared" si="1"/>
        <v>100</v>
      </c>
      <c r="AD8" s="391" t="s">
        <v>502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14.5</v>
      </c>
      <c r="E9" s="331" t="s">
        <v>169</v>
      </c>
      <c r="F9" s="331">
        <f>Table626[[#This Row],[Column2]]</f>
        <v>20</v>
      </c>
      <c r="H9" s="332" t="s">
        <v>504</v>
      </c>
      <c r="I9" s="369">
        <v>7</v>
      </c>
      <c r="J9" s="370">
        <v>8</v>
      </c>
      <c r="K9" s="371">
        <f t="shared" si="0"/>
        <v>56</v>
      </c>
      <c r="M9" s="372" t="s">
        <v>505</v>
      </c>
      <c r="N9" s="372" t="e">
        <f>IF((تسعير!AM8="اسباني"),(N7*N8),IF((تسعير!AM8="بولي استر"),(N7*N8*1.42),IF((تسعير!AM8="hdpe"),(N7*N8*1.5),IF((تسعير!AM8="بدون"),(0),IF((تسعير!AM8="مصري "),(N7*N8*1.4),"v")))))</f>
        <v>#VALUE!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506</v>
      </c>
      <c r="Z9" s="378">
        <v>36</v>
      </c>
      <c r="AA9" s="331">
        <v>25</v>
      </c>
      <c r="AB9" s="331">
        <f t="shared" si="1"/>
        <v>900</v>
      </c>
      <c r="AD9" s="391" t="s">
        <v>505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17.5</v>
      </c>
      <c r="E10" s="331" t="s">
        <v>225</v>
      </c>
      <c r="F10" s="331">
        <f>W11</f>
        <v>230</v>
      </c>
      <c r="H10" s="332" t="s">
        <v>507</v>
      </c>
      <c r="I10" s="369">
        <v>8</v>
      </c>
      <c r="J10" s="370">
        <v>50</v>
      </c>
      <c r="K10" s="371">
        <f t="shared" si="0"/>
        <v>400</v>
      </c>
      <c r="M10" s="372" t="s">
        <v>508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509</v>
      </c>
      <c r="W10" s="331">
        <v>90</v>
      </c>
      <c r="X10" s="323"/>
      <c r="Y10" s="342" t="s">
        <v>510</v>
      </c>
      <c r="Z10" s="378">
        <v>1</v>
      </c>
      <c r="AA10" s="331">
        <v>75</v>
      </c>
      <c r="AB10" s="331">
        <f t="shared" si="1"/>
        <v>75</v>
      </c>
      <c r="AD10" s="391" t="s">
        <v>508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511</v>
      </c>
      <c r="F11" s="334">
        <v>450</v>
      </c>
      <c r="H11" s="335" t="s">
        <v>512</v>
      </c>
      <c r="I11" s="373"/>
      <c r="J11" s="374"/>
      <c r="K11" s="375">
        <v>250</v>
      </c>
      <c r="M11" s="372" t="s">
        <v>513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225</v>
      </c>
      <c r="W11" s="331">
        <f>Sheet2!B14/1000</f>
        <v>230</v>
      </c>
      <c r="X11" s="323"/>
      <c r="Y11" s="342" t="s">
        <v>514</v>
      </c>
      <c r="Z11" s="378">
        <v>1</v>
      </c>
      <c r="AA11" s="331">
        <v>75</v>
      </c>
      <c r="AB11" s="331">
        <f t="shared" si="1"/>
        <v>75</v>
      </c>
      <c r="AD11" s="391" t="s">
        <v>513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515</v>
      </c>
      <c r="F12" s="337">
        <v>450</v>
      </c>
      <c r="H12" s="338" t="s">
        <v>516</v>
      </c>
      <c r="I12" s="369"/>
      <c r="J12" s="370"/>
      <c r="K12" s="376">
        <f>Sheet2!B46</f>
        <v>3000</v>
      </c>
      <c r="M12" s="372" t="s">
        <v>517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511</v>
      </c>
      <c r="W12" s="331">
        <v>500</v>
      </c>
      <c r="X12" s="323"/>
      <c r="Y12" s="391" t="s">
        <v>516</v>
      </c>
      <c r="Z12" s="378"/>
      <c r="AA12" s="331"/>
      <c r="AB12" s="217">
        <f>Sheet2!B45</f>
        <v>4000</v>
      </c>
      <c r="AD12" s="391" t="s">
        <v>518</v>
      </c>
      <c r="AE12" s="391">
        <f>IF(تسعير!AG28="نصف جملة",((AE6+AE9+AE10+AE11+تسعير!AL28)*1.25),IF(تسعير!AG28="جملة",(((AE6+AE9+AE10+AE11+تسعير!AL28)*1.275)),((AE6+AE9+AE10+AE11+تسعير!AL28)*1.3)))</f>
        <v>26693.55</v>
      </c>
      <c r="AF12" s="391"/>
      <c r="AG12" s="368"/>
    </row>
    <row r="13" ht="18.75">
      <c r="A13" s="328"/>
      <c r="E13" s="339" t="s">
        <v>519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518</v>
      </c>
      <c r="N13" s="372" t="e">
        <f>IF(تسعير!AI8="نصف جملة",((N6+N9+N10+N11+تسعير!AO8)*1.275),IF(تسعير!AI8="جملة",(((N6+N9+N10+N11+تسعير!AO8)*1.25)),((N6+N9+N10+N11+تسعير!AO8)*1.3)))</f>
        <v>#VALUE!</v>
      </c>
      <c r="O13" s="372"/>
      <c r="P13" s="368"/>
      <c r="R13" s="343"/>
      <c r="S13" s="323"/>
      <c r="T13" s="323"/>
      <c r="U13" s="323"/>
      <c r="V13" s="331" t="s">
        <v>515</v>
      </c>
      <c r="W13" s="331">
        <v>500</v>
      </c>
      <c r="X13" s="323"/>
      <c r="Y13" s="342" t="s">
        <v>520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519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182</v>
      </c>
      <c r="H17" s="331" t="s">
        <v>525</v>
      </c>
      <c r="I17" s="331">
        <v>5.65</v>
      </c>
      <c r="J17" s="331" t="s">
        <v>486</v>
      </c>
      <c r="K17" s="331" t="s">
        <v>486</v>
      </c>
      <c r="P17" s="368"/>
      <c r="R17" s="343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8"/>
    </row>
    <row r="18" ht="18.75">
      <c r="A18" s="343"/>
      <c r="E18" s="324" t="s">
        <v>526</v>
      </c>
      <c r="F18" s="323" t="s">
        <v>214</v>
      </c>
      <c r="H18" s="331" t="s">
        <v>527</v>
      </c>
      <c r="I18" s="331" t="s">
        <v>486</v>
      </c>
      <c r="J18" s="331" t="s">
        <v>486</v>
      </c>
      <c r="K18" s="331" t="s">
        <v>486</v>
      </c>
      <c r="P18" s="368"/>
      <c r="R18" s="343"/>
      <c r="V18" s="331" t="s">
        <v>179</v>
      </c>
      <c r="W18" s="342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486</v>
      </c>
      <c r="K19" s="331" t="s">
        <v>486</v>
      </c>
      <c r="P19" s="368"/>
      <c r="R19" s="343"/>
      <c r="V19" s="331" t="s">
        <v>526</v>
      </c>
      <c r="W19" s="342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530</v>
      </c>
      <c r="H20" s="331" t="s">
        <v>531</v>
      </c>
      <c r="I20" s="331" t="s">
        <v>486</v>
      </c>
      <c r="J20" s="331" t="s">
        <v>486</v>
      </c>
      <c r="K20" s="331" t="s">
        <v>486</v>
      </c>
      <c r="P20" s="368"/>
      <c r="R20" s="343"/>
      <c r="V20" s="331"/>
      <c r="W20" s="342" t="s">
        <v>201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532</v>
      </c>
      <c r="I21" s="331" t="s">
        <v>486</v>
      </c>
      <c r="J21" s="331" t="s">
        <v>486</v>
      </c>
      <c r="K21" s="331" t="s">
        <v>486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533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534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476</v>
      </c>
      <c r="C27" s="348" t="s">
        <v>29</v>
      </c>
      <c r="D27" s="348" t="s">
        <v>535</v>
      </c>
      <c r="E27" s="349" t="s">
        <v>448</v>
      </c>
      <c r="F27" s="348" t="s">
        <v>536</v>
      </c>
      <c r="G27" s="348" t="s">
        <v>442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537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538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539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541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542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545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546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547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549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550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551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552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553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476</v>
      </c>
      <c r="C60" s="348" t="s">
        <v>29</v>
      </c>
      <c r="D60" s="348" t="s">
        <v>535</v>
      </c>
      <c r="E60" s="349" t="s">
        <v>448</v>
      </c>
      <c r="F60" s="348" t="s">
        <v>536</v>
      </c>
      <c r="G60" s="348" t="s">
        <v>442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537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538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539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541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554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545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546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547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550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549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551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552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553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A96F7F5-D8FC-4701-AC1D-1317BE5C18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555</v>
      </c>
      <c r="B1" s="548">
        <f>(F1*D1)/10000</f>
        <v>20</v>
      </c>
      <c r="C1" s="549" t="s">
        <v>425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173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557</v>
      </c>
      <c r="D2" s="553" t="s">
        <v>30</v>
      </c>
      <c r="E2" s="553" t="s">
        <v>558</v>
      </c>
      <c r="F2" s="553" t="s">
        <v>559</v>
      </c>
      <c r="G2" s="543"/>
      <c r="H2" s="554" t="s">
        <v>560</v>
      </c>
      <c r="I2" s="554"/>
      <c r="J2" s="554" t="s">
        <v>561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562</v>
      </c>
      <c r="B3" s="555">
        <f>ROUNDUP((12+((ROUNDUP((D1-210),15))/15)),0)</f>
        <v>32</v>
      </c>
      <c r="C3" s="556">
        <f>F1-16.5</f>
        <v>383.5</v>
      </c>
      <c r="D3" s="553" t="s">
        <v>563</v>
      </c>
      <c r="E3" s="553">
        <v>2.3</v>
      </c>
      <c r="F3" s="553">
        <f>IF(($H$1="سادة"),(J3*H3*E3*($U$2+12000)/1000),(J3*H3*E3*($U$2+40000)/1000))</f>
        <v>79488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45327.436578541667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45327.436578541667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564</v>
      </c>
      <c r="B4" s="553">
        <v>2</v>
      </c>
      <c r="C4" s="555">
        <f>F1</f>
        <v>400</v>
      </c>
      <c r="D4" s="553" t="s">
        <v>563</v>
      </c>
      <c r="E4" s="553">
        <v>3.8</v>
      </c>
      <c r="F4" s="553">
        <f ref="F4:F8" t="shared" si="2">IF(($H$1="سادة"),(J4*H4*E4*($U$2+12000)/1000),(J4*H4*E4*($U$2+40000)/1000))</f>
        <v>10260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4760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52" t="s">
        <v>566</v>
      </c>
      <c r="B5" s="553">
        <v>2</v>
      </c>
      <c r="C5" s="555">
        <f>D1</f>
        <v>500</v>
      </c>
      <c r="D5" s="553" t="s">
        <v>563</v>
      </c>
      <c r="E5" s="553">
        <v>3.8</v>
      </c>
      <c r="F5" s="553">
        <f t="shared" si="2"/>
        <v>10260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4760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568</v>
      </c>
      <c r="B6" s="553">
        <v>2</v>
      </c>
      <c r="C6" s="555">
        <f>F1</f>
        <v>400</v>
      </c>
      <c r="D6" s="553" t="s">
        <v>563</v>
      </c>
      <c r="E6" s="553">
        <v>1.7</v>
      </c>
      <c r="F6" s="553">
        <f t="shared" si="2"/>
        <v>4590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0.042378867071620287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0.021189433535810143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572</v>
      </c>
      <c r="B7" s="553">
        <v>2</v>
      </c>
      <c r="C7" s="555">
        <f>D1</f>
        <v>500</v>
      </c>
      <c r="D7" s="553" t="s">
        <v>563</v>
      </c>
      <c r="E7" s="553">
        <v>1.7</v>
      </c>
      <c r="F7" s="553">
        <f t="shared" si="2"/>
        <v>4590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0.05501817830350704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575</v>
      </c>
      <c r="B8" s="553">
        <v>2</v>
      </c>
      <c r="C8" s="553">
        <f>C3</f>
        <v>383.5</v>
      </c>
      <c r="D8" s="553" t="s">
        <v>563</v>
      </c>
      <c r="E8" s="553">
        <v>0.65</v>
      </c>
      <c r="F8" s="553">
        <f t="shared" si="2"/>
        <v>1404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0.0074348889599333834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570</v>
      </c>
      <c r="B9" s="553">
        <v>2</v>
      </c>
      <c r="C9" s="553">
        <f>(15.6*(B3-1)+4)</f>
        <v>487.59999999999997</v>
      </c>
      <c r="D9" s="553" t="s">
        <v>563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574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577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0.042378867071620287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0.083642500799250563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578</v>
      </c>
      <c r="B12" s="553">
        <v>1</v>
      </c>
      <c r="C12" s="555">
        <v>100</v>
      </c>
      <c r="D12" s="553" t="s">
        <v>563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583</v>
      </c>
      <c r="B13" s="553"/>
      <c r="C13" s="553">
        <v>4</v>
      </c>
      <c r="D13" s="553" t="s">
        <v>370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584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0.0039652741119644711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5128.2825</v>
      </c>
      <c r="AX14" s="194"/>
      <c r="AY14" s="194"/>
      <c r="AZ14" s="194"/>
      <c r="BA14" s="194">
        <f>SUBTOTAL(109,Table8091[price])</f>
        <v>93241.5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0.0039652741119644711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581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0.00084262074879245012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0.00084262074879245012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582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0.00037174444799666919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0.00037174444799666919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585</v>
      </c>
      <c r="B17" s="553">
        <v>2</v>
      </c>
      <c r="C17" s="553"/>
      <c r="D17" s="553" t="s">
        <v>563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0.0023791644671786825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586</v>
      </c>
      <c r="B18" s="553"/>
      <c r="C18" s="553">
        <f>ROUNDUP(((C3*B3)/100),0)</f>
        <v>123</v>
      </c>
      <c r="D18" s="553" t="s">
        <v>563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587</v>
      </c>
      <c r="B19" s="553" t="s">
        <v>588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0.00517963930875359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0.0075588037759322735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589</v>
      </c>
      <c r="B20" s="553" t="s">
        <v>590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591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0.00892186675192006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0.00892186675192006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7595.3900000000012</v>
      </c>
      <c r="C23" s="563"/>
      <c r="D23" s="563"/>
      <c r="E23" s="563"/>
      <c r="F23" s="563">
        <f>SUBTOTAL(109,Table80102114[price])</f>
        <v>138098</v>
      </c>
      <c r="G23" s="543"/>
      <c r="H23" s="543"/>
      <c r="I23" s="543"/>
      <c r="J23" s="543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0.005204422271953368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0.005204422271953368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0.0022304666879800149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0.0022304666879800149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0.016356755711853445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0.016356755711853445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0.0024485567641380612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0.0036406172940473807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0.00029739555839733531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0.00026765600255760182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0.00029739555839733531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0.00026765600255760182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0.00019826370559822355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0.00012391481599888972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0.00074348889599333838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0.00074348889599333838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0.0003965274111964471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0.0003965274111964471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0.00832707563512539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0.011449728998297411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0.002676560025576018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0.0031226533631720211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0.010161014911908958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0.014225420876672541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0.013283668275080979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0.034237663660493231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0.038829946741412082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93241.5</v>
      </c>
      <c r="BQ46" s="252">
        <f>BH46*Table1613687787[[#This Row],[سعر الشبك ]]</f>
        <v>93241.5</v>
      </c>
      <c r="BR46" s="241">
        <f>(BQ46)/$R$68</f>
        <v>0.46216013263841904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138098</v>
      </c>
      <c r="V47" s="252">
        <f>M47*Table16136877[[#This Row],[سعر الشبك ]]</f>
        <v>138098</v>
      </c>
      <c r="W47" s="241">
        <f>(V47)/$R$68</f>
        <v>0.68449553039258693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93241.5</v>
      </c>
      <c r="BQ47" s="240">
        <f>BH47*Table1613687787[[#This Row],[سعر الشبك ]]</f>
        <v>9324.15</v>
      </c>
      <c r="BR47" s="241">
        <f>(BQ47)/$R$68</f>
        <v>0.0462160132638419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138098</v>
      </c>
      <c r="V48" s="240">
        <f>M48*Table16136877[[#This Row],[سعر الشبك ]]</f>
        <v>34524.5</v>
      </c>
      <c r="W48" s="241">
        <f>(V48)/$R$68</f>
        <v>0.17112388259814673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102565.65</v>
      </c>
      <c r="BR48" s="244">
        <f>Table1613687787[[#Totals],[اجمالي]]/$R$68</f>
        <v>0.50837614590226088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172622.5</v>
      </c>
      <c r="W49" s="244">
        <f>Table16136877[[#Totals],[اجمالي]]/$R$68</f>
        <v>0.85561941299073363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0.001833939276783568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0.0019826370559822355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0.001833939276783568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0.0019826370559822355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0.005501817830350704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0.0059479111679467071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0.01229234974708986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0.0079305482239289422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0.0092192623103173957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0.0059479111679467071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0.01229234974708986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0.0079305482239289422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0.013085404569482755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0.011152333439900075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0.022800326143795711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0.0099131852799111773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0.0041635378175626948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0.094175260159156185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0.041635378175626944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150173.15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201751.5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195225.095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302627.25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592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75000</v>
      </c>
      <c r="U73" s="303">
        <f>Sheet2!B14</f>
        <v>230000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45327.436578657405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555</v>
      </c>
      <c r="B74" s="548">
        <f>(F74*D74)/10000</f>
        <v>20</v>
      </c>
      <c r="C74" s="549" t="s">
        <v>425</v>
      </c>
      <c r="D74" s="550">
        <f>تسعير!BE34</f>
        <v>500</v>
      </c>
      <c r="E74" s="549" t="s">
        <v>125</v>
      </c>
      <c r="F74" s="550">
        <f>تسعير!BE33</f>
        <v>400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45327.436578657405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557</v>
      </c>
      <c r="D75" s="553" t="s">
        <v>30</v>
      </c>
      <c r="E75" s="553" t="s">
        <v>558</v>
      </c>
      <c r="F75" s="553" t="s">
        <v>559</v>
      </c>
      <c r="G75" s="543"/>
      <c r="H75" s="554" t="s">
        <v>560</v>
      </c>
      <c r="I75" s="554"/>
      <c r="J75" s="554" t="s">
        <v>561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562</v>
      </c>
      <c r="B76" s="555">
        <f>ROUNDUP((12+((ROUNDUP((D74-210),15))/15)),0)</f>
        <v>32</v>
      </c>
      <c r="C76" s="556">
        <f>F74-16.5</f>
        <v>383.5</v>
      </c>
      <c r="D76" s="553" t="s">
        <v>563</v>
      </c>
      <c r="E76" s="553">
        <v>2.3</v>
      </c>
      <c r="F76" s="553">
        <f ref="F76:F81" t="shared" si="21">IF(($H$74="سادة"),(J76*H76*E76*($U$73+12000)/1000),(J76*H76*E76*($U$73+40000)/1000))</f>
        <v>79488</v>
      </c>
      <c r="G76" s="543"/>
      <c r="H76" s="554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7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0.062453067263440423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564</v>
      </c>
      <c r="B77" s="553">
        <v>2</v>
      </c>
      <c r="C77" s="555">
        <f>F74</f>
        <v>400</v>
      </c>
      <c r="D77" s="553" t="s">
        <v>563</v>
      </c>
      <c r="E77" s="553">
        <v>3.8</v>
      </c>
      <c r="F77" s="553">
        <f t="shared" si="21"/>
        <v>10260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0.12490613452688085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0.05501817830350704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566</v>
      </c>
      <c r="B78" s="553">
        <v>2</v>
      </c>
      <c r="C78" s="555">
        <f>D74</f>
        <v>500</v>
      </c>
      <c r="D78" s="553" t="s">
        <v>563</v>
      </c>
      <c r="E78" s="553">
        <v>3.8</v>
      </c>
      <c r="F78" s="553">
        <f t="shared" si="21"/>
        <v>10260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0.0074348889599333834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52" t="s">
        <v>568</v>
      </c>
      <c r="B79" s="553">
        <v>2</v>
      </c>
      <c r="C79" s="555">
        <f>F74</f>
        <v>400</v>
      </c>
      <c r="D79" s="553" t="s">
        <v>563</v>
      </c>
      <c r="E79" s="553">
        <v>1.7</v>
      </c>
      <c r="F79" s="553">
        <f t="shared" si="21"/>
        <v>4590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572</v>
      </c>
      <c r="B80" s="553">
        <v>2</v>
      </c>
      <c r="C80" s="555">
        <f>D74</f>
        <v>500</v>
      </c>
      <c r="D80" s="553" t="s">
        <v>563</v>
      </c>
      <c r="E80" s="553">
        <v>1.7</v>
      </c>
      <c r="F80" s="553">
        <f t="shared" si="21"/>
        <v>4590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575</v>
      </c>
      <c r="B81" s="553">
        <v>2</v>
      </c>
      <c r="C81" s="553">
        <f>C76</f>
        <v>383.5</v>
      </c>
      <c r="D81" s="553" t="s">
        <v>563</v>
      </c>
      <c r="E81" s="553">
        <v>0.65</v>
      </c>
      <c r="F81" s="553">
        <f t="shared" si="21"/>
        <v>1404</v>
      </c>
      <c r="G81" s="558"/>
      <c r="H81" s="554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0.12490613452688085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570</v>
      </c>
      <c r="B82" s="553">
        <v>2</v>
      </c>
      <c r="C82" s="553">
        <f>(15.6*(B76-1)+4)</f>
        <v>487.59999999999997</v>
      </c>
      <c r="D82" s="553" t="s">
        <v>563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0.12490613452688085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574</v>
      </c>
      <c r="B83" s="553"/>
      <c r="C83" s="553">
        <f>B76*2</f>
        <v>64</v>
      </c>
      <c r="D83" s="553" t="s">
        <v>28</v>
      </c>
      <c r="E83" s="553">
        <v>17</v>
      </c>
      <c r="F83" s="553">
        <f>E83*C83</f>
        <v>1088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577</v>
      </c>
      <c r="B84" s="553"/>
      <c r="C84" s="553">
        <f>B76*2</f>
        <v>64</v>
      </c>
      <c r="D84" s="553" t="s">
        <v>28</v>
      </c>
      <c r="E84" s="553">
        <v>12</v>
      </c>
      <c r="F84" s="553">
        <f>E84*C84</f>
        <v>768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0.0059479111679467071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578</v>
      </c>
      <c r="B85" s="553">
        <v>1</v>
      </c>
      <c r="C85" s="555">
        <v>100</v>
      </c>
      <c r="D85" s="553" t="s">
        <v>563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0.0039652741119644711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5128.2825</v>
      </c>
      <c r="AX85" s="310"/>
      <c r="AY85" s="310"/>
      <c r="AZ85" s="310"/>
      <c r="BA85" s="310">
        <f>SUBTOTAL(109,Table80102113[price])</f>
        <v>93241.5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0.00084262074879245012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583</v>
      </c>
      <c r="B86" s="553"/>
      <c r="C86" s="553">
        <v>4</v>
      </c>
      <c r="D86" s="553" t="s">
        <v>370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0.00084262074879245012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0.00037174444799666919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584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0.00037174444799666919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0.0023791644671786825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581</v>
      </c>
      <c r="B88" s="553"/>
      <c r="C88" s="553">
        <f>B76*2</f>
        <v>64</v>
      </c>
      <c r="D88" s="553" t="s">
        <v>28</v>
      </c>
      <c r="E88" s="553">
        <v>90</v>
      </c>
      <c r="F88" s="553">
        <f>C88*E88</f>
        <v>5760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582</v>
      </c>
      <c r="B89" s="553"/>
      <c r="C89" s="553">
        <f>B76*2</f>
        <v>64</v>
      </c>
      <c r="D89" s="553" t="s">
        <v>28</v>
      </c>
      <c r="E89" s="553">
        <v>90</v>
      </c>
      <c r="F89" s="553">
        <f>C89*E89</f>
        <v>5760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0.019826370559822355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0.00954144083191451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585</v>
      </c>
      <c r="B90" s="553">
        <v>2</v>
      </c>
      <c r="C90" s="553"/>
      <c r="D90" s="553" t="s">
        <v>563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0.025006009868575946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586</v>
      </c>
      <c r="B91" s="553"/>
      <c r="C91" s="553">
        <f>ROUNDUP(((C76*B76)/100),0)</f>
        <v>123</v>
      </c>
      <c r="D91" s="553" t="s">
        <v>563</v>
      </c>
      <c r="E91" s="553">
        <v>5</v>
      </c>
      <c r="F91" s="553">
        <f>C91*E91</f>
        <v>615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587</v>
      </c>
      <c r="B92" s="553" t="s">
        <v>588</v>
      </c>
      <c r="C92" s="553">
        <f>ROUNDUP((B76/3),0)</f>
        <v>11</v>
      </c>
      <c r="D92" s="553" t="s">
        <v>28</v>
      </c>
      <c r="E92" s="553">
        <v>175</v>
      </c>
      <c r="F92" s="553">
        <f>C92*E92</f>
        <v>1925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0.017843733503840119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589</v>
      </c>
      <c r="B93" s="553" t="s">
        <v>590</v>
      </c>
      <c r="C93" s="553">
        <f>C92</f>
        <v>11</v>
      </c>
      <c r="D93" s="553" t="s">
        <v>28</v>
      </c>
      <c r="E93" s="553">
        <v>40</v>
      </c>
      <c r="F93" s="553">
        <f>E93*C93</f>
        <v>440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591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0.00446093337596003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0.02230466687980015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>
        <f>(Table80102114115[[#Totals],[price]]*1.1)/(F74*D74/10000)</f>
        <v>7595.3900000000012</v>
      </c>
      <c r="C96" s="563"/>
      <c r="D96" s="563"/>
      <c r="E96" s="563"/>
      <c r="F96" s="563">
        <f>SUBTOTAL(109,Table80102114115[price])</f>
        <v>138098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824.41666666666663</v>
      </c>
      <c r="BR98" s="241">
        <f ref="BR98:BR112" t="shared" si="27" ca="1">(BQ98)/$R$68</f>
        <v>0.00408629758225672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0.00026765600255760182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0.00029739555839733531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0.00026765600255760182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0.00029739555839733531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0.00012391481599888972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0.00019826370559822355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0.00074348889599333838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0.00074348889599333838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0.0003965274111964471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0.0003965274111964471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1050</v>
      </c>
      <c r="BR104" s="251">
        <f t="shared" si="27" ca="1"/>
        <v>0.005204422271953368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>
        <f t="shared" si="27" ca="1"/>
        <v>0.002676560025576018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0.0017843733503840121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3280</v>
      </c>
      <c r="BR106" s="251">
        <f t="shared" si="27" ca="1"/>
        <v>0.01625762385905433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5250</v>
      </c>
      <c r="W110" s="251">
        <f t="shared" si="29" ca="1"/>
        <v>0.026022111359766842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6750</v>
      </c>
      <c r="W111" s="251">
        <f t="shared" si="29" ca="1"/>
        <v>0.033457000319700225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0.0039652741119644711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6057.4166666666661</v>
      </c>
      <c r="BR113" s="528">
        <f>Table13597192103[[#Totals],[اجمالي]]/$R$68</f>
        <v>0.030024146867144313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13550</v>
      </c>
      <c r="W114" s="528">
        <f>Table13597192[[#Totals],[اجمالي]]/$R$68</f>
        <v>0.067161830271398229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93241.5</v>
      </c>
      <c r="BQ117" s="252">
        <f>BH117*Table1613687798109[[#This Row],[سعر الشبك ]]</f>
        <v>93241.5</v>
      </c>
      <c r="BR117" s="241">
        <f>(BQ117)/$R$68</f>
        <v>0.46216013263841904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F96</f>
        <v>138098</v>
      </c>
      <c r="V118" s="252">
        <f>M118*Table1613687798[[#This Row],[سعر الشبك ]]</f>
        <v>138098</v>
      </c>
      <c r="W118" s="241">
        <f>(V118)/$R$68</f>
        <v>0.68449553039258693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93241.5</v>
      </c>
      <c r="BQ118" s="240">
        <f>BH118*Table1613687798109[[#This Row],[سعر الشبك ]]</f>
        <v>9324.15</v>
      </c>
      <c r="BR118" s="241">
        <f>(BQ118)/$R$68</f>
        <v>0.0462160132638419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138098</v>
      </c>
      <c r="V119" s="240">
        <f>M119*Table1613687798[[#This Row],[سعر الشبك ]]</f>
        <v>34524.5</v>
      </c>
      <c r="W119" s="241">
        <f>(V119)/$R$68</f>
        <v>0.17112388259814673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102565.65</v>
      </c>
      <c r="BR119" s="244">
        <f>Table1613687798109[[#Totals],[اجمالي]]/$R$68</f>
        <v>0.50837614590226088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172622.5</v>
      </c>
      <c r="W120" s="244">
        <f>Table1613687798[[#Totals],[اجمالي]]/$R$68</f>
        <v>0.85561941299073363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0.001833939276783568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0.0019826370559822355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0.001833939276783568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0.0019826370559822355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0.005501817830350704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0.0059479111679467071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0.01229234974708986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0.0079305482239289422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0.0092192623103173957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0.0059479111679467071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0.01229234974708986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0.0079305482239289422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0.013085404569482755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0.011152333439900075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0.022800326143795711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2000</v>
      </c>
      <c r="W134" s="241">
        <f t="shared" si="36" ca="1"/>
        <v>0.0099131852799111773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0.0041635378175626948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0.094175260159156185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1500</v>
      </c>
      <c r="T136" s="521"/>
      <c r="U136" s="526"/>
      <c r="V136" s="527">
        <f>SUBTOTAL(109,Table1612677697[اجمالي])</f>
        <v>8400</v>
      </c>
      <c r="W136" s="528">
        <f>Table1612677697[[#Totals],[اجمالي]]/$R$68</f>
        <v>0.041635378175626944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159248.06666666665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224817.5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207022.48666666666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337226.25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9725F6C1-5023-40E8-875A-BF9C773F03A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Φωτισμου'!B9</f>
        <v>5</v>
      </c>
    </row>
    <row r="19" ht="18" customHeight="1">
      <c r="A19" s="639" t="s">
        <v>432</v>
      </c>
      <c r="B19" s="640"/>
      <c r="C19" s="14">
        <f>'Format Φωτισμου'!B12</f>
        <v>15</v>
      </c>
    </row>
    <row r="20" ht="18" customHeight="1">
      <c r="A20" s="639" t="s">
        <v>433</v>
      </c>
      <c r="B20" s="640"/>
      <c r="C20" s="14">
        <f>C19/C18</f>
        <v>3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2024-02-05T10:18:16Z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