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65" windowWidth="28725" windowHeight="12570" tabRatio="927" activeTab="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<sst xmlns="http://schemas.openxmlformats.org/spreadsheetml/2006/main" count="595" uniqueCount="595">
  <si>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</si>
  <si>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</si>
  <si>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</si>
  <si>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</si>
  <si>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</si>
  <si>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</si>
  <si>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</si>
  <si>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</si>
  <si>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</si>
  <si>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</si>
  <si>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</si>
  <si>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</si>
  <si>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</si>
  <si>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</si>
  <si>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</si>
  <si>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</si>
  <si>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</si>
  <si>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</si>
  <si>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</si>
  <si>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</si>
  <si>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</si>
  <si>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</si>
  <si>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</si>
  <si>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</si>
  <si>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</si>
  <si>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</si>
  <si>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</si>
  <si>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</si>
  <si>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</si>
  <si>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</si>
  <si>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</si>
  <si>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</si>
  <si>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</si>
  <si>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</si>
  <si>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</si>
  <si>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</si>
  <si>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</si>
  <si>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</si>
  <si>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</si>
  <si>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</si>
  <si>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</si>
  <si>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</si>
  <si>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</si>
  <si>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</si>
  <si>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</si>
  <si>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</si>
  <si>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</si>
  <si>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</si>
  <si>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</si>
  <si>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</si>
  <si>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</si>
  <si>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</si>
  <si>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</si>
  <si>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</si>
  <si>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</si>
  <si>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</si>
  <si>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</si>
  <si>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</si>
  <si>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</si>
  <si>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</si>
  <si>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</si>
  <si>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</si>
  <si>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</si>
  <si>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</si>
  <si>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</si>
  <si>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</si>
  <si>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</si>
  <si>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</si>
  <si>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</si>
  <si>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</si>
  <si>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</si>
  <si>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</si>
  <si>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</si>
  <si>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</si>
  <si>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</si>
  <si>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</si>
  <si>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</si>
  <si>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</si>
  <si>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</si>
  <si>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</si>
  <si>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</si>
  <si>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</si>
  <si>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</si>
  <si>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</si>
  <si>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</si>
  <si>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</si>
  <si>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</si>
  <si>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</si>
  <si>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</si>
  <si>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</si>
  <si>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</si>
  <si>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</si>
  <si>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</si>
  <si>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</si>
  <si>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</si>
  <si>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</si>
  <si>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</si>
  <si>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</si>
  <si>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</si>
  <si>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</si>
  <si>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</si>
  <si>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</si>
  <si>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</si>
  <si>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</si>
  <si>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</si>
  <si>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</si>
  <si>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</si>
  <si>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</si>
  <si>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</si>
  <si>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</si>
  <si>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</si>
  <si>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</si>
  <si>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</si>
  <si>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</si>
  <si>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</si>
  <si>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</si>
  <si>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</si>
  <si>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</si>
  <si>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</si>
  <si>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</si>
  <si>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</si>
  <si>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</si>
  <si>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</si>
  <si>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</si>
  <si>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</si>
  <si>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</si>
  <si>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</si>
  <si>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</si>
  <si>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</si>
  <si>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</si>
  <si>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</si>
  <si>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</si>
  <si>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</si>
  <si>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</si>
  <si>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</si>
  <si>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</si>
  <si>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</si>
  <si>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</si>
  <si>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</si>
  <si>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</si>
  <si>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</si>
  <si>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</si>
  <si>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</si>
  <si>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</si>
  <si>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</si>
  <si>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</si>
  <si>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</si>
  <si>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</si>
  <si>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</si>
  <si>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</si>
  <si>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</si>
  <si>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</si>
  <si>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</si>
  <si>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</si>
  <si>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</si>
  <si>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</si>
  <si>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</si>
  <si>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</si>
  <si>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</si>
  <si>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</si>
  <si>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</si>
  <si>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</si>
  <si>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</si>
  <si>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</si>
  <si>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</si>
  <si>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</si>
  <si>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</si>
  <si>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</si>
  <si>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</si>
  <si>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</si>
  <si>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</si>
  <si>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</si>
  <si>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</si>
  <si>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</si>
  <si>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</si>
  <si>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</si>
  <si>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</si>
  <si>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</si>
  <si>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</si>
  <si>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</si>
  <si>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مربعة</t>
  </si>
  <si>
    <t>مصري</t>
  </si>
  <si>
    <t>single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</si>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</sst>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89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6" applyFont="1" fillId="0" borderId="23" applyBorder="1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44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82"/>
    <tableColumn id="2" name="المعدل" dataDxfId="1212"/>
    <tableColumn id="3" name="الوحدة" dataDxfId="1212"/>
    <tableColumn id="4" name="Column4" dataDxfId="114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81" totalsRowDxfId="1382"/>
    <tableColumn id="2" name="عدد" dataDxfId="1386" totalsRowDxfId="138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BP28</calculatedColumnFormula>
    </tableColumn>
    <tableColumn id="8" name="اجمالي" totalsRowFunction="sum" dataDxfId="1390" totalsRowDxfId="1408">
      <calculatedColumnFormula>BH98*BP99</calculatedColumnFormula>
    </tableColumn>
    <tableColumn id="9" name="%" totalsRowFunction="custom" totalsRowDxfId="140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81" totalsRowDxfId="1382"/>
    <tableColumn id="2" name="عدد" dataDxfId="1386" totalsRowDxfId="1382">
      <calculatedColumnFormula>IF((#REF!="بالتات"),0,4)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430" totalsRowDxfId="1407">
      <calculatedColumnFormula>Sheet2!AW26</calculatedColumnFormula>
    </tableColumn>
    <tableColumn id="8" name="اجمالي" totalsRowFunction="sum" dataDxfId="1390" totalsRowDxfId="1408">
      <calculatedColumnFormula>BH84*BP84</calculatedColumnFormula>
    </tableColumn>
    <tableColumn id="9" name="%" totalsRowFunction="custom" totalsRowDxfId="140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81"/>
    <tableColumn id="2" name="عدد" totalsRowFunction="sum" dataDxfId="1381">
      <calculatedColumnFormula>BH90*4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(Table16627394105[[#This Row],[Column1]]*Table16627394105[[#This Row],[Column2]])*Table16627394105[[#This Row],[عدد]]</calculatedColumnFormula>
    </tableColumn>
    <tableColumn id="4" name="الوحده" dataDxfId="1381"/>
    <tableColumn id="5" name="الوزن" totalsRowFunction="custom">
      <totalsRowFormula>(BN93*BH93)+(BH94*BN94)</totalsRowFormula>
    </tableColumn>
    <tableColumn id="6" name="سعر الكيلو" dataDxfId="1386"/>
    <tableColumn id="7" name="سعر الشبك " dataDxfId="1392">
      <calculatedColumnFormula>BN92*$S$2/1000</calculatedColumnFormula>
    </tableColumn>
    <tableColumn id="8" name="اجمالي" totalsRowFunction="sum" dataDxfId="1390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81"/>
    <tableColumn id="2" name="عدد" dataDxfId="1414">
      <calculatedColumnFormula>IF((تسعير!$AU$14="بالتات"),0,BH119-2)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تسعير!$BE$44</calculatedColumnFormula>
    </tableColumn>
    <tableColumn id="10" name="شيفت العمل" dataDxfId="1381"/>
    <tableColumn id="12" name="Column12" totalsRowFunction="sum" dataDxfId="1398">
      <calculatedColumnFormula>SUMIF(Table17697899110[Column1],Table1612677697108[[#This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Table1612677697108[[#This Row],[Column12]]</calculatedColumnFormula>
    </tableColumn>
    <tableColumn id="8" name="اجمالي" totalsRowFunction="sum" dataDxfId="1390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97"/>
    <tableColumn id="2" name="عدد" dataDxfId="1414">
      <calculatedColumnFormula>IF((BL133="الاسكندرية"),0.25,0.1)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BQ116</calculatedColumnFormula>
    </tableColumn>
    <tableColumn id="8" name="اجمالي" totalsRowFunction="sum" dataDxfId="1390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IF((BL133="المقطم"),0.3,IF((BL133="التجمع"),0.3,IF((BL133="الشيخ زايد"),0.3,IF((BL133="الاسكندرية"),0.5,0.35))))</calculatedColumnFormula>
    </tableColumn>
    <tableColumn id="2" name="Column2" dataDxfId="1414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81"/>
    <tableColumn id="2" name="عدد" dataDxfId="1381">
      <calculatedColumnFormula>IF(OR((BI69="B11"),(BI69="B12"),(BI69="B21"),(BI69="B22"),(BI69="B31"),(BI69="B32")),3,0)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(Table15880101112[[#This Row],[Column1]]+Table15880101112[[#This Row],[Column2]])*12*Table15880101112[[#This Row],[عدد]]</calculatedColumnFormula>
    </tableColumn>
    <tableColumn id="4" name="الوحده" dataDxfId="1381"/>
    <tableColumn id="5" name="الوزن" totalsRowFunction="custom">
      <totalsRowFormula>(BN76*BH76)+(BN77*BH77)+(BN78*BH78)+(BN79*BH79)</totalsRowFormula>
    </tableColumn>
    <tableColumn id="6" name="اجمالي المسطح" totalsRowFunction="sum" dataDxfId="1386">
      <calculatedColumnFormula>Table15880101112[[#This Row],[المسطح]]*Table15880101112[[#This Row],[عدد]]</calculatedColumnFormula>
    </tableColumn>
    <tableColumn id="7" name="سعر الشبك " dataDxfId="1435">
      <calculatedColumnFormula>BN76*$S$2/1000</calculatedColumnFormula>
    </tableColumn>
    <tableColumn id="8" name="اجمالي" totalsRowFunction="sum" dataDxfId="1390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81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79"/>
    <tableColumn id="11" name="Column2" dataDxfId="1213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90">
      <calculatedColumnFormula>Sheet2!B31</calculatedColumnFormula>
    </tableColumn>
    <tableColumn id="8" name="اجمالي" totalsRowFunction="sum" dataDxfId="1390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436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436" totalsRowDxfId="1242"/>
    <tableColumn id="4" name="Column2" dataDxfId="1436" totalsRowDxfId="1437"/>
    <tableColumn id="5" name="wt/m" dataDxfId="1436" totalsRowDxfId="1437"/>
    <tableColumn id="6" name="price" totalsRowFunction="sum" dataDxfId="1436" totalsRowDxfId="1437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52" dataDxfId="44" totalsRowDxfId="50">
  <autoFilter ref="A2:F23"/>
  <tableColumns count="6">
    <tableColumn id="1" name="Column1" totalsRowLabel="Total" dataDxfId="1245" totalsRowDxfId="1243"/>
    <tableColumn id="2" name="عدد" totalsRowFunction="custom" dataDxfId="1245" totalsRowDxfId="1244">
      <totalsRowFormula>(Table80102114[[#Totals],[price]]*1.1)/(F1*D1/10000)</totalsRowFormula>
    </tableColumn>
    <tableColumn id="3" name="طول" dataDxfId="1438" totalsRowDxfId="1437"/>
    <tableColumn id="4" name="Column2" dataDxfId="1245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439" totalsRowDxfId="1440">
  <autoFilter ref="A75:F96"/>
  <tableColumns count="6">
    <tableColumn id="1" name="Column1" totalsRowLabel="Total" dataDxfId="1439" totalsRowDxfId="1441"/>
    <tableColumn id="2" name="عدد" totalsRowFunction="custom" dataDxfId="1439" totalsRowDxfId="1442">
      <totalsRowFormula>(Table80102114115[[#Totals],[price]]*1.1)/(F74*D74/10000)</totalsRowFormula>
    </tableColumn>
    <tableColumn id="3" name="طول" dataDxfId="1439" totalsRowDxfId="1437"/>
    <tableColumn id="4" name="Column2" dataDxfId="1439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81"/>
    <tableColumn id="2" name="عدد" dataDxfId="1381">
      <calculatedColumnFormula>IF((F74="الاسكندرية"),0.25,0.1)</calculatedColumnFormula>
    </tableColumn>
    <tableColumn id="3" name="بيان برجولا رويال" totalsRowLabel="Total" dataDxfId="1381"/>
    <tableColumn id="12" name="Column12" totalsRowFunction="sum" dataDxfId="1391"/>
    <tableColumn id="5" name="Column1" dataDxfId="1381"/>
    <tableColumn id="11" name="العرض" dataDxfId="1213"/>
    <tableColumn id="10" name="الامتداد" dataDxfId="1386"/>
    <tableColumn id="4" name="سعر المتر" dataDxfId="1214"/>
    <tableColumn id="6" name="Column2" dataDxfId="106"/>
    <tableColumn id="7" name="سعر البرجولا كاملة" dataDxfId="1392">
      <calculatedColumnFormula>(K57)</calculatedColumnFormula>
    </tableColumn>
    <tableColumn id="8" name="اجمالي" totalsRowFunction="sum" dataDxfId="1390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81" totalsRowDxfId="1382"/>
    <tableColumn id="2" name="عدد" dataDxfId="77" totalsRowDxfId="1382">
      <calculatedColumnFormula>B60</calculatedColumnFormula>
    </tableColumn>
    <tableColumn id="3" name="بيان" totalsRowLabel="Total" dataDxfId="107" totalsRowDxfId="1382"/>
    <tableColumn id="5" name="اليومية / الاجرة" dataDxfId="1215" totalsRowDxfId="1382"/>
    <tableColumn id="6" name="بدل الوجبة" dataDxfId="1216" totalsRowDxfId="1382"/>
    <tableColumn id="11" name="موقع العمل" dataDxfId="1393" totalsRowDxfId="1382">
      <calculatedColumnFormula>تسعير!$T$4</calculatedColumnFormula>
    </tableColumn>
    <tableColumn id="10" name="شيفت العمل" dataDxfId="1381" totalsRowDxfId="1382"/>
    <tableColumn id="12" name="Column12" totalsRowFunction="sum" dataDxfId="1210" totalsRowDxfId="1394">
      <calculatedColumnFormula>SUMIF(Table17[Column1],Table1612[[#This Row],[موقع العمل]],$T$2:$T$20)</calculatedColumnFormula>
    </tableColumn>
    <tableColumn id="4" name="عدد الايام" dataDxfId="102" totalsRowDxfId="1382"/>
    <tableColumn id="7" name="اجمالي التكلفة للعامل" dataDxfId="101" totalsRowDxfId="1206">
      <calculatedColumnFormula>Table1612[[#This Row],[Column12]]</calculatedColumnFormula>
    </tableColumn>
    <tableColumn id="8" name="اجمالي" totalsRowFunction="sum" dataDxfId="1390" totalsRowDxfId="1208">
      <calculatedColumnFormula>B63*J63</calculatedColumnFormula>
    </tableColumn>
    <tableColumn id="9" name="%" totalsRowFunction="custom" totalsRowDxfId="120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15"/>
    <tableColumn id="2" name="خارجي" dataDxfId="1217"/>
    <tableColumn id="3" name="داخلي" dataDxfId="1217"/>
    <tableColumn id="4" name="بدل الوجبة" dataDxfId="1395"/>
    <tableColumn id="5" name="دبابة" dataDxfId="1217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13"/>
    <tableColumn id="4" name="Column22" dataDxfId="1397"/>
    <tableColumn id="5" name="Column23" dataDxfId="1397"/>
    <tableColumn id="3" name="Column3" dataDxfId="78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9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81"/>
    <tableColumn id="2" name="عدد" dataDxfId="138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(Table118[[#This Row],[Column1]]+Table118[[#This Row],[Column2]])*12*Table118[[#This Row],[عدد]]</calculatedColumnFormula>
    </tableColumn>
    <tableColumn id="4" name="الوحده" dataDxfId="1381"/>
    <tableColumn id="5" name="الوزن" dataDxfId="1381"/>
    <tableColumn id="6" name="اجمالي الميزان" totalsRowFunction="sum" dataDxfId="1386">
      <calculatedColumnFormula>Table118[[#This Row],[الوزن]]*Table118[[#This Row],[عدد]]</calculatedColumnFormula>
    </tableColumn>
    <tableColumn id="7" name="سعر الشبك " dataDxfId="1392">
      <calculatedColumnFormula>H6*$H$2/1000</calculatedColumnFormula>
    </tableColumn>
    <tableColumn id="8" name="اجمالي" totalsRowFunction="sum" dataDxfId="1390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81"/>
    <tableColumn id="2" name="عدد" dataDxfId="138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81"/>
    <tableColumn id="4" name="الوحده" totalsRowLabel="total" dataDxfId="1381"/>
    <tableColumn id="5" name="الوزن" dataDxfId="138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81">
      <calculatedColumnFormula>Sheet2!B7</calculatedColumnFormula>
    </tableColumn>
    <tableColumn id="7" name="سعر الشبك " dataDxfId="1392"/>
    <tableColumn id="8" name="اجمالي" totalsRowFunction="sum" dataDxfId="1390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81"/>
    <tableColumn id="2" name="عدد" dataDxfId="1381">
      <calculatedColumnFormula>IF((تسعير!X30&lt;800),0,IF(AND((تسعير!X30&gt;800),(600&gt;=تسعير!AA32)),1,0))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6">
      <calculatedColumnFormula>(Table1421[[#This Row],[Column1]]+Table1421[[#This Row],[Column2]])*12*Table1421[[#This Row],[عدد]]</calculatedColumnFormula>
    </tableColumn>
    <tableColumn id="4" name="الوحده" dataDxfId="1381"/>
    <tableColumn id="5" name="الوزن" dataDxfId="1381"/>
    <tableColumn id="6" name="سعر الكيلو" totalsRowFunction="sum" dataDxfId="1386">
      <calculatedColumnFormula>Table1421[[#This Row],[الوزن]]*Table1421[[#This Row],[عدد]]</calculatedColumnFormula>
    </tableColumn>
    <tableColumn id="7" name="سعر الشبك " dataDxfId="1392">
      <calculatedColumnFormula>H13*$I$2/1000</calculatedColumnFormula>
    </tableColumn>
    <tableColumn id="8" name="اجمالي" totalsRowFunction="sum" dataDxfId="1390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81"/>
    <tableColumn id="2" name="عدد" dataDxfId="138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Sheet2!B22</calculatedColumnFormula>
    </tableColumn>
    <tableColumn id="8" name="اجمالي" totalsRowFunction="sum" dataDxfId="1390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81"/>
    <tableColumn id="2" name="عدد" totalsRowFunction="count" dataDxfId="1386">
      <calculatedColumnFormula>B30*4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(Table1624[[#This Row],[Column1]]*Table1624[[#This Row],[Column2]])*Table1624[[#This Row],[عدد]]</calculatedColumnFormula>
    </tableColumn>
    <tableColumn id="4" name="الوحده" dataDxfId="1381"/>
    <tableColumn id="5" name="الوزن" totalsRowFunction="custom">
      <totalsRowFormula>H31*B31+H32*B32</totalsRowFormula>
    </tableColumn>
    <tableColumn id="6" name="سعر الكيلو" dataDxfId="1386">
      <calculatedColumnFormula>$H$2/1000</calculatedColumnFormula>
    </tableColumn>
    <tableColumn id="7" name="سعر الشبك " dataDxfId="1392">
      <calculatedColumnFormula>H31*$H$2/1000</calculatedColumnFormula>
    </tableColumn>
    <tableColumn id="8" name="اجمالي" totalsRowFunction="sum" dataDxfId="1390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99"/>
    <tableColumn id="2" name="المعدل" dataDxfId="1212"/>
    <tableColumn id="3" name="الوحدة" dataDxfId="1400"/>
    <tableColumn id="4" name="Column4" dataDxfId="1399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81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97"/>
    <tableColumn id="11" name="Column2" dataDxfId="1397"/>
    <tableColumn id="10" name="Column1" dataDxfId="1401"/>
    <tableColumn id="12" name="Column12" totalsRowFunction="sum" dataDxfId="1402"/>
    <tableColumn id="4" name="الوحده" dataDxfId="1221"/>
    <tableColumn id="5" name="الوزن" dataDxfId="1222"/>
    <tableColumn id="6" name="سعر الكيلو" dataDxfId="1214"/>
    <tableColumn id="7" name="سعر الشبك " dataDxfId="1223">
      <calculatedColumnFormula>Sheet2!B31</calculatedColumnFormula>
    </tableColumn>
    <tableColumn id="8" name="اجمالي" totalsRowFunction="sum" dataDxfId="1390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81"/>
    <tableColumn id="2" name="عدد" dataDxfId="1381">
      <calculatedColumnFormula>IF((F79="الاسكندرية"),0.25,0.1)</calculatedColumnFormula>
    </tableColumn>
    <tableColumn id="3" name="بيان برجولا رويال" totalsRowLabel="Total" dataDxfId="1381"/>
    <tableColumn id="12" name="Column12" totalsRowFunction="sum" dataDxfId="1398"/>
    <tableColumn id="5" name="Column1" dataDxfId="1381"/>
    <tableColumn id="11" name="العرض" dataDxfId="1397"/>
    <tableColumn id="10" name="الامتداد" dataDxfId="1386"/>
    <tableColumn id="4" name="سعر المتر" dataDxfId="1403"/>
    <tableColumn id="6" name="Column2" dataDxfId="1216"/>
    <tableColumn id="7" name="سعر البرجولا كاملة" dataDxfId="1392">
      <calculatedColumnFormula>K58</calculatedColumnFormula>
    </tableColumn>
    <tableColumn id="8" name="اجمالي" totalsRowFunction="sum" dataDxfId="1390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81" totalsRowDxfId="1382"/>
    <tableColumn id="2" name="عدد" dataDxfId="1404" totalsRowDxfId="1382">
      <calculatedColumnFormula>B65</calculatedColumnFormula>
    </tableColumn>
    <tableColumn id="3" name="بيان" totalsRowLabel="Total" dataDxfId="1215" totalsRowDxfId="1382"/>
    <tableColumn id="5" name="اليومية / الاجرة" dataDxfId="1405" totalsRowDxfId="1382"/>
    <tableColumn id="6" name="بدل الوجبة" dataDxfId="1406" totalsRowDxfId="1382"/>
    <tableColumn id="11" name="موقع العمل" dataDxfId="1397" totalsRowDxfId="1382">
      <calculatedColumnFormula>تسعير!$T$24</calculatedColumnFormula>
    </tableColumn>
    <tableColumn id="10" name="شيفت العمل" dataDxfId="1381" totalsRowDxfId="1382"/>
    <tableColumn id="12" name="Column12" totalsRowFunction="sum" dataDxfId="1398" totalsRowDxfId="1211">
      <calculatedColumnFormula>SUMIF(Table1731[Column1],Table161229[[#This Row],[موقع العمل]],$T$2:$T$26)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Table161229[[#This Row],[Column12]]</calculatedColumnFormula>
    </tableColumn>
    <tableColumn id="8" name="اجمالي" totalsRowFunction="sum" dataDxfId="1390" totalsRowDxfId="1408">
      <calculatedColumnFormula>B68*J68</calculatedColumnFormula>
    </tableColumn>
    <tableColumn id="9" name="%" totalsRowFunction="custom" totalsRowDxfId="1409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97" totalsRowDxfId="1382"/>
    <tableColumn id="2" name="عدد" dataDxfId="1393" totalsRowDxfId="1382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94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223" totalsRowDxfId="1407"/>
    <tableColumn id="8" name="اجمالي" totalsRowFunction="sum" dataDxfId="1390" totalsRowDxfId="1408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13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96" totalsRowDxfId="12"/>
    <tableColumn id="6" name="الطول بالمتر" dataDxfId="1396" totalsRowDxfId="1227"/>
    <tableColumn id="5" name="وزن المتر " dataDxfId="1396" totalsRowDxfId="1227"/>
    <tableColumn id="4" name="سعر الكيلو" dataDxfId="1396" totalsRowDxfId="1411"/>
    <tableColumn id="3" name="اجمالي عدد " totalsRowFunction="custom" totalsRowDxfId="1227">
      <totalsRowFormula>Table8[[#Totals],[اجمالي التكلفة]]/B1</totalsRowFormula>
    </tableColumn>
    <tableColumn id="2" name="اجمالي التكلفة" totalsRowFunction="sum" dataDxfId="766" totalsRowDxfId="16">
      <calculatedColumnFormula>B3*D3</calculatedColumnFormula>
    </tableColumn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(Table1662[[#This Row],[Column1]]*Table1662[[#This Row],[Column2]])*Table1662[[#This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1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400"/>
    <tableColumn id="2" name="Column2" dataDxfId="1399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IF((تسعير!$AU$14="بالتات"),0,M52-2)</calculatedColumnFormula>
    </tableColumn>
    <tableColumn id="3" name="بيان" totalsRowLabel="Total" dataDxfId="1215" totalsRowDxfId="1382"/>
    <tableColumn id="5" name="اليومية / الاجرة" dataDxfId="1415" totalsRowDxfId="1382"/>
    <tableColumn id="6" name="بدل الوجبة" dataDxfId="1216" totalsRowDxfId="1382"/>
    <tableColumn id="11" name="موقع العمل" dataDxfId="1397" totalsRowDxfId="1382">
      <calculatedColumnFormula>تسعير!$AT$4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SUMIF(Table1769[Column1],Table161267[[#This Row],[موقع العمل]],$AE$2:$AE$8)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Table161267[[#This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416">
      <calculatedColumnFormula>V48</calculatedColumnFormula>
    </tableColumn>
    <tableColumn id="8" name="اجمالي" totalsRowFunction="sum" dataDxfId="1390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IF((N2="A1"),2,IF((N2="A2"),3,IF((N2="B1"),2.5,IF((N2="B2"),3,0))))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(Table158[[#This Row],[Column1]]+Table158[[#This Row],[Column2]])*12*Table158[[#This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totalsRowFunction="sum" dataDxfId="1386">
      <calculatedColumnFormula>Table158[[#This Row],[المسطح]]*Table158[[#This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96" totalsRowDxfId="1412"/>
    <tableColumn id="6" name="الطول بالمتر" dataDxfId="1396" totalsRowDxfId="1412"/>
    <tableColumn id="5" name="وزن المتر " dataDxfId="1396" totalsRowDxfId="1412"/>
    <tableColumn id="4" name="سعر الكيلو" dataDxfId="1396" totalsRowDxfId="1412"/>
    <tableColumn id="3" name="اجمالي عدد " totalsRowFunction="custom" totalsRowDxfId="1412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(Table166241[[#This Row],[Column1]]*Table166241[[#This Row],[Column2]])*Table166241[[#This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400"/>
    <tableColumn id="2" name="المعدل" dataDxfId="1400"/>
    <tableColumn id="3" name="الوحدة" dataDxfId="1400"/>
    <tableColumn id="4" name="Column4" dataDxfId="121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IF((تسعير!$BF$14="بالتات"),0,M52-2)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تسعير!$BE$4</calculatedColumnFormula>
    </tableColumn>
    <tableColumn id="10" name="شيفت العمل" dataDxfId="1381" totalsRowDxfId="1382"/>
    <tableColumn id="12" name="Column12" totalsRowFunction="sum" dataDxfId="1398" totalsRowDxfId="1410"/>
    <tableColumn id="4" name="عدد الايام" dataDxfId="1418" totalsRowDxfId="1382"/>
    <tableColumn id="7" name="اجمالي التكلفة للعامل" dataDxfId="1419" totalsRowDxfId="1407">
      <calculatedColumnFormula>Table16126744[[#This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223">
      <calculatedColumnFormula>V48</calculatedColumnFormula>
    </tableColumn>
    <tableColumn id="8" name="اجمالي" totalsRowFunction="sum" dataDxfId="1390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96"/>
    <tableColumn id="2" name="خارجي" dataDxfId="1396"/>
    <tableColumn id="3" name="داخلي" dataDxfId="1396"/>
    <tableColumn id="4" name="بدل الوجبة" dataDxfId="1396"/>
    <tableColumn id="5" name="دبابة" dataDxfId="1396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420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IF((N2="c1"),3,IF((N2="c2"),4,IF((N2="d1"),4,IF((N2="d2"),5,0))))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(Table15855[[#This Row],[Column1]]+Table15855[[#This Row],[Column2]])*12*Table15855[[#This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dataDxfId="1386"/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96"/>
    <tableColumn id="2" name="المقاس" dataDxfId="1396"/>
    <tableColumn id="4" name="ميزان" dataDxfId="63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70" totalsRowDxfId="135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02" totalsRowDxfId="1203"/>
    <tableColumn id="11" name="Column2" dataDxfId="1379" totalsRowDxfId="1380"/>
    <tableColumn id="10" name="Column1" dataDxfId="1202" totalsRowDxfId="1203"/>
    <tableColumn id="12" name="المسطح" totalsRowFunction="sum" dataDxfId="71" totalsRowDxfId="141">
      <calculatedColumnFormula>(Table1[[#This Row],[Column1]]+Table1[[#This Row],[Column2]])*12*Table1[[#This Row],[عدد]]</calculatedColumnFormula>
    </tableColumn>
    <tableColumn id="4" name="الوحده" dataDxfId="1381" totalsRowDxfId="1382"/>
    <tableColumn id="5" name="الوزن" totalsRowFunction="custom" totalsRowDxfId="1382">
      <totalsRowFormula>(H6*B6)+(H8*B8)+(H7*B7)</totalsRowFormula>
    </tableColumn>
    <tableColumn id="6" name="مسطح" dataDxfId="69" totalsRowDxfId="1382"/>
    <tableColumn id="7" name="سعر الشبك " dataDxfId="121" totalsRowDxfId="133">
      <calculatedColumnFormula>H6*$H$2/1000</calculatedColumnFormula>
    </tableColumn>
    <tableColumn id="8" name="اجمالي" totalsRowFunction="sum" dataDxfId="67" totalsRowDxfId="131">
      <calculatedColumnFormula>B6*J6</calculatedColumnFormula>
    </tableColumn>
    <tableColumn id="9" name="%" totalsRowFunction="custom" totalsRowDxfId="13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30"/>
    <tableColumn id="2" name="Column2" dataDxfId="1396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96" totalsRowDxfId="650"/>
    <tableColumn id="2" name="عدد/الشمسية" dataDxfId="649" totalsRowDxfId="646"/>
    <tableColumn id="3" name="سعر الوحدة" dataDxfId="1396" totalsRowDxfId="1232"/>
    <tableColumn id="4" name="قيمة" totalsRowFunction="sum" dataDxfId="1396" totalsRowDxfId="64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96"/>
    <tableColumn id="2" name="Column2" dataDxfId="1396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33"/>
    <tableColumn id="2" name="الناتج" dataDxfId="63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32"/>
    <tableColumn id="4" name="ميزان" dataDxfId="139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396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96" totalsRowDxfId="1410"/>
    <tableColumn id="2" name="عدد/الشمسية" dataDxfId="626" totalsRowDxfId="1410"/>
    <tableColumn id="3" name="سعر الوحدة" dataDxfId="1396" totalsRowDxfId="1410"/>
    <tableColumn id="4" name="قيمة" totalsRowFunction="sum" dataDxfId="1396" totalsRowDxfId="141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81" totalsRowDxfId="1382"/>
    <tableColumn id="2" name="عدد" dataDxfId="1379" totalsRowDxfId="138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96"/>
    <tableColumn id="2" name="Column2" dataDxfId="139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1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36"/>
    <tableColumn id="2" name="الناتج" dataDxfId="611"/>
    <tableColumn id="3" name="Column1" dataDxfId="1421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70" totalsRowDxfId="56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Table12[[#This Row],[سعر]]*Table12[[#This Row],[ميزان]]*Table12[[#This Row],[عدد]]</calculatedColumnFormula>
    </tableColumn>
    <tableColumn id="6" name="Column6" totalsRowFunction="custom" totalsRowDxfId="56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414" totalsRowDxfId="1382">
      <calculatedColumnFormula>I28</calculatedColumnFormula>
    </tableColumn>
    <tableColumn id="3" name="بيان" totalsRowLabel="Total" dataDxfId="55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تسعير!$T$45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SUMIF(Table17[Column1],Table161243[[#This Row],[موقع العمل]],Table17[الاقامة])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Table161243[[#This Row],[Column12]]</calculatedColumnFormula>
    </tableColumn>
    <tableColumn id="8" name="اجمالي" totalsRowFunction="sum" dataDxfId="1390" totalsRowDxfId="1408">
      <calculatedColumnFormula>I31*Q31</calculatedColumnFormula>
    </tableColumn>
    <tableColumn id="9" name="%" totalsRowFunction="custom" totalsRowDxfId="140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414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423" totalsRowDxfId="1424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Table1257[[#This Row],[سعر]]*Table1257[[#This Row],[ميزان]]*Table1257[[#This Row],[عدد]]</calculatedColumnFormula>
    </tableColumn>
    <tableColumn id="6" name="Column6" totalsRowFunction="custom" totalsRowDxfId="56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414" totalsRowDxfId="1382">
      <calculatedColumnFormula>I61</calculatedColumnFormula>
    </tableColumn>
    <tableColumn id="3" name="بيان" totalsRowLabel="Total" dataDxfId="1240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تسعير!$T$63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SUMIF(Table17[Column1],Table16124360[[#This Row],[موقع العمل]],Table17[الاقامة])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Table16124360[[#This Row],[Column12]]</calculatedColumnFormula>
    </tableColumn>
    <tableColumn id="8" name="اجمالي" totalsRowFunction="sum" dataDxfId="1390" totalsRowDxfId="1408">
      <calculatedColumnFormula>I64*Q64</calculatedColumnFormula>
    </tableColumn>
    <tableColumn id="9" name="%" totalsRowFunction="custom" totalsRowDxfId="140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414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M28*U28</calculatedColumnFormula>
    </tableColumn>
    <tableColumn id="9" name="%" totalsRowFunction="custom" totalsRowDxfId="140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81"/>
    <tableColumn id="2" name="عدد" dataDxfId="1381">
      <calculatedColumnFormula>IF((تسعير!X7&lt;800),0,IF(AND((تسعير!X7&gt;800),(600&gt;=تسعير!AA9)),1,0))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3">
      <calculatedColumnFormula>(Table14[[#This Row],[Column1]]+Table14[[#This Row],[Column2]])*12*Table14[[#This Row],[عدد]]</calculatedColumnFormula>
    </tableColumn>
    <tableColumn id="4" name="الوحده" dataDxfId="1381"/>
    <tableColumn id="5" name="الوزن" totalsRowFunction="custom">
      <totalsRowFormula>H12*B12+H13*B13</totalsRowFormula>
    </tableColumn>
    <tableColumn id="6" name="مسطح" dataDxfId="1379">
      <calculatedColumnFormula>Table14[[#This Row],[Column12]]*Table14[[#This Row],[عدد]]</calculatedColumnFormula>
    </tableColumn>
    <tableColumn id="7" name="سعر الشبك " dataDxfId="1205">
      <calculatedColumnFormula>H12*$I$2/1000</calculatedColumnFormula>
    </tableColumn>
    <tableColumn id="8" name="اجمالي" totalsRowFunction="sum" dataDxfId="120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(Table166273[[#This Row],[Column1]]*Table166273[[#This Row],[Column2]])*Table166273[[#This Row],[عدد]]</calculatedColumnFormula>
    </tableColumn>
    <tableColumn id="4" name="الوحده" dataDxfId="1381"/>
    <tableColumn id="5" name="الوزن" totalsRowFunction="custom">
      <totalsRowFormula>(S23*M23)+(M24*S24)</totalsRowFormula>
    </tableColumn>
    <tableColumn id="6" name="سعر الكيلو" dataDxfId="1386"/>
    <tableColumn id="7" name="سعر الشبك " dataDxfId="1392">
      <calculatedColumnFormula>S22*$S$2/1000</calculatedColumnFormula>
    </tableColumn>
    <tableColumn id="8" name="اجمالي" totalsRowFunction="sum" dataDxfId="1390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IF((تسعير!$AU$14="بالتات"),0,M49-2)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تسعير!$AT$24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SUMIF(Table176978[Column1],Table16126776[[#This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Table16126776[[#This Row],[Column12]]</calculatedColumnFormula>
    </tableColumn>
    <tableColumn id="8" name="اجمالي" totalsRowFunction="sum" dataDxfId="1390" totalsRowDxfId="1408">
      <calculatedColumnFormula>M52*U52</calculatedColumnFormula>
    </tableColumn>
    <tableColumn id="9" name="%" totalsRowFunction="custom" totalsRowDxfId="140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97" totalsRowDxfId="1382"/>
    <tableColumn id="2" name="عدد" dataDxfId="1414" totalsRowDxfId="1382">
      <calculatedColumnFormula>IF((Q63="الاسكندرية"),0.25,0.1)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429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Table80102114[[#Totals],[price]]</calculatedColumnFormula>
    </tableColumn>
    <tableColumn id="8" name="اجمالي" totalsRowFunction="sum" dataDxfId="1390" totalsRowDxfId="1408">
      <calculatedColumnFormula>M47*Table16136877[[#This Row],[سعر الشبك ]]</calculatedColumnFormula>
    </tableColumn>
    <tableColumn id="9" name="%" totalsRowFunction="custom" totalsRowDxfId="140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IF((Q63="المقطم"),0.3,IF((Q63="التجمع"),0.3,IF((Q63="الشيخ زايد"),0.3,IF((Q63="الاسكندرية"),0.5,0.35))))</calculatedColumnFormula>
    </tableColumn>
    <tableColumn id="2" name="Column2" dataDxfId="1414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(Table15880[[#This Row],[Column1]]+Table15880[[#This Row],[Column2]])*12*Table15880[[#This Row],[عدد]]</calculatedColumnFormula>
    </tableColumn>
    <tableColumn id="4" name="الوحده" dataDxfId="1381"/>
    <tableColumn id="5" name="الوزن" totalsRowFunction="custom">
      <totalsRowFormula>(S6*M6)+(S7*M7)+(M8*S8)+(S9*M9)</totalsRowFormula>
    </tableColumn>
    <tableColumn id="6" name="اجمالي المسطح" totalsRowFunction="sum" dataDxfId="1386">
      <calculatedColumnFormula>Table15880[[#This Row],[المسطح]]*Table15880[[#This Row],[عدد]]</calculatedColumnFormula>
    </tableColumn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81" totalsRowDxfId="1382"/>
    <tableColumn id="2" name="عدد" dataDxfId="1386" totalsRowDxfId="138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M99*U100</calculatedColumnFormula>
    </tableColumn>
    <tableColumn id="9" name="%" totalsRowFunction="custom" totalsRowDxfId="140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81" totalsRowDxfId="1382"/>
    <tableColumn id="2" name="عدد" dataDxfId="1202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210" totalsRowDxfId="1211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84" totalsRowDxfId="1206">
      <calculatedColumnFormula>Sheet2!B22</calculatedColumnFormula>
    </tableColumn>
    <tableColumn id="8" name="اجمالي" totalsRowFunction="sum" dataDxfId="1385" totalsRowDxfId="1208">
      <calculatedColumnFormula>B17*J17</calculatedColumnFormula>
    </tableColumn>
    <tableColumn id="9" name="%" totalsRowFunction="custom" totalsRowDxfId="1209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81"/>
    <tableColumn id="2" name="عدد" dataDxfId="1386">
      <calculatedColumnFormula>IF((I70="بالتات"),0,4)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81"/>
    <tableColumn id="2" name="عدد" totalsRowFunction="sum" dataDxfId="1381">
      <calculatedColumnFormula>M91*4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(Table16627394[[#This Row],[Column1]]*Table16627394[[#This Row],[Column2]])*Table16627394[[#This Row],[عدد]]</calculatedColumnFormula>
    </tableColumn>
    <tableColumn id="4" name="الوحده" dataDxfId="1381"/>
    <tableColumn id="5" name="الوزن" totalsRowFunction="custom">
      <totalsRowFormula>(S94*M94)+(M95*S95)</totalsRowFormula>
    </tableColumn>
    <tableColumn id="6" name="سعر الكيلو" dataDxfId="1386"/>
    <tableColumn id="7" name="سعر الشبك " dataDxfId="1392">
      <calculatedColumnFormula>S93*$S$2/1000</calculatedColumnFormula>
    </tableColumn>
    <tableColumn id="8" name="اجمالي" totalsRowFunction="sum" dataDxfId="1390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IF((تسعير!$AU$14="بالتات"),0,M120-2)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تسعير!$AT$44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SUMIF(Table17697899[Column1],Table1612677697[[#This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Table1612677697[[#This Row],[Column12]]</calculatedColumnFormula>
    </tableColumn>
    <tableColumn id="8" name="اجمالي" totalsRowFunction="sum" dataDxfId="1390" totalsRowDxfId="1408">
      <calculatedColumnFormula>M123*U123</calculatedColumnFormula>
    </tableColumn>
    <tableColumn id="9" name="%" totalsRowFunction="custom" totalsRowDxfId="140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97" totalsRowDxfId="1382"/>
    <tableColumn id="2" name="عدد" dataDxfId="1414" totalsRowDxfId="1382">
      <calculatedColumnFormula>IF((Q134="الاسكندرية"),0.25,0.1)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228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F96</calculatedColumnFormula>
    </tableColumn>
    <tableColumn id="8" name="اجمالي" totalsRowFunction="sum" dataDxfId="1390" totalsRowDxfId="1408">
      <calculatedColumnFormula>M118*Table1613687798[[#This Row],[سعر الشبك ]]</calculatedColumnFormula>
    </tableColumn>
    <tableColumn id="9" name="%" totalsRowFunction="custom" totalsRowDxfId="140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IF((Q134="المقطم"),0.3,IF((Q134="التجمع"),0.3,IF((Q134="الشيخ زايد"),0.3,IF((Q134="الاسكندرية"),0.5,0.35))))</calculatedColumnFormula>
    </tableColumn>
    <tableColumn id="2" name="Column2" dataDxfId="1414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81"/>
    <tableColumn id="2" name="عدد" dataDxfId="1381">
      <calculatedColumnFormula>IF(OR((N70="B11"),(N70="B12"),(N70="B21"),(N70="B22"),(N70="B31"),(N70="B32")),3,0)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(Table15880101[[#This Row],[Column1]]+Table15880101[[#This Row],[Column2]])*12*Table15880101[[#This Row],[عدد]]</calculatedColumnFormula>
    </tableColumn>
    <tableColumn id="4" name="الوحده" dataDxfId="1381"/>
    <tableColumn id="5" name="الوزن" totalsRowFunction="custom">
      <totalsRowFormula>(S77*M77)+(S78*M78)+(M79*S79)+(S80*M80)</totalsRowFormula>
    </tableColumn>
    <tableColumn id="6" name="اجمالي المسطح" totalsRowFunction="sum" dataDxfId="1386">
      <calculatedColumnFormula>Table15880101[[#This Row],[المسطح]]*Table15880101[[#This Row],[عدد]]</calculatedColumnFormula>
    </tableColumn>
    <tableColumn id="7" name="سعر الشبك " dataDxfId="1431">
      <calculatedColumnFormula>S77*$S$2/1000</calculatedColumnFormula>
    </tableColumn>
    <tableColumn id="8" name="اجمالي" totalsRowFunction="sum" dataDxfId="1390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Sheet2!AW6</calculatedColumnFormula>
    </tableColumn>
    <tableColumn id="8" name="اجمالي" totalsRowFunction="sum" dataDxfId="1390" totalsRowDxfId="1408">
      <calculatedColumnFormula>BH28*BP28</calculatedColumnFormula>
    </tableColumn>
    <tableColumn id="9" name="%" totalsRowFunction="custom" totalsRowDxfId="140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81" totalsRowDxfId="1382"/>
    <tableColumn id="2" name="عدد" totalsRowFunction="count" dataDxfId="1381" totalsRowDxfId="1382">
      <calculatedColumnFormula>B29*4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totalsRowFunction="sum" dataDxfId="1210" totalsRowDxfId="1211">
      <calculatedColumnFormula>(Table16[[#This Row],[Column1]]*Table16[[#This Row],[Column2]])*Table16[[#This Row],[عدد]]</calculatedColumnFormula>
    </tableColumn>
    <tableColumn id="4" name="الوحده" dataDxfId="1381" totalsRowDxfId="1382"/>
    <tableColumn id="5" name="الوزن" totalsRowFunction="custom" totalsRowDxfId="1382">
      <totalsRowFormula>H30*B30+H31*B31</totalsRowFormula>
    </tableColumn>
    <tableColumn id="6" name="Column3" dataDxfId="1386" totalsRowDxfId="1382"/>
    <tableColumn id="7" name="سعر الشبك " dataDxfId="1205" totalsRowDxfId="1387">
      <calculatedColumnFormula>H30*$H$2/1000</calculatedColumnFormula>
    </tableColumn>
    <tableColumn id="8" name="اجمالي" totalsRowFunction="sum" dataDxfId="1207" totalsRowDxfId="1388">
      <calculatedColumnFormula>B30*J30</calculatedColumnFormula>
    </tableColumn>
    <tableColumn id="9" name="%" totalsRowFunction="custom" totalsRowDxfId="138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Sheet2!AW26</calculatedColumnFormula>
    </tableColumn>
    <tableColumn id="8" name="اجمالي" totalsRowFunction="sum" dataDxfId="1390" totalsRowDxfId="1408">
      <calculatedColumnFormula>BH14*BP14</calculatedColumnFormula>
    </tableColumn>
    <tableColumn id="9" name="%" totalsRowFunction="custom" totalsRowDxfId="140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81"/>
    <tableColumn id="2" name="عدد" totalsRowFunction="count" dataDxfId="1381">
      <calculatedColumnFormula>BH20*4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(Table16627383[[#This Row],[Column1]]*Table16627383[[#This Row],[Column2]])*Table16627383[[#This Row],[عدد]]</calculatedColumnFormula>
    </tableColumn>
    <tableColumn id="4" name="الوحده" dataDxfId="1381"/>
    <tableColumn id="5" name="الوزن" totalsRowFunction="custom">
      <totalsRowFormula>(BN23*BH23)+(BH24*BN24)</totalsRowFormula>
    </tableColumn>
    <tableColumn id="6" name="سعر الكيلو" dataDxfId="1386"/>
    <tableColumn id="7" name="سعر الشبك " dataDxfId="1392">
      <calculatedColumnFormula>BN22*$S$2/1000</calculatedColumnFormula>
    </tableColumn>
    <tableColumn id="8" name="اجمالي" totalsRowFunction="sum" dataDxfId="1390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81"/>
    <tableColumn id="2" name="عدد" dataDxfId="1414">
      <calculatedColumnFormula>IF((تسعير!$AU$14="بالتات"),0,BH48-2)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تسعير!$AT$44</calculatedColumnFormula>
    </tableColumn>
    <tableColumn id="10" name="شيفت العمل" dataDxfId="1381"/>
    <tableColumn id="12" name="Column12" totalsRowFunction="sum" dataDxfId="1398">
      <calculatedColumnFormula>SUMIF(Table17697888[Column1],Table1612677686[[#This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Table1612677686[[#This Row],[Column12]]</calculatedColumnFormula>
    </tableColumn>
    <tableColumn id="8" name="اجمالي" totalsRowFunction="sum" dataDxfId="1390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97"/>
    <tableColumn id="2" name="عدد" dataDxfId="1414">
      <calculatedColumnFormula>IF((BL62="الاسكندرية"),0.25,0.1)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BQ45</calculatedColumnFormula>
    </tableColumn>
    <tableColumn id="8" name="اجمالي" totalsRowFunction="sum" dataDxfId="1390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IF((BL62="المقطم"),0.3,IF((BL62="التجمع"),0.3,IF((BL62="الشيخ زايد"),0.3,IF((BL62="الاسكندرية"),0.5,0.35))))</calculatedColumnFormula>
    </tableColumn>
    <tableColumn id="2" name="Column2" dataDxfId="1414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(Table1588090[[#This Row],[Column1]]+Table1588090[[#This Row],[Column2]])*12*Table1588090[[#This Row],[عدد]]</calculatedColumnFormula>
    </tableColumn>
    <tableColumn id="4" name="الوحده" dataDxfId="1381"/>
    <tableColumn id="5" name="الوزن" totalsRowFunction="custom">
      <totalsRowFormula>(BN6*BH6)+(BN7*BG7)+(BN8*BG8)+(BN9*BG9)</totalsRowFormula>
    </tableColumn>
    <tableColumn id="6" name="اجمالي المسطح" totalsRowFunction="sum" dataDxfId="1386">
      <calculatedColumnFormula>Table1588090[[#This Row],[المسطح]]*Table1588090[[#This Row],[عدد]]</calculatedColumnFormula>
    </tableColumn>
    <tableColumn id="7" name="سعر الشبك " dataDxfId="1231">
      <calculatedColumnFormula>BN6*$S$2/1000</calculatedColumnFormula>
    </tableColumn>
    <tableColumn id="8" name="اجمالي" totalsRowFunction="sum" dataDxfId="1390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62" totalsRowDxfId="5"/>
    <tableColumn id="2" name="عدد" totalsRowFunction="custom" totalsRowDxfId="4">
      <totalsRowFormula>(Table8091[[#Totals],[price]]*1.1)/(BA1*AY1/10000)</totalsRowFormula>
    </tableColumn>
    <tableColumn id="3" name="طول" dataDxfId="1241" totalsRowDxfId="0"/>
    <tableColumn id="4" name="Column2" dataDxfId="1241" totalsRowDxfId="1242"/>
    <tableColumn id="5" name="wt/m" dataDxfId="1433" totalsRowDxfId="1242"/>
    <tableColumn id="6" name="price" totalsRowFunction="sum" dataDxfId="1241" totalsRowDxfId="143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6" t="s">
        <v>217</v>
      </c>
      <c r="H1" s="566"/>
      <c r="I1" s="566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32581.25</v>
      </c>
      <c r="J3" s="515"/>
    </row>
    <row r="4" ht="21">
      <c r="A4" s="509"/>
      <c r="B4" s="510"/>
      <c r="C4" s="510"/>
      <c r="D4" s="511"/>
      <c r="E4" s="500"/>
      <c r="F4" s="505"/>
      <c r="G4" s="567" t="s">
        <v>218</v>
      </c>
      <c r="H4" s="567"/>
      <c r="I4" s="567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118273.75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68" t="s">
        <v>219</v>
      </c>
      <c r="B10" s="568"/>
    </row>
    <row r="11">
      <c r="A11" s="233" t="s">
        <v>220</v>
      </c>
      <c r="B11" s="233" t="s">
        <v>221</v>
      </c>
    </row>
    <row r="12">
      <c r="A12" s="233" t="s">
        <v>222</v>
      </c>
      <c r="B12" s="233">
        <v>50000</v>
      </c>
    </row>
    <row r="13">
      <c r="A13" s="233" t="s">
        <v>223</v>
      </c>
      <c r="B13" s="233">
        <v>55000</v>
      </c>
    </row>
    <row r="14">
      <c r="A14" s="558" t="s">
        <v>224</v>
      </c>
      <c r="B14" s="233">
        <v>215000</v>
      </c>
    </row>
    <row r="15">
      <c r="A15" s="233" t="s">
        <v>225</v>
      </c>
      <c r="B15" s="233">
        <v>55000</v>
      </c>
    </row>
    <row r="16">
      <c r="A16" s="233" t="s">
        <v>226</v>
      </c>
      <c r="B16" s="233">
        <v>275</v>
      </c>
    </row>
    <row r="17">
      <c r="A17" s="233" t="s">
        <v>227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228</v>
      </c>
      <c r="B33" s="233">
        <v>11000</v>
      </c>
    </row>
    <row r="34">
      <c r="A34" s="233" t="s">
        <v>229</v>
      </c>
      <c r="B34" s="233">
        <v>2000</v>
      </c>
    </row>
    <row r="35">
      <c r="A35" s="233" t="s">
        <v>230</v>
      </c>
      <c r="B35" s="233">
        <v>1500</v>
      </c>
    </row>
    <row r="36">
      <c r="A36" s="233" t="s">
        <v>231</v>
      </c>
      <c r="B36" s="233">
        <v>1500</v>
      </c>
    </row>
    <row r="37">
      <c r="A37" s="233" t="s">
        <v>232</v>
      </c>
      <c r="B37" s="233">
        <v>5000</v>
      </c>
    </row>
    <row r="38">
      <c r="A38" s="233" t="s">
        <v>233</v>
      </c>
      <c r="B38" s="233">
        <v>800</v>
      </c>
    </row>
    <row r="39">
      <c r="A39" s="233" t="s">
        <v>234</v>
      </c>
      <c r="B39" s="233">
        <v>120</v>
      </c>
    </row>
    <row r="40">
      <c r="A40" s="233" t="s">
        <v>235</v>
      </c>
      <c r="B40" s="233">
        <v>90</v>
      </c>
    </row>
    <row r="41">
      <c r="A41" s="233" t="s">
        <v>236</v>
      </c>
      <c r="B41" s="233">
        <v>20</v>
      </c>
    </row>
    <row r="42" ht="18.75">
      <c r="A42" s="331" t="s">
        <v>237</v>
      </c>
      <c r="B42" s="233">
        <v>450</v>
      </c>
    </row>
    <row r="43" ht="18.75">
      <c r="A43" s="331" t="s">
        <v>238</v>
      </c>
      <c r="B43" s="233">
        <v>160</v>
      </c>
    </row>
    <row r="44" ht="18.75">
      <c r="A44" s="331" t="s">
        <v>239</v>
      </c>
      <c r="B44" s="233">
        <v>175</v>
      </c>
    </row>
    <row r="45">
      <c r="A45" s="558" t="s">
        <v>240</v>
      </c>
      <c r="B45" s="233">
        <v>4000</v>
      </c>
    </row>
    <row r="46">
      <c r="A46" s="558" t="s">
        <v>241</v>
      </c>
      <c r="B46" s="233">
        <v>3000</v>
      </c>
    </row>
    <row r="47">
      <c r="A47" s="233" t="s">
        <v>242</v>
      </c>
      <c r="B47" s="233">
        <v>160</v>
      </c>
    </row>
    <row r="48">
      <c r="A48" s="233" t="s">
        <v>243</v>
      </c>
      <c r="B48" s="233">
        <v>20</v>
      </c>
    </row>
    <row r="49">
      <c r="A49" s="233" t="s">
        <v>244</v>
      </c>
      <c r="B49" s="233">
        <v>1200</v>
      </c>
    </row>
    <row r="50">
      <c r="A50" s="233" t="s">
        <v>245</v>
      </c>
      <c r="B50" s="233">
        <v>150</v>
      </c>
    </row>
    <row r="51">
      <c r="A51" s="233" t="s">
        <v>246</v>
      </c>
      <c r="B51" s="233">
        <v>150</v>
      </c>
    </row>
    <row r="52">
      <c r="A52" s="233" t="s">
        <v>247</v>
      </c>
      <c r="B52" s="233">
        <v>250</v>
      </c>
    </row>
    <row r="53">
      <c r="A53" s="233" t="s">
        <v>248</v>
      </c>
      <c r="B53" s="233">
        <v>100</v>
      </c>
    </row>
    <row r="54">
      <c r="A54" s="558" t="s">
        <v>249</v>
      </c>
      <c r="B54" s="233">
        <v>1200</v>
      </c>
    </row>
    <row r="55">
      <c r="A55" s="537" t="s">
        <v>250</v>
      </c>
      <c r="B55" s="233">
        <v>23000</v>
      </c>
    </row>
    <row r="56">
      <c r="A56" s="537" t="s">
        <v>251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594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355</v>
      </c>
      <c r="Y1" s="136" t="e">
        <f>Royal!#REF!</f>
        <v>#REF!</v>
      </c>
      <c r="Z1" s="151" t="s">
        <v>356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357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358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356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359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252</v>
      </c>
      <c r="B6" s="683"/>
      <c r="C6" s="684"/>
      <c r="D6" s="676" t="s">
        <v>360</v>
      </c>
      <c r="E6" s="745" t="s">
        <v>361</v>
      </c>
      <c r="F6" s="746"/>
      <c r="G6" s="719"/>
      <c r="H6" s="719"/>
      <c r="I6" s="746"/>
      <c r="J6" s="747"/>
      <c r="K6" s="748">
        <f>تسجيل1!C7</f>
        <v>500</v>
      </c>
      <c r="L6" s="748"/>
      <c r="M6" s="94" t="s">
        <v>362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363</v>
      </c>
      <c r="F7" s="719"/>
      <c r="G7" s="719"/>
      <c r="H7" s="719"/>
      <c r="I7" s="719"/>
      <c r="J7" s="720"/>
      <c r="K7" s="721">
        <f>K6*N6/10000</f>
        <v>40</v>
      </c>
      <c r="L7" s="721"/>
      <c r="M7" s="721"/>
      <c r="N7" s="98" t="s">
        <v>364</v>
      </c>
      <c r="O7" s="99">
        <f>AA41/K7</f>
        <v>2895.7462160158993</v>
      </c>
      <c r="S7" s="60" t="s">
        <v>127</v>
      </c>
      <c r="T7" s="61" t="s">
        <v>365</v>
      </c>
      <c r="Z7" s="151"/>
      <c r="AA7" s="60"/>
      <c r="AB7" s="60"/>
    </row>
    <row r="8">
      <c r="A8" s="685"/>
      <c r="B8" s="686"/>
      <c r="C8" s="687"/>
      <c r="D8" s="677"/>
      <c r="E8" s="722" t="s">
        <v>366</v>
      </c>
      <c r="F8" s="723"/>
      <c r="G8" s="723"/>
      <c r="H8" s="723"/>
      <c r="I8" s="723"/>
      <c r="J8" s="724"/>
      <c r="K8" s="725">
        <f>K6-1</f>
        <v>499</v>
      </c>
      <c r="L8" s="725"/>
      <c r="M8" s="100" t="s">
        <v>367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368</v>
      </c>
      <c r="B10" s="726"/>
      <c r="C10" s="726"/>
      <c r="D10" s="726"/>
      <c r="E10" s="726"/>
      <c r="F10" s="726"/>
      <c r="G10" s="727" t="s">
        <v>369</v>
      </c>
      <c r="H10" s="727"/>
      <c r="I10" s="727" t="s">
        <v>370</v>
      </c>
      <c r="J10" s="727"/>
      <c r="K10" s="104"/>
      <c r="L10" s="728" t="s">
        <v>305</v>
      </c>
      <c r="M10" s="728"/>
      <c r="N10" s="728"/>
      <c r="O10" s="105"/>
      <c r="P10" s="97"/>
      <c r="Q10" s="97"/>
      <c r="R10" s="97"/>
      <c r="S10" s="90" t="s">
        <v>371</v>
      </c>
      <c r="T10" s="90" t="s">
        <v>372</v>
      </c>
      <c r="U10" s="90" t="s">
        <v>373</v>
      </c>
      <c r="V10" s="90" t="s">
        <v>374</v>
      </c>
      <c r="W10" s="60" t="s">
        <v>375</v>
      </c>
      <c r="X10" s="60" t="s">
        <v>221</v>
      </c>
      <c r="Z10" s="151"/>
      <c r="AA10" s="60"/>
      <c r="AB10" s="60"/>
    </row>
    <row r="11" ht="20.1" customHeight="1">
      <c r="A11" s="729" t="s">
        <v>376</v>
      </c>
      <c r="B11" s="730"/>
      <c r="C11" s="730"/>
      <c r="D11" s="730"/>
      <c r="E11" s="730"/>
      <c r="F11" s="731"/>
      <c r="G11" s="732">
        <f>L11</f>
        <v>3</v>
      </c>
      <c r="H11" s="732"/>
      <c r="I11" s="733">
        <f>'Format διαστασης οδηγου'!F8</f>
        <v>765</v>
      </c>
      <c r="J11" s="733"/>
      <c r="K11" s="106"/>
      <c r="L11" s="728">
        <f>IF(Format!A7=1,تسجيل1!H27,IF(Format!A7=2,تسجيل1!H27,IF(Format!A7=3,تسجيل1!H27,IF(Format!A7=4,تسجيل1!H27,IF(Format!A7=5,تسجيل1!H27,"-------")))))</f>
        <v>3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706" t="s">
        <v>377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08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706" t="s">
        <v>378</v>
      </c>
      <c r="B13" s="706"/>
      <c r="C13" s="706"/>
      <c r="D13" s="706"/>
      <c r="E13" s="706"/>
      <c r="F13" s="706"/>
      <c r="G13" s="707" t="str">
        <f>IF(L11&lt;=3,"0",(L11-3)*2)</f>
        <v>0</v>
      </c>
      <c r="H13" s="707"/>
      <c r="I13" s="708">
        <f>IF(G13="-------","-------",L17-5)</f>
        <v>240.5</v>
      </c>
      <c r="J13" s="708"/>
      <c r="K13" s="106"/>
      <c r="L13" s="717" t="s">
        <v>279</v>
      </c>
      <c r="M13" s="717"/>
      <c r="N13" s="71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6" t="s">
        <v>379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247</v>
      </c>
      <c r="J14" s="708"/>
      <c r="K14" s="106"/>
      <c r="L14" s="109">
        <f>تسجيل1!H28</f>
        <v>12</v>
      </c>
      <c r="M14" s="110" t="s">
        <v>283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706" t="s">
        <v>380</v>
      </c>
      <c r="B15" s="706"/>
      <c r="C15" s="706"/>
      <c r="D15" s="706"/>
      <c r="E15" s="706"/>
      <c r="F15" s="706"/>
      <c r="G15" s="707" t="str">
        <f>IF(L11&lt;=3,"0",(L11-3)*L14)</f>
        <v>0</v>
      </c>
      <c r="H15" s="707"/>
      <c r="I15" s="708">
        <f>IF(G15="-------","---------",I13)</f>
        <v>240.5</v>
      </c>
      <c r="J15" s="708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6" t="s">
        <v>381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08"/>
      <c r="K16" s="106"/>
      <c r="L16" s="701" t="s">
        <v>382</v>
      </c>
      <c r="M16" s="701"/>
      <c r="N16" s="701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706" t="s">
        <v>383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249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245.5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706" t="s">
        <v>384</v>
      </c>
      <c r="B18" s="706"/>
      <c r="C18" s="706"/>
      <c r="D18" s="706"/>
      <c r="E18" s="706"/>
      <c r="F18" s="706"/>
      <c r="G18" s="707" t="str">
        <f>IF(L11&lt;=3,"0",(L11-3))</f>
        <v>0</v>
      </c>
      <c r="H18" s="707"/>
      <c r="I18" s="708">
        <f>IF(G18="-------","-------",L17)</f>
        <v>245.5</v>
      </c>
      <c r="J18" s="708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497.5</v>
      </c>
      <c r="J19" s="708"/>
      <c r="K19" s="106"/>
      <c r="L19" s="709" t="s">
        <v>308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385</v>
      </c>
      <c r="B20" s="713"/>
      <c r="C20" s="713"/>
      <c r="D20" s="713"/>
      <c r="E20" s="713"/>
      <c r="F20" s="714"/>
      <c r="G20" s="712">
        <f>(G12+G13)/2</f>
        <v>2</v>
      </c>
      <c r="H20" s="713"/>
      <c r="I20" s="708">
        <f>L17-7</f>
        <v>238.5</v>
      </c>
      <c r="J20" s="708"/>
      <c r="K20" s="106"/>
      <c r="L20" s="114" t="s">
        <v>369</v>
      </c>
      <c r="M20" s="715" t="s">
        <v>386</v>
      </c>
      <c r="N20" s="715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698" t="s">
        <v>387</v>
      </c>
      <c r="B21" s="698"/>
      <c r="C21" s="698"/>
      <c r="D21" s="698"/>
      <c r="E21" s="698"/>
      <c r="F21" s="698"/>
      <c r="G21" s="699">
        <f>L11</f>
        <v>3</v>
      </c>
      <c r="H21" s="699"/>
      <c r="I21" s="700">
        <f>(I11*2)+45</f>
        <v>1575</v>
      </c>
      <c r="J21" s="700"/>
      <c r="K21" s="106"/>
      <c r="L21" s="112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02" t="s">
        <v>388</v>
      </c>
      <c r="B23" s="703"/>
      <c r="C23" s="703"/>
      <c r="D23" s="703"/>
      <c r="E23" s="704"/>
      <c r="F23" s="67" t="s">
        <v>389</v>
      </c>
      <c r="G23" s="68"/>
      <c r="H23" s="702" t="s">
        <v>390</v>
      </c>
      <c r="I23" s="703"/>
      <c r="J23" s="703"/>
      <c r="K23" s="703"/>
      <c r="L23" s="704"/>
      <c r="M23" s="67" t="s">
        <v>369</v>
      </c>
      <c r="N23" s="119"/>
      <c r="O23" s="119"/>
      <c r="P23" s="120"/>
      <c r="Q23" s="120"/>
      <c r="R23" s="120"/>
      <c r="S23" s="146"/>
      <c r="T23" s="147" t="s">
        <v>391</v>
      </c>
      <c r="U23" s="146" t="s">
        <v>392</v>
      </c>
      <c r="V23" s="146" t="s">
        <v>393</v>
      </c>
      <c r="W23" s="146" t="s">
        <v>394</v>
      </c>
      <c r="X23" s="146" t="s">
        <v>392</v>
      </c>
      <c r="Y23" s="146" t="s">
        <v>393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395</v>
      </c>
      <c r="C24" s="705"/>
      <c r="D24" s="705"/>
      <c r="E24" s="705"/>
      <c r="F24" s="70">
        <f>L11</f>
        <v>3</v>
      </c>
      <c r="G24" s="71"/>
      <c r="H24" s="69">
        <v>16</v>
      </c>
      <c r="I24" s="705" t="s">
        <v>296</v>
      </c>
      <c r="J24" s="705"/>
      <c r="K24" s="705"/>
      <c r="L24" s="705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691" t="s">
        <v>396</v>
      </c>
      <c r="C25" s="691"/>
      <c r="D25" s="691"/>
      <c r="E25" s="691"/>
      <c r="F25" s="73">
        <f>L11</f>
        <v>3</v>
      </c>
      <c r="G25" s="71"/>
      <c r="H25" s="72">
        <v>17</v>
      </c>
      <c r="I25" s="691" t="s">
        <v>229</v>
      </c>
      <c r="J25" s="691"/>
      <c r="K25" s="691"/>
      <c r="L25" s="69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1" t="s">
        <v>397</v>
      </c>
      <c r="C26" s="691"/>
      <c r="D26" s="691"/>
      <c r="E26" s="691"/>
      <c r="F26" s="73">
        <f>M24</f>
        <v>1</v>
      </c>
      <c r="G26" s="71"/>
      <c r="H26" s="72">
        <v>18</v>
      </c>
      <c r="I26" s="691" t="s">
        <v>398</v>
      </c>
      <c r="J26" s="691"/>
      <c r="K26" s="691"/>
      <c r="L26" s="691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88" t="s">
        <v>399</v>
      </c>
      <c r="C27" s="689"/>
      <c r="D27" s="689"/>
      <c r="E27" s="690"/>
      <c r="F27" s="73">
        <v>4</v>
      </c>
      <c r="G27" s="71"/>
      <c r="H27" s="72">
        <v>19</v>
      </c>
      <c r="I27" s="691" t="s">
        <v>400</v>
      </c>
      <c r="J27" s="691"/>
      <c r="K27" s="691"/>
      <c r="L27" s="69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88" t="s">
        <v>401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402</v>
      </c>
      <c r="J28" s="691"/>
      <c r="K28" s="691"/>
      <c r="L28" s="691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88" t="s">
        <v>403</v>
      </c>
      <c r="C29" s="689"/>
      <c r="D29" s="689"/>
      <c r="E29" s="690"/>
      <c r="F29" s="73">
        <f>L11*2</f>
        <v>6</v>
      </c>
      <c r="G29" s="71"/>
      <c r="H29" s="72">
        <v>21</v>
      </c>
      <c r="I29" s="691" t="s">
        <v>230</v>
      </c>
      <c r="J29" s="691"/>
      <c r="K29" s="691"/>
      <c r="L29" s="691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88" t="s">
        <v>404</v>
      </c>
      <c r="C30" s="689"/>
      <c r="D30" s="689"/>
      <c r="E30" s="690"/>
      <c r="F30" s="73">
        <f>L14*L11</f>
        <v>36</v>
      </c>
      <c r="G30" s="71"/>
      <c r="H30" s="72">
        <v>22</v>
      </c>
      <c r="I30" s="691" t="s">
        <v>231</v>
      </c>
      <c r="J30" s="691"/>
      <c r="K30" s="691"/>
      <c r="L30" s="691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88" t="s">
        <v>405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406</v>
      </c>
      <c r="J31" s="691"/>
      <c r="K31" s="691"/>
      <c r="L31" s="691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88" t="s">
        <v>407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408</v>
      </c>
      <c r="J32" s="691"/>
      <c r="K32" s="691"/>
      <c r="L32" s="691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88" t="s">
        <v>409</v>
      </c>
      <c r="C33" s="689"/>
      <c r="D33" s="689"/>
      <c r="E33" s="690"/>
      <c r="F33" s="73">
        <f>L11*3</f>
        <v>9</v>
      </c>
      <c r="G33" s="71"/>
      <c r="H33" s="72">
        <v>25</v>
      </c>
      <c r="I33" s="691" t="s">
        <v>410</v>
      </c>
      <c r="J33" s="691"/>
      <c r="K33" s="691"/>
      <c r="L33" s="691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88" t="s">
        <v>411</v>
      </c>
      <c r="C34" s="689"/>
      <c r="D34" s="689"/>
      <c r="E34" s="690"/>
      <c r="F34" s="73">
        <f>L11*3</f>
        <v>9</v>
      </c>
      <c r="G34" s="71"/>
      <c r="H34" s="72">
        <v>26</v>
      </c>
      <c r="I34" s="691" t="s">
        <v>232</v>
      </c>
      <c r="J34" s="691"/>
      <c r="K34" s="691"/>
      <c r="L34" s="69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88" t="s">
        <v>412</v>
      </c>
      <c r="C35" s="689"/>
      <c r="D35" s="689"/>
      <c r="E35" s="690"/>
      <c r="F35" s="73">
        <f>IF(L11&gt;2,(L11-2)*2,"0")</f>
        <v>2</v>
      </c>
      <c r="G35" s="74"/>
      <c r="H35" s="72">
        <v>27</v>
      </c>
      <c r="I35" s="691" t="s">
        <v>233</v>
      </c>
      <c r="J35" s="691"/>
      <c r="K35" s="691"/>
      <c r="L35" s="69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88" t="s">
        <v>413</v>
      </c>
      <c r="C36" s="689"/>
      <c r="D36" s="689"/>
      <c r="E36" s="690"/>
      <c r="F36" s="73">
        <f>IF(L11&gt;2,(L11-2)*L14,"0")</f>
        <v>12</v>
      </c>
      <c r="G36" s="74"/>
      <c r="H36" s="72">
        <v>28</v>
      </c>
      <c r="I36" s="691" t="s">
        <v>414</v>
      </c>
      <c r="J36" s="691"/>
      <c r="K36" s="691"/>
      <c r="L36" s="691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88" t="s">
        <v>415</v>
      </c>
      <c r="C37" s="689"/>
      <c r="D37" s="689"/>
      <c r="E37" s="690"/>
      <c r="F37" s="73">
        <f>M24</f>
        <v>1</v>
      </c>
      <c r="G37" s="74"/>
      <c r="H37" s="72">
        <v>29</v>
      </c>
      <c r="I37" s="691" t="s">
        <v>416</v>
      </c>
      <c r="J37" s="691"/>
      <c r="K37" s="691"/>
      <c r="L37" s="691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1" t="s">
        <v>234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417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43516.1</v>
      </c>
      <c r="AB39" s="678"/>
    </row>
    <row r="40" ht="20.45" customHeight="1" s="58" customFormat="1">
      <c r="A40" s="692" t="s">
        <v>418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289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115829.84864063597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290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419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357</v>
      </c>
      <c r="B2" s="649">
        <f>Royal!C3</f>
        <v>0</v>
      </c>
      <c r="C2" s="650"/>
      <c r="D2" s="650"/>
      <c r="E2" s="650"/>
      <c r="F2" s="651"/>
      <c r="G2" s="1">
        <v>2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420</v>
      </c>
      <c r="F3" s="648" t="s">
        <v>421</v>
      </c>
      <c r="G3" s="648"/>
    </row>
    <row r="4" ht="18" customHeight="1">
      <c r="A4" s="11" t="s">
        <v>289</v>
      </c>
      <c r="F4" s="652" t="s">
        <v>422</v>
      </c>
      <c r="G4" s="653"/>
      <c r="H4" s="653"/>
      <c r="I4" s="654"/>
      <c r="J4" s="10"/>
    </row>
    <row r="5" ht="18" customHeight="1">
      <c r="A5" s="11" t="s">
        <v>290</v>
      </c>
      <c r="F5" s="655" t="s">
        <v>423</v>
      </c>
      <c r="G5" s="646"/>
      <c r="H5" s="646"/>
      <c r="I5" s="647"/>
      <c r="J5" s="10"/>
    </row>
    <row r="6" ht="18" customHeight="1">
      <c r="A6" s="11" t="s">
        <v>361</v>
      </c>
      <c r="Q6" s="640"/>
      <c r="R6" s="640"/>
      <c r="S6" s="640"/>
    </row>
    <row r="7" ht="18" customHeight="1">
      <c r="B7" s="180" t="s">
        <v>125</v>
      </c>
      <c r="C7" s="181">
        <f>تسعير!AA33</f>
        <v>1200</v>
      </c>
      <c r="D7" s="182" t="s">
        <v>424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291</v>
      </c>
    </row>
    <row r="10" ht="18" customHeight="1">
      <c r="A10" s="11" t="s">
        <v>292</v>
      </c>
    </row>
    <row r="11" ht="18" customHeight="1">
      <c r="A11" s="11" t="s">
        <v>308</v>
      </c>
      <c r="B11" s="635" t="s">
        <v>425</v>
      </c>
      <c r="C11" s="636"/>
      <c r="D11" s="646" t="s">
        <v>426</v>
      </c>
      <c r="E11" s="647"/>
    </row>
    <row r="12" ht="18" customHeight="1">
      <c r="A12" s="11" t="s">
        <v>293</v>
      </c>
    </row>
    <row r="13" ht="18" customHeight="1">
      <c r="A13" s="11" t="s">
        <v>427</v>
      </c>
    </row>
    <row r="14" ht="18" customHeight="1"/>
    <row r="15" ht="24.6" customHeight="1">
      <c r="A15" s="11" t="s">
        <v>296</v>
      </c>
      <c r="Q15" s="640"/>
      <c r="R15" s="640"/>
      <c r="S15" s="640"/>
    </row>
    <row r="16" ht="18" customHeight="1">
      <c r="C16" s="648" t="s">
        <v>428</v>
      </c>
      <c r="D16" s="648"/>
      <c r="E16" s="648"/>
      <c r="F16" s="1" t="s">
        <v>429</v>
      </c>
    </row>
    <row r="17" ht="18" customHeight="1">
      <c r="A17" s="648" t="s">
        <v>294</v>
      </c>
      <c r="B17" s="648"/>
      <c r="C17" s="648"/>
    </row>
    <row r="18" ht="18" customHeight="1">
      <c r="A18" s="637" t="s">
        <v>430</v>
      </c>
      <c r="B18" s="638"/>
      <c r="C18" s="14">
        <f>'Format Φωτισμου (2)'!B9</f>
        <v>5</v>
      </c>
    </row>
    <row r="19" ht="18" customHeight="1">
      <c r="A19" s="637" t="s">
        <v>431</v>
      </c>
      <c r="B19" s="638"/>
      <c r="C19" s="14">
        <f>'Format Φωτισμου (2)'!B12</f>
        <v>35</v>
      </c>
    </row>
    <row r="20" ht="18" customHeight="1">
      <c r="A20" s="637" t="s">
        <v>432</v>
      </c>
      <c r="B20" s="638"/>
      <c r="C20" s="14">
        <f>C19/C18</f>
        <v>7</v>
      </c>
    </row>
    <row r="21" ht="18" customHeight="1">
      <c r="A21" s="642" t="s">
        <v>433</v>
      </c>
      <c r="B21" s="643"/>
      <c r="C21" s="644">
        <v>20</v>
      </c>
      <c r="D21" s="645"/>
      <c r="E21" s="635" t="s">
        <v>434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435</v>
      </c>
      <c r="B22" s="638"/>
      <c r="C22" s="179">
        <v>50</v>
      </c>
      <c r="D22" s="184" t="s">
        <v>436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437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438</v>
      </c>
      <c r="H26" s="1" t="s">
        <v>439</v>
      </c>
    </row>
    <row r="27" ht="18" customHeight="1">
      <c r="A27" s="11" t="s">
        <v>305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308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354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355</v>
      </c>
      <c r="Y1" s="136" t="e">
        <f>Royal!#REF!</f>
        <v>#REF!</v>
      </c>
      <c r="Z1" s="151" t="s">
        <v>356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357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358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356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359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252</v>
      </c>
      <c r="B6" s="683"/>
      <c r="C6" s="684"/>
      <c r="D6" s="676" t="s">
        <v>360</v>
      </c>
      <c r="E6" s="745" t="s">
        <v>361</v>
      </c>
      <c r="F6" s="746"/>
      <c r="G6" s="719"/>
      <c r="H6" s="719"/>
      <c r="I6" s="746"/>
      <c r="J6" s="747"/>
      <c r="K6" s="748">
        <f>تسجيل2!C7</f>
        <v>1200</v>
      </c>
      <c r="L6" s="748"/>
      <c r="M6" s="94" t="s">
        <v>362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363</v>
      </c>
      <c r="F7" s="719"/>
      <c r="G7" s="719"/>
      <c r="H7" s="719"/>
      <c r="I7" s="719"/>
      <c r="J7" s="720"/>
      <c r="K7" s="721">
        <f>K6*N6/10000</f>
        <v>96</v>
      </c>
      <c r="L7" s="721"/>
      <c r="M7" s="721"/>
      <c r="N7" s="98" t="s">
        <v>364</v>
      </c>
      <c r="O7" s="99">
        <f>AA41/K7</f>
        <v>2110.4132453090647</v>
      </c>
      <c r="S7" s="60" t="s">
        <v>127</v>
      </c>
      <c r="T7" s="61" t="s">
        <v>365</v>
      </c>
      <c r="Z7" s="151"/>
      <c r="AA7" s="60"/>
      <c r="AB7" s="60"/>
    </row>
    <row r="8">
      <c r="A8" s="685"/>
      <c r="B8" s="686"/>
      <c r="C8" s="687"/>
      <c r="D8" s="677"/>
      <c r="E8" s="722" t="s">
        <v>366</v>
      </c>
      <c r="F8" s="723"/>
      <c r="G8" s="723"/>
      <c r="H8" s="723"/>
      <c r="I8" s="723"/>
      <c r="J8" s="724"/>
      <c r="K8" s="725">
        <f>K6-1</f>
        <v>1199</v>
      </c>
      <c r="L8" s="725"/>
      <c r="M8" s="100" t="s">
        <v>367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202599.67154967022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368</v>
      </c>
      <c r="B10" s="726"/>
      <c r="C10" s="726"/>
      <c r="D10" s="726"/>
      <c r="E10" s="726"/>
      <c r="F10" s="726"/>
      <c r="G10" s="727" t="s">
        <v>369</v>
      </c>
      <c r="H10" s="727"/>
      <c r="I10" s="727" t="s">
        <v>370</v>
      </c>
      <c r="J10" s="727"/>
      <c r="K10" s="104"/>
      <c r="L10" s="728" t="s">
        <v>305</v>
      </c>
      <c r="M10" s="728"/>
      <c r="N10" s="728"/>
      <c r="O10" s="105"/>
      <c r="P10" s="97"/>
      <c r="Q10" s="97"/>
      <c r="R10" s="97"/>
      <c r="S10" s="90" t="s">
        <v>371</v>
      </c>
      <c r="T10" s="90" t="s">
        <v>372</v>
      </c>
      <c r="U10" s="90" t="s">
        <v>373</v>
      </c>
      <c r="V10" s="90" t="s">
        <v>374</v>
      </c>
      <c r="W10" s="60" t="s">
        <v>375</v>
      </c>
      <c r="X10" s="60" t="s">
        <v>221</v>
      </c>
      <c r="Z10" s="151"/>
      <c r="AA10" s="60"/>
      <c r="AB10" s="60"/>
    </row>
    <row r="11" ht="20.1" customHeight="1">
      <c r="A11" s="729" t="s">
        <v>376</v>
      </c>
      <c r="B11" s="730"/>
      <c r="C11" s="730"/>
      <c r="D11" s="730"/>
      <c r="E11" s="730"/>
      <c r="F11" s="731"/>
      <c r="G11" s="732">
        <f>L11</f>
        <v>4</v>
      </c>
      <c r="H11" s="732"/>
      <c r="I11" s="733">
        <f>'Format διαστασης οδηγου (2)'!F8</f>
        <v>765</v>
      </c>
      <c r="J11" s="733"/>
      <c r="K11" s="106"/>
      <c r="L11" s="728">
        <f>IF(Format!A7=1,تسجيل2!H27,IF(Format!A7=2,تسجيل2!H27,IF(Format!A7=3,تسجيل2!H27,IF(Format!A7=4,تسجيل2!H27,IF(Format!A7=5,تسجيل2!H27,"-------")))))</f>
        <v>4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33511.203463203492</v>
      </c>
      <c r="Z11" s="151"/>
      <c r="AA11" s="60"/>
      <c r="AB11" s="60"/>
    </row>
    <row r="12" ht="20.1" customHeight="1">
      <c r="A12" s="706" t="s">
        <v>377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0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706" t="s">
        <v>378</v>
      </c>
      <c r="B13" s="706"/>
      <c r="C13" s="706"/>
      <c r="D13" s="706"/>
      <c r="E13" s="706"/>
      <c r="F13" s="706"/>
      <c r="G13" s="707">
        <f>IF(L11&lt;=3,"0",(L11-3)*2)</f>
        <v>2</v>
      </c>
      <c r="H13" s="707"/>
      <c r="I13" s="708">
        <f>IF(G13="-------","-------",L17-5)</f>
        <v>392</v>
      </c>
      <c r="J13" s="708"/>
      <c r="K13" s="106"/>
      <c r="L13" s="717" t="s">
        <v>279</v>
      </c>
      <c r="M13" s="717"/>
      <c r="N13" s="71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3503.9202657807264</v>
      </c>
      <c r="Z13" s="151"/>
      <c r="AA13" s="60"/>
      <c r="AB13" s="60"/>
    </row>
    <row r="14" ht="20.1" customHeight="1">
      <c r="A14" s="706" t="s">
        <v>379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398.5</v>
      </c>
      <c r="J14" s="708"/>
      <c r="K14" s="106"/>
      <c r="L14" s="109">
        <f>تسجيل2!H28</f>
        <v>12</v>
      </c>
      <c r="M14" s="110" t="s">
        <v>283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23726.896551724036</v>
      </c>
      <c r="Z14" s="151"/>
      <c r="AA14" s="60"/>
      <c r="AB14" s="60"/>
    </row>
    <row r="15" ht="20.1" customHeight="1">
      <c r="A15" s="706" t="s">
        <v>380</v>
      </c>
      <c r="B15" s="706"/>
      <c r="C15" s="706"/>
      <c r="D15" s="706"/>
      <c r="E15" s="706"/>
      <c r="F15" s="706"/>
      <c r="G15" s="707">
        <f>IF(L11&lt;=3,"0",(L11-3)*L14)</f>
        <v>12</v>
      </c>
      <c r="H15" s="707"/>
      <c r="I15" s="708">
        <f>IF(G15="-------","---------",I13)</f>
        <v>392</v>
      </c>
      <c r="J15" s="70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11863.448275862018</v>
      </c>
      <c r="Z15" s="151"/>
      <c r="AA15" s="60"/>
      <c r="AB15" s="60"/>
    </row>
    <row r="16" ht="20.1" customHeight="1">
      <c r="A16" s="706" t="s">
        <v>381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08"/>
      <c r="K16" s="106"/>
      <c r="L16" s="701" t="s">
        <v>382</v>
      </c>
      <c r="M16" s="701"/>
      <c r="N16" s="70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706" t="s">
        <v>383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400.5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706" t="s">
        <v>384</v>
      </c>
      <c r="B18" s="706"/>
      <c r="C18" s="706"/>
      <c r="D18" s="706"/>
      <c r="E18" s="706"/>
      <c r="F18" s="706"/>
      <c r="G18" s="707">
        <f>IF(L11&lt;=3,"0",(L11-3))</f>
        <v>1</v>
      </c>
      <c r="H18" s="707"/>
      <c r="I18" s="708">
        <f>IF(G18="-------","-------",L17)</f>
        <v>397</v>
      </c>
      <c r="J18" s="70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1311.1794871794918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1197.5</v>
      </c>
      <c r="J19" s="708"/>
      <c r="K19" s="106"/>
      <c r="L19" s="709" t="s">
        <v>308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385</v>
      </c>
      <c r="B20" s="713"/>
      <c r="C20" s="713"/>
      <c r="D20" s="713"/>
      <c r="E20" s="713"/>
      <c r="F20" s="714"/>
      <c r="G20" s="712">
        <f>(G12+G13)/2</f>
        <v>3</v>
      </c>
      <c r="H20" s="713"/>
      <c r="I20" s="708">
        <f>L17-7</f>
        <v>390</v>
      </c>
      <c r="J20" s="708"/>
      <c r="K20" s="106"/>
      <c r="L20" s="114" t="s">
        <v>369</v>
      </c>
      <c r="M20" s="715" t="s">
        <v>386</v>
      </c>
      <c r="N20" s="71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4653</v>
      </c>
      <c r="Z20" s="151"/>
      <c r="AA20" s="60"/>
      <c r="AB20" s="60"/>
    </row>
    <row r="21" ht="20.1" customHeight="1">
      <c r="A21" s="698" t="s">
        <v>387</v>
      </c>
      <c r="B21" s="698"/>
      <c r="C21" s="698"/>
      <c r="D21" s="698"/>
      <c r="E21" s="698"/>
      <c r="F21" s="698"/>
      <c r="G21" s="699">
        <f>L11</f>
        <v>4</v>
      </c>
      <c r="H21" s="699"/>
      <c r="I21" s="700">
        <f>(I11*2)+45</f>
        <v>1575</v>
      </c>
      <c r="J21" s="700"/>
      <c r="K21" s="106"/>
      <c r="L21" s="112">
        <f>IF(Format!E7=1,"-------",IF(Format!E7=5,"-------",تسجيل2!H30))</f>
        <v>4</v>
      </c>
      <c r="M21" s="701" t="str">
        <f>IF(L21="-------","-------",تسجيل2!D11)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96146.8475496702</v>
      </c>
      <c r="Z22" s="151"/>
      <c r="AA22" s="60"/>
      <c r="AB22" s="60"/>
    </row>
    <row r="23" ht="20.1" customHeight="1">
      <c r="A23" s="702" t="s">
        <v>388</v>
      </c>
      <c r="B23" s="703"/>
      <c r="C23" s="703"/>
      <c r="D23" s="703"/>
      <c r="E23" s="704"/>
      <c r="F23" s="67" t="s">
        <v>389</v>
      </c>
      <c r="G23" s="68"/>
      <c r="H23" s="702" t="s">
        <v>390</v>
      </c>
      <c r="I23" s="703"/>
      <c r="J23" s="703"/>
      <c r="K23" s="703"/>
      <c r="L23" s="704"/>
      <c r="M23" s="67" t="s">
        <v>369</v>
      </c>
      <c r="N23" s="119"/>
      <c r="O23" s="119"/>
      <c r="P23" s="120"/>
      <c r="Q23" s="120"/>
      <c r="R23" s="120"/>
      <c r="S23" s="146"/>
      <c r="T23" s="147" t="s">
        <v>391</v>
      </c>
      <c r="U23" s="146" t="s">
        <v>392</v>
      </c>
      <c r="V23" s="146" t="s">
        <v>393</v>
      </c>
      <c r="W23" s="146" t="s">
        <v>394</v>
      </c>
      <c r="X23" s="146" t="s">
        <v>392</v>
      </c>
      <c r="Y23" s="146" t="s">
        <v>393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395</v>
      </c>
      <c r="C24" s="705"/>
      <c r="D24" s="705"/>
      <c r="E24" s="705"/>
      <c r="F24" s="70">
        <f>L11</f>
        <v>4</v>
      </c>
      <c r="G24" s="71"/>
      <c r="H24" s="69">
        <v>16</v>
      </c>
      <c r="I24" s="705" t="s">
        <v>296</v>
      </c>
      <c r="J24" s="705"/>
      <c r="K24" s="705"/>
      <c r="L24" s="705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1" t="s">
        <v>396</v>
      </c>
      <c r="C25" s="691"/>
      <c r="D25" s="691"/>
      <c r="E25" s="691"/>
      <c r="F25" s="73">
        <f>L11</f>
        <v>4</v>
      </c>
      <c r="G25" s="71"/>
      <c r="H25" s="72">
        <v>17</v>
      </c>
      <c r="I25" s="691" t="s">
        <v>229</v>
      </c>
      <c r="J25" s="691"/>
      <c r="K25" s="691"/>
      <c r="L25" s="69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1" t="s">
        <v>397</v>
      </c>
      <c r="C26" s="691"/>
      <c r="D26" s="691"/>
      <c r="E26" s="691"/>
      <c r="F26" s="73">
        <f>M24</f>
        <v>2</v>
      </c>
      <c r="G26" s="71"/>
      <c r="H26" s="72">
        <v>18</v>
      </c>
      <c r="I26" s="691" t="s">
        <v>398</v>
      </c>
      <c r="J26" s="691"/>
      <c r="K26" s="691"/>
      <c r="L26" s="69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88" t="s">
        <v>399</v>
      </c>
      <c r="C27" s="689"/>
      <c r="D27" s="689"/>
      <c r="E27" s="690"/>
      <c r="F27" s="73">
        <v>4</v>
      </c>
      <c r="G27" s="71"/>
      <c r="H27" s="72">
        <v>19</v>
      </c>
      <c r="I27" s="691" t="s">
        <v>400</v>
      </c>
      <c r="J27" s="691"/>
      <c r="K27" s="691"/>
      <c r="L27" s="69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88" t="s">
        <v>401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402</v>
      </c>
      <c r="J28" s="691"/>
      <c r="K28" s="691"/>
      <c r="L28" s="69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88" t="s">
        <v>403</v>
      </c>
      <c r="C29" s="689"/>
      <c r="D29" s="689"/>
      <c r="E29" s="690"/>
      <c r="F29" s="73">
        <f>L11*2</f>
        <v>8</v>
      </c>
      <c r="G29" s="71"/>
      <c r="H29" s="72">
        <v>21</v>
      </c>
      <c r="I29" s="691" t="s">
        <v>230</v>
      </c>
      <c r="J29" s="691"/>
      <c r="K29" s="691"/>
      <c r="L29" s="69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88" t="s">
        <v>404</v>
      </c>
      <c r="C30" s="689"/>
      <c r="D30" s="689"/>
      <c r="E30" s="690"/>
      <c r="F30" s="73">
        <f>L14*L11</f>
        <v>48</v>
      </c>
      <c r="G30" s="71"/>
      <c r="H30" s="72">
        <v>22</v>
      </c>
      <c r="I30" s="691" t="s">
        <v>231</v>
      </c>
      <c r="J30" s="691"/>
      <c r="K30" s="691"/>
      <c r="L30" s="69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88" t="s">
        <v>405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406</v>
      </c>
      <c r="J31" s="691"/>
      <c r="K31" s="691"/>
      <c r="L31" s="69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88" t="s">
        <v>407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408</v>
      </c>
      <c r="J32" s="691"/>
      <c r="K32" s="691"/>
      <c r="L32" s="69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88" t="s">
        <v>409</v>
      </c>
      <c r="C33" s="689"/>
      <c r="D33" s="689"/>
      <c r="E33" s="690"/>
      <c r="F33" s="73">
        <f>L11*3</f>
        <v>12</v>
      </c>
      <c r="G33" s="71"/>
      <c r="H33" s="72">
        <v>25</v>
      </c>
      <c r="I33" s="691" t="s">
        <v>410</v>
      </c>
      <c r="J33" s="691"/>
      <c r="K33" s="691"/>
      <c r="L33" s="69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88" t="s">
        <v>411</v>
      </c>
      <c r="C34" s="689"/>
      <c r="D34" s="689"/>
      <c r="E34" s="690"/>
      <c r="F34" s="73">
        <f>L11*3</f>
        <v>12</v>
      </c>
      <c r="G34" s="71"/>
      <c r="H34" s="72">
        <v>26</v>
      </c>
      <c r="I34" s="691" t="s">
        <v>232</v>
      </c>
      <c r="J34" s="691"/>
      <c r="K34" s="691"/>
      <c r="L34" s="69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88" t="s">
        <v>412</v>
      </c>
      <c r="C35" s="689"/>
      <c r="D35" s="689"/>
      <c r="E35" s="690"/>
      <c r="F35" s="73">
        <f>IF(L11&gt;2,(L11-2)*2,"0")</f>
        <v>4</v>
      </c>
      <c r="G35" s="74"/>
      <c r="H35" s="72">
        <v>27</v>
      </c>
      <c r="I35" s="691" t="s">
        <v>233</v>
      </c>
      <c r="J35" s="691"/>
      <c r="K35" s="691"/>
      <c r="L35" s="69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88" t="s">
        <v>413</v>
      </c>
      <c r="C36" s="689"/>
      <c r="D36" s="689"/>
      <c r="E36" s="690"/>
      <c r="F36" s="73">
        <f>IF(L11&gt;2,(L11-2)*L14,"0")</f>
        <v>24</v>
      </c>
      <c r="G36" s="74"/>
      <c r="H36" s="72">
        <v>28</v>
      </c>
      <c r="I36" s="691" t="s">
        <v>414</v>
      </c>
      <c r="J36" s="691"/>
      <c r="K36" s="691"/>
      <c r="L36" s="69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88" t="s">
        <v>415</v>
      </c>
      <c r="C37" s="689"/>
      <c r="D37" s="689"/>
      <c r="E37" s="690"/>
      <c r="F37" s="73">
        <f>M24</f>
        <v>2</v>
      </c>
      <c r="G37" s="74"/>
      <c r="H37" s="72">
        <v>29</v>
      </c>
      <c r="I37" s="691" t="s">
        <v>416</v>
      </c>
      <c r="J37" s="691"/>
      <c r="K37" s="691"/>
      <c r="L37" s="69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1" t="s">
        <v>234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417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75907.1</v>
      </c>
      <c r="AB39" s="678"/>
    </row>
    <row r="40" ht="20.45" customHeight="1" s="58" customFormat="1">
      <c r="A40" s="692" t="s">
        <v>418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289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202599.6715496702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290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252</v>
      </c>
      <c r="B1" s="20" t="s">
        <v>289</v>
      </c>
      <c r="C1" s="20" t="s">
        <v>290</v>
      </c>
      <c r="D1" s="20" t="s">
        <v>291</v>
      </c>
      <c r="E1" s="20" t="s">
        <v>292</v>
      </c>
      <c r="F1" s="20" t="s">
        <v>293</v>
      </c>
      <c r="G1" s="20" t="s">
        <v>294</v>
      </c>
      <c r="H1" s="20" t="s">
        <v>295</v>
      </c>
      <c r="I1" s="20" t="s">
        <v>296</v>
      </c>
      <c r="J1" s="759" t="s">
        <v>297</v>
      </c>
      <c r="K1" s="760"/>
      <c r="L1" s="760"/>
      <c r="M1" s="761"/>
      <c r="N1" s="20" t="s">
        <v>298</v>
      </c>
      <c r="O1" s="20" t="s">
        <v>296</v>
      </c>
      <c r="P1" s="20" t="s">
        <v>299</v>
      </c>
    </row>
    <row r="2">
      <c r="A2" s="21" t="s">
        <v>300</v>
      </c>
      <c r="B2" s="21" t="s">
        <v>301</v>
      </c>
      <c r="C2" s="21" t="s">
        <v>301</v>
      </c>
      <c r="D2" s="21" t="s">
        <v>302</v>
      </c>
      <c r="E2" s="21" t="s">
        <v>303</v>
      </c>
      <c r="F2" s="21" t="s">
        <v>304</v>
      </c>
      <c r="G2" s="21" t="s">
        <v>304</v>
      </c>
      <c r="H2" s="21" t="s">
        <v>304</v>
      </c>
      <c r="I2" s="21" t="s">
        <v>303</v>
      </c>
      <c r="J2" s="4" t="s">
        <v>305</v>
      </c>
      <c r="K2" s="1" t="s">
        <v>306</v>
      </c>
      <c r="L2" s="1" t="s">
        <v>307</v>
      </c>
      <c r="M2" s="18" t="s">
        <v>308</v>
      </c>
      <c r="N2" s="21" t="s">
        <v>309</v>
      </c>
      <c r="O2" s="21" t="s">
        <v>310</v>
      </c>
      <c r="P2" s="21" t="s">
        <v>304</v>
      </c>
    </row>
    <row r="3">
      <c r="A3" s="21" t="s">
        <v>311</v>
      </c>
      <c r="B3" s="21" t="s">
        <v>312</v>
      </c>
      <c r="C3" s="21" t="s">
        <v>312</v>
      </c>
      <c r="D3" s="21" t="s">
        <v>313</v>
      </c>
      <c r="E3" s="21" t="s">
        <v>314</v>
      </c>
      <c r="F3" s="21" t="s">
        <v>303</v>
      </c>
      <c r="G3" s="21" t="s">
        <v>303</v>
      </c>
      <c r="H3" s="21" t="s">
        <v>303</v>
      </c>
      <c r="I3" s="21" t="s">
        <v>315</v>
      </c>
      <c r="J3" s="49">
        <v>-2</v>
      </c>
      <c r="K3" s="10">
        <v>-5</v>
      </c>
      <c r="L3" s="10">
        <v>-5</v>
      </c>
      <c r="M3" s="18">
        <v>-2</v>
      </c>
      <c r="N3" s="21" t="s">
        <v>316</v>
      </c>
      <c r="O3" s="21" t="s">
        <v>317</v>
      </c>
      <c r="P3" s="21" t="s">
        <v>303</v>
      </c>
    </row>
    <row r="4">
      <c r="A4" s="21" t="s">
        <v>318</v>
      </c>
      <c r="B4" s="21" t="s">
        <v>319</v>
      </c>
      <c r="C4" s="21" t="s">
        <v>320</v>
      </c>
      <c r="D4" s="21">
        <v>1</v>
      </c>
      <c r="E4" s="21" t="s">
        <v>321</v>
      </c>
      <c r="F4" s="21">
        <v>1</v>
      </c>
      <c r="G4" s="21">
        <v>1</v>
      </c>
      <c r="H4" s="21">
        <v>2</v>
      </c>
      <c r="I4" s="21" t="s">
        <v>322</v>
      </c>
      <c r="J4" s="49">
        <v>-1</v>
      </c>
      <c r="K4" s="10">
        <v>-4</v>
      </c>
      <c r="L4" s="10">
        <v>-4</v>
      </c>
      <c r="M4" s="18">
        <v>-1</v>
      </c>
      <c r="N4" s="21" t="s">
        <v>323</v>
      </c>
      <c r="O4" s="21">
        <v>1</v>
      </c>
      <c r="P4" s="21" t="s">
        <v>324</v>
      </c>
    </row>
    <row r="5">
      <c r="A5" s="21" t="s">
        <v>325</v>
      </c>
      <c r="B5" s="21">
        <v>1</v>
      </c>
      <c r="C5" s="21" t="s">
        <v>326</v>
      </c>
      <c r="D5" s="21"/>
      <c r="E5" s="21" t="s">
        <v>327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328</v>
      </c>
      <c r="O5" s="21"/>
      <c r="P5" s="21">
        <v>1</v>
      </c>
    </row>
    <row r="6">
      <c r="A6" s="21" t="s">
        <v>329</v>
      </c>
      <c r="B6" s="21"/>
      <c r="C6" s="21" t="s">
        <v>330</v>
      </c>
      <c r="D6" s="21"/>
      <c r="E6" s="21" t="s">
        <v>331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332</v>
      </c>
      <c r="O6" s="21"/>
      <c r="P6" s="21"/>
    </row>
    <row r="7">
      <c r="A7" s="21">
        <v>2</v>
      </c>
      <c r="B7" s="21"/>
      <c r="C7" s="21" t="s">
        <v>319</v>
      </c>
      <c r="D7" s="21"/>
      <c r="E7" s="21" t="s">
        <v>333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334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335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336</v>
      </c>
      <c r="D17" s="763"/>
      <c r="E17" s="763"/>
      <c r="F17" s="764"/>
      <c r="G17" s="1"/>
      <c r="H17" s="1"/>
      <c r="I17" s="1"/>
    </row>
    <row r="18">
      <c r="A18" s="26" t="s">
        <v>337</v>
      </c>
      <c r="B18" s="27">
        <f>تسجيل2!C7</f>
        <v>1200</v>
      </c>
      <c r="C18" s="28" t="s">
        <v>338</v>
      </c>
      <c r="D18" s="28"/>
      <c r="E18" s="28"/>
      <c r="F18" s="25"/>
      <c r="G18" s="1"/>
      <c r="H18" s="1"/>
      <c r="I18" s="1"/>
    </row>
    <row r="19">
      <c r="A19" s="29" t="s">
        <v>276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339</v>
      </c>
      <c r="B29" s="766"/>
      <c r="C29" s="766"/>
      <c r="D29" s="766"/>
      <c r="E29" s="766"/>
      <c r="F29" s="766"/>
      <c r="G29" s="766"/>
      <c r="H29" s="767"/>
      <c r="I29" s="765" t="s">
        <v>340</v>
      </c>
      <c r="J29" s="766"/>
      <c r="K29" s="766"/>
      <c r="L29" s="766"/>
      <c r="M29" s="766"/>
      <c r="N29" s="766"/>
      <c r="O29" s="766"/>
      <c r="P29" s="767"/>
      <c r="Q29" s="765" t="s">
        <v>341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342</v>
      </c>
      <c r="B31" s="754"/>
      <c r="C31" s="36">
        <f>B19</f>
        <v>800</v>
      </c>
      <c r="D31" s="34" t="s">
        <v>343</v>
      </c>
      <c r="E31" s="36">
        <f>H34</f>
        <v>12</v>
      </c>
      <c r="F31" s="34"/>
      <c r="G31" s="34"/>
      <c r="H31" s="35"/>
      <c r="I31" s="753" t="s">
        <v>342</v>
      </c>
      <c r="J31" s="754"/>
      <c r="K31" s="36">
        <f>B19</f>
        <v>800</v>
      </c>
      <c r="L31" s="34" t="s">
        <v>343</v>
      </c>
      <c r="M31" s="36">
        <f>P34</f>
        <v>10</v>
      </c>
      <c r="N31" s="15"/>
      <c r="O31" s="34"/>
      <c r="P31" s="35"/>
      <c r="Q31" s="755" t="s">
        <v>342</v>
      </c>
      <c r="R31" s="756"/>
      <c r="S31" s="57">
        <f>B19</f>
        <v>800</v>
      </c>
      <c r="T31" s="47" t="s">
        <v>344</v>
      </c>
      <c r="U31" s="57">
        <f>INT((S31-4)/25)+1</f>
        <v>32</v>
      </c>
      <c r="V31" s="47"/>
      <c r="W31" s="47"/>
      <c r="X31" s="48"/>
    </row>
    <row r="32">
      <c r="A32" s="757" t="s">
        <v>343</v>
      </c>
      <c r="B32" s="758"/>
      <c r="C32" s="758"/>
      <c r="D32" s="34"/>
      <c r="E32" s="34"/>
      <c r="F32" s="38"/>
      <c r="G32" s="34"/>
      <c r="H32" s="35"/>
      <c r="I32" s="757" t="s">
        <v>345</v>
      </c>
      <c r="J32" s="758"/>
      <c r="K32" s="758"/>
      <c r="L32" s="34"/>
      <c r="M32" s="34"/>
      <c r="N32" s="54"/>
      <c r="O32" s="34"/>
      <c r="P32" s="35"/>
    </row>
    <row r="33">
      <c r="A33" s="39" t="s">
        <v>346</v>
      </c>
      <c r="B33" s="40" t="s">
        <v>347</v>
      </c>
      <c r="C33" s="40" t="s">
        <v>348</v>
      </c>
      <c r="D33" s="34"/>
      <c r="E33" s="40" t="s">
        <v>346</v>
      </c>
      <c r="F33" s="40" t="s">
        <v>347</v>
      </c>
      <c r="G33" s="40" t="s">
        <v>348</v>
      </c>
      <c r="H33" s="35"/>
      <c r="I33" s="39" t="s">
        <v>346</v>
      </c>
      <c r="J33" s="40" t="s">
        <v>347</v>
      </c>
      <c r="K33" s="40" t="s">
        <v>348</v>
      </c>
      <c r="L33" s="34"/>
      <c r="M33" s="40" t="s">
        <v>346</v>
      </c>
      <c r="N33" s="37" t="s">
        <v>347</v>
      </c>
      <c r="O33" s="40" t="s">
        <v>348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349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349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262</v>
      </c>
      <c r="B1" s="769"/>
      <c r="C1" s="17"/>
      <c r="D1" s="3" t="s">
        <v>263</v>
      </c>
      <c r="E1" s="3" t="s">
        <v>264</v>
      </c>
      <c r="F1" s="3" t="s">
        <v>265</v>
      </c>
      <c r="G1" s="3" t="s">
        <v>266</v>
      </c>
      <c r="H1" s="7" t="s">
        <v>267</v>
      </c>
    </row>
    <row r="2">
      <c r="A2" s="770"/>
      <c r="B2" s="771"/>
      <c r="C2" s="10" t="s">
        <v>268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0"/>
      <c r="B3" s="771"/>
      <c r="C3" s="10" t="s">
        <v>269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0"/>
      <c r="B4" s="771"/>
      <c r="C4" s="10" t="s">
        <v>270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0"/>
      <c r="B5" s="771"/>
      <c r="H5" s="18"/>
      <c r="K5" s="1" t="s">
        <v>253</v>
      </c>
      <c r="L5" s="10" t="s">
        <v>271</v>
      </c>
    </row>
    <row r="6">
      <c r="A6" s="770"/>
      <c r="B6" s="771"/>
      <c r="C6" s="10" t="s">
        <v>272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273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2"/>
      <c r="B7" s="773"/>
      <c r="C7" s="19" t="s">
        <v>274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275</v>
      </c>
      <c r="B10" s="775"/>
      <c r="C10" s="17"/>
      <c r="D10" s="3" t="s">
        <v>263</v>
      </c>
      <c r="E10" s="3" t="s">
        <v>264</v>
      </c>
      <c r="F10" s="3" t="s">
        <v>265</v>
      </c>
      <c r="G10" s="3" t="s">
        <v>266</v>
      </c>
      <c r="H10" s="7" t="s">
        <v>267</v>
      </c>
    </row>
    <row r="11">
      <c r="A11" s="776"/>
      <c r="B11" s="777"/>
      <c r="C11" s="10" t="s">
        <v>268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6"/>
      <c r="B12" s="777"/>
      <c r="C12" s="10" t="s">
        <v>269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6"/>
      <c r="B13" s="777"/>
      <c r="C13" s="10" t="s">
        <v>270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253</v>
      </c>
      <c r="L13" s="10" t="s">
        <v>271</v>
      </c>
    </row>
    <row r="14">
      <c r="A14" s="776"/>
      <c r="B14" s="777"/>
      <c r="H14" s="18"/>
      <c r="J14" s="10" t="s">
        <v>273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6"/>
      <c r="B15" s="777"/>
      <c r="C15" s="10" t="s">
        <v>272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276</v>
      </c>
      <c r="R15" s="10" t="s">
        <v>277</v>
      </c>
    </row>
    <row r="16">
      <c r="A16" s="778"/>
      <c r="B16" s="779"/>
      <c r="C16" s="19" t="s">
        <v>274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0" t="s">
        <v>278</v>
      </c>
      <c r="B19" s="781"/>
      <c r="C19" s="17"/>
      <c r="D19" s="3" t="s">
        <v>263</v>
      </c>
      <c r="E19" s="3" t="s">
        <v>264</v>
      </c>
      <c r="F19" s="3" t="s">
        <v>265</v>
      </c>
      <c r="G19" s="3" t="s">
        <v>266</v>
      </c>
      <c r="H19" s="7" t="s">
        <v>267</v>
      </c>
    </row>
    <row r="20">
      <c r="A20" s="782"/>
      <c r="B20" s="783"/>
      <c r="C20" s="10" t="s">
        <v>268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2"/>
      <c r="B21" s="783"/>
      <c r="C21" s="10" t="s">
        <v>269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2"/>
      <c r="B22" s="783"/>
      <c r="C22" s="10" t="s">
        <v>270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253</v>
      </c>
      <c r="L22" s="10" t="s">
        <v>271</v>
      </c>
    </row>
    <row r="23">
      <c r="A23" s="782"/>
      <c r="B23" s="783"/>
      <c r="H23" s="18"/>
      <c r="J23" s="10" t="s">
        <v>273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2"/>
      <c r="B24" s="783"/>
      <c r="C24" s="10" t="s">
        <v>272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274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279</v>
      </c>
      <c r="K2" s="1" t="s">
        <v>280</v>
      </c>
      <c r="O2" s="1" t="s">
        <v>281</v>
      </c>
    </row>
    <row r="3">
      <c r="A3" s="1" t="s">
        <v>252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282</v>
      </c>
      <c r="B4" s="1">
        <f>تسجيل2!C7</f>
        <v>1200</v>
      </c>
      <c r="J4" s="15">
        <v>4</v>
      </c>
      <c r="K4" s="15">
        <v>2</v>
      </c>
    </row>
    <row r="5">
      <c r="A5" s="1" t="s">
        <v>253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279</v>
      </c>
      <c r="B6" s="1">
        <f>'Cutting Ro-2'!L14</f>
        <v>12</v>
      </c>
      <c r="C6" s="1" t="s">
        <v>283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284</v>
      </c>
      <c r="B9" s="1">
        <f>O8</f>
        <v>5</v>
      </c>
      <c r="J9" s="15">
        <v>9</v>
      </c>
      <c r="K9" s="15">
        <v>4</v>
      </c>
    </row>
    <row r="10">
      <c r="A10" s="12" t="s">
        <v>285</v>
      </c>
      <c r="B10" s="13">
        <f>(((B4-(تسجيل2!C22*2))/200)+1)*B9</f>
        <v>32.5</v>
      </c>
      <c r="C10" s="636" t="s">
        <v>286</v>
      </c>
      <c r="D10" s="636"/>
      <c r="E10" s="14">
        <f>ROUND(B10,0)</f>
        <v>33</v>
      </c>
      <c r="J10" s="15">
        <v>10</v>
      </c>
      <c r="K10" s="15">
        <v>4</v>
      </c>
    </row>
    <row r="11">
      <c r="A11" s="12" t="s">
        <v>287</v>
      </c>
      <c r="B11" s="13">
        <f>E10/B9</f>
        <v>6.6</v>
      </c>
      <c r="C11" s="636" t="s">
        <v>286</v>
      </c>
      <c r="D11" s="636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252</v>
      </c>
      <c r="B1" s="1" t="s">
        <v>253</v>
      </c>
      <c r="C1" s="1" t="s">
        <v>254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255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256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6" t="s">
        <v>257</v>
      </c>
      <c r="I7" s="786"/>
      <c r="J7" s="786"/>
      <c r="K7" s="787"/>
    </row>
    <row r="8">
      <c r="A8" s="4" t="s">
        <v>258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6"/>
      <c r="I8" s="786"/>
      <c r="J8" s="786"/>
      <c r="K8" s="787"/>
    </row>
    <row r="9">
      <c r="A9" s="4" t="s">
        <v>259</v>
      </c>
      <c r="C9" s="1" t="str">
        <f>IF('Format (2)'!N8=5,'Format διαστασης οδηγου (2)'!B2-35,IF('Format (2)'!N8=6,'Format διαστασης οδηγου (2)'!B2-31,"-------"))</f>
        <v>-------</v>
      </c>
      <c r="H9" s="786"/>
      <c r="I9" s="786"/>
      <c r="J9" s="786"/>
      <c r="K9" s="787"/>
    </row>
    <row r="10">
      <c r="A10" s="4" t="s">
        <v>260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255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256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6" t="s">
        <v>261</v>
      </c>
      <c r="I15" s="786"/>
      <c r="J15" s="786"/>
      <c r="K15" s="787"/>
    </row>
    <row r="16">
      <c r="A16" s="4" t="s">
        <v>258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6"/>
      <c r="I16" s="786"/>
      <c r="J16" s="786"/>
      <c r="K16" s="787"/>
    </row>
    <row r="17">
      <c r="A17" s="4" t="s">
        <v>259</v>
      </c>
      <c r="C17" s="1" t="str">
        <f>IF('Format (2)'!N8=5,'Format διαστασης οδηγου (2)'!B2-6,IF('Format (2)'!N8=6,'Format διαστασης οδηγου (2)'!B2-2,"-------"))</f>
        <v>-------</v>
      </c>
      <c r="H17" s="786"/>
      <c r="I17" s="786"/>
      <c r="J17" s="786"/>
      <c r="K17" s="787"/>
    </row>
    <row r="18">
      <c r="A18" s="4" t="s">
        <v>260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252</v>
      </c>
      <c r="B1" s="20" t="s">
        <v>289</v>
      </c>
      <c r="C1" s="20" t="s">
        <v>290</v>
      </c>
      <c r="D1" s="20" t="s">
        <v>291</v>
      </c>
      <c r="E1" s="20" t="s">
        <v>292</v>
      </c>
      <c r="F1" s="20" t="s">
        <v>293</v>
      </c>
      <c r="G1" s="20" t="s">
        <v>294</v>
      </c>
      <c r="H1" s="20" t="s">
        <v>295</v>
      </c>
      <c r="I1" s="20" t="s">
        <v>296</v>
      </c>
      <c r="J1" s="759" t="s">
        <v>297</v>
      </c>
      <c r="K1" s="760"/>
      <c r="L1" s="760"/>
      <c r="M1" s="761"/>
      <c r="N1" s="20" t="s">
        <v>298</v>
      </c>
      <c r="O1" s="20" t="s">
        <v>296</v>
      </c>
      <c r="P1" s="20" t="s">
        <v>299</v>
      </c>
    </row>
    <row r="2">
      <c r="A2" s="21" t="s">
        <v>300</v>
      </c>
      <c r="B2" s="21" t="s">
        <v>301</v>
      </c>
      <c r="C2" s="21" t="s">
        <v>301</v>
      </c>
      <c r="D2" s="21" t="s">
        <v>302</v>
      </c>
      <c r="E2" s="21" t="s">
        <v>303</v>
      </c>
      <c r="F2" s="21" t="s">
        <v>304</v>
      </c>
      <c r="G2" s="21" t="s">
        <v>304</v>
      </c>
      <c r="H2" s="21" t="s">
        <v>304</v>
      </c>
      <c r="I2" s="21" t="s">
        <v>303</v>
      </c>
      <c r="J2" s="4" t="s">
        <v>305</v>
      </c>
      <c r="K2" s="1" t="s">
        <v>306</v>
      </c>
      <c r="L2" s="1" t="s">
        <v>307</v>
      </c>
      <c r="M2" s="18" t="s">
        <v>308</v>
      </c>
      <c r="N2" s="21" t="s">
        <v>309</v>
      </c>
      <c r="O2" s="21" t="s">
        <v>310</v>
      </c>
      <c r="P2" s="21" t="s">
        <v>304</v>
      </c>
    </row>
    <row r="3">
      <c r="A3" s="21" t="s">
        <v>311</v>
      </c>
      <c r="B3" s="21" t="s">
        <v>312</v>
      </c>
      <c r="C3" s="21" t="s">
        <v>312</v>
      </c>
      <c r="D3" s="21" t="s">
        <v>313</v>
      </c>
      <c r="E3" s="21" t="s">
        <v>314</v>
      </c>
      <c r="F3" s="21" t="s">
        <v>303</v>
      </c>
      <c r="G3" s="21" t="s">
        <v>303</v>
      </c>
      <c r="H3" s="21" t="s">
        <v>303</v>
      </c>
      <c r="I3" s="21" t="s">
        <v>315</v>
      </c>
      <c r="J3" s="49">
        <v>-2</v>
      </c>
      <c r="K3" s="10">
        <v>-5</v>
      </c>
      <c r="L3" s="10">
        <v>-5</v>
      </c>
      <c r="M3" s="18">
        <v>-2</v>
      </c>
      <c r="N3" s="21" t="s">
        <v>316</v>
      </c>
      <c r="O3" s="21" t="s">
        <v>317</v>
      </c>
      <c r="P3" s="21" t="s">
        <v>303</v>
      </c>
    </row>
    <row r="4">
      <c r="A4" s="21" t="s">
        <v>318</v>
      </c>
      <c r="B4" s="21" t="s">
        <v>319</v>
      </c>
      <c r="C4" s="21" t="s">
        <v>320</v>
      </c>
      <c r="D4" s="21">
        <v>1</v>
      </c>
      <c r="E4" s="21" t="s">
        <v>321</v>
      </c>
      <c r="F4" s="21">
        <v>1</v>
      </c>
      <c r="G4" s="21">
        <v>1</v>
      </c>
      <c r="H4" s="21">
        <v>2</v>
      </c>
      <c r="I4" s="21" t="s">
        <v>322</v>
      </c>
      <c r="J4" s="49">
        <v>-1</v>
      </c>
      <c r="K4" s="10">
        <v>-4</v>
      </c>
      <c r="L4" s="10">
        <v>-4</v>
      </c>
      <c r="M4" s="18">
        <v>-1</v>
      </c>
      <c r="N4" s="21" t="s">
        <v>323</v>
      </c>
      <c r="O4" s="21">
        <v>1</v>
      </c>
      <c r="P4" s="21" t="s">
        <v>324</v>
      </c>
    </row>
    <row r="5">
      <c r="A5" s="21" t="s">
        <v>325</v>
      </c>
      <c r="B5" s="21">
        <v>1</v>
      </c>
      <c r="C5" s="21" t="s">
        <v>326</v>
      </c>
      <c r="D5" s="21"/>
      <c r="E5" s="21" t="s">
        <v>327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328</v>
      </c>
      <c r="O5" s="21"/>
      <c r="P5" s="21">
        <v>1</v>
      </c>
    </row>
    <row r="6">
      <c r="A6" s="21" t="s">
        <v>329</v>
      </c>
      <c r="B6" s="21"/>
      <c r="C6" s="21" t="s">
        <v>330</v>
      </c>
      <c r="D6" s="21"/>
      <c r="E6" s="21" t="s">
        <v>331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332</v>
      </c>
      <c r="O6" s="21"/>
      <c r="P6" s="21"/>
    </row>
    <row r="7">
      <c r="A7" s="21">
        <v>2</v>
      </c>
      <c r="B7" s="21"/>
      <c r="C7" s="21" t="s">
        <v>319</v>
      </c>
      <c r="D7" s="21"/>
      <c r="E7" s="21" t="s">
        <v>333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334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335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336</v>
      </c>
      <c r="D17" s="763"/>
      <c r="E17" s="763"/>
      <c r="F17" s="764"/>
      <c r="G17" s="1"/>
      <c r="H17" s="1"/>
      <c r="I17" s="1"/>
    </row>
    <row r="18">
      <c r="A18" s="26" t="s">
        <v>337</v>
      </c>
      <c r="B18" s="27">
        <f>تسجيل1!C7</f>
        <v>500</v>
      </c>
      <c r="C18" s="28" t="s">
        <v>338</v>
      </c>
      <c r="D18" s="28"/>
      <c r="E18" s="28"/>
      <c r="F18" s="25"/>
      <c r="G18" s="1"/>
      <c r="H18" s="1"/>
      <c r="I18" s="1"/>
    </row>
    <row r="19">
      <c r="A19" s="29" t="s">
        <v>276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339</v>
      </c>
      <c r="B29" s="766"/>
      <c r="C29" s="766"/>
      <c r="D29" s="766"/>
      <c r="E29" s="766"/>
      <c r="F29" s="766"/>
      <c r="G29" s="766"/>
      <c r="H29" s="767"/>
      <c r="I29" s="765" t="s">
        <v>340</v>
      </c>
      <c r="J29" s="766"/>
      <c r="K29" s="766"/>
      <c r="L29" s="766"/>
      <c r="M29" s="766"/>
      <c r="N29" s="766"/>
      <c r="O29" s="766"/>
      <c r="P29" s="767"/>
      <c r="Q29" s="765" t="s">
        <v>341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342</v>
      </c>
      <c r="B31" s="754"/>
      <c r="C31" s="36">
        <f>B19</f>
        <v>800</v>
      </c>
      <c r="D31" s="34" t="s">
        <v>343</v>
      </c>
      <c r="E31" s="36">
        <f>H34</f>
        <v>12</v>
      </c>
      <c r="F31" s="34"/>
      <c r="G31" s="34"/>
      <c r="H31" s="35"/>
      <c r="I31" s="753" t="s">
        <v>342</v>
      </c>
      <c r="J31" s="754"/>
      <c r="K31" s="36">
        <f>B19</f>
        <v>800</v>
      </c>
      <c r="L31" s="34" t="s">
        <v>343</v>
      </c>
      <c r="M31" s="36">
        <f>P34</f>
        <v>10</v>
      </c>
      <c r="N31" s="15"/>
      <c r="O31" s="34"/>
      <c r="P31" s="35"/>
      <c r="Q31" s="755" t="s">
        <v>342</v>
      </c>
      <c r="R31" s="756"/>
      <c r="S31" s="57">
        <f>B19</f>
        <v>800</v>
      </c>
      <c r="T31" s="47" t="s">
        <v>344</v>
      </c>
      <c r="U31" s="57">
        <f>INT((S31-4)/25)+1</f>
        <v>32</v>
      </c>
      <c r="V31" s="47"/>
      <c r="W31" s="47"/>
      <c r="X31" s="48"/>
    </row>
    <row r="32">
      <c r="A32" s="757" t="s">
        <v>343</v>
      </c>
      <c r="B32" s="758"/>
      <c r="C32" s="758"/>
      <c r="D32" s="34"/>
      <c r="E32" s="34"/>
      <c r="F32" s="38"/>
      <c r="G32" s="34"/>
      <c r="H32" s="35"/>
      <c r="I32" s="757" t="s">
        <v>345</v>
      </c>
      <c r="J32" s="758"/>
      <c r="K32" s="758"/>
      <c r="L32" s="34"/>
      <c r="M32" s="34"/>
      <c r="N32" s="54"/>
      <c r="O32" s="34"/>
      <c r="P32" s="35"/>
    </row>
    <row r="33">
      <c r="A33" s="39" t="s">
        <v>346</v>
      </c>
      <c r="B33" s="40" t="s">
        <v>347</v>
      </c>
      <c r="C33" s="40" t="s">
        <v>348</v>
      </c>
      <c r="D33" s="34"/>
      <c r="E33" s="40" t="s">
        <v>346</v>
      </c>
      <c r="F33" s="40" t="s">
        <v>347</v>
      </c>
      <c r="G33" s="40" t="s">
        <v>348</v>
      </c>
      <c r="H33" s="35"/>
      <c r="I33" s="39" t="s">
        <v>346</v>
      </c>
      <c r="J33" s="40" t="s">
        <v>347</v>
      </c>
      <c r="K33" s="40" t="s">
        <v>348</v>
      </c>
      <c r="L33" s="34"/>
      <c r="M33" s="40" t="s">
        <v>346</v>
      </c>
      <c r="N33" s="37" t="s">
        <v>347</v>
      </c>
      <c r="O33" s="40" t="s">
        <v>348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349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349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262</v>
      </c>
      <c r="B1" s="769"/>
      <c r="C1" s="17"/>
      <c r="D1" s="3" t="s">
        <v>263</v>
      </c>
      <c r="E1" s="3" t="s">
        <v>264</v>
      </c>
      <c r="F1" s="3" t="s">
        <v>265</v>
      </c>
      <c r="G1" s="3" t="s">
        <v>266</v>
      </c>
      <c r="H1" s="7" t="s">
        <v>267</v>
      </c>
    </row>
    <row r="2">
      <c r="A2" s="770"/>
      <c r="B2" s="771"/>
      <c r="C2" s="10" t="s">
        <v>268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0"/>
      <c r="B3" s="771"/>
      <c r="C3" s="10" t="s">
        <v>269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0"/>
      <c r="B4" s="771"/>
      <c r="C4" s="10" t="s">
        <v>270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0"/>
      <c r="B5" s="771"/>
      <c r="H5" s="18"/>
      <c r="K5" s="1" t="s">
        <v>253</v>
      </c>
      <c r="L5" s="10" t="s">
        <v>271</v>
      </c>
    </row>
    <row r="6">
      <c r="A6" s="770"/>
      <c r="B6" s="771"/>
      <c r="C6" s="10" t="s">
        <v>272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273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2"/>
      <c r="B7" s="773"/>
      <c r="C7" s="19" t="s">
        <v>274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275</v>
      </c>
      <c r="B10" s="775"/>
      <c r="C10" s="17"/>
      <c r="D10" s="3" t="s">
        <v>263</v>
      </c>
      <c r="E10" s="3" t="s">
        <v>264</v>
      </c>
      <c r="F10" s="3" t="s">
        <v>265</v>
      </c>
      <c r="G10" s="3" t="s">
        <v>266</v>
      </c>
      <c r="H10" s="7" t="s">
        <v>267</v>
      </c>
    </row>
    <row r="11">
      <c r="A11" s="776"/>
      <c r="B11" s="777"/>
      <c r="C11" s="10" t="s">
        <v>268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6"/>
      <c r="B12" s="777"/>
      <c r="C12" s="10" t="s">
        <v>269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6"/>
      <c r="B13" s="777"/>
      <c r="C13" s="10" t="s">
        <v>270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253</v>
      </c>
      <c r="L13" s="10" t="s">
        <v>271</v>
      </c>
    </row>
    <row r="14">
      <c r="A14" s="776"/>
      <c r="B14" s="777"/>
      <c r="H14" s="18"/>
      <c r="J14" s="10" t="s">
        <v>273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6"/>
      <c r="B15" s="777"/>
      <c r="C15" s="10" t="s">
        <v>272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276</v>
      </c>
      <c r="R15" s="10" t="s">
        <v>277</v>
      </c>
    </row>
    <row r="16">
      <c r="A16" s="778"/>
      <c r="B16" s="779"/>
      <c r="C16" s="19" t="s">
        <v>274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0" t="s">
        <v>278</v>
      </c>
      <c r="B19" s="781"/>
      <c r="C19" s="17"/>
      <c r="D19" s="3" t="s">
        <v>263</v>
      </c>
      <c r="E19" s="3" t="s">
        <v>264</v>
      </c>
      <c r="F19" s="3" t="s">
        <v>265</v>
      </c>
      <c r="G19" s="3" t="s">
        <v>266</v>
      </c>
      <c r="H19" s="7" t="s">
        <v>267</v>
      </c>
    </row>
    <row r="20">
      <c r="A20" s="782"/>
      <c r="B20" s="783"/>
      <c r="C20" s="10" t="s">
        <v>268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2"/>
      <c r="B21" s="783"/>
      <c r="C21" s="10" t="s">
        <v>269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2"/>
      <c r="B22" s="783"/>
      <c r="C22" s="10" t="s">
        <v>270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253</v>
      </c>
      <c r="L22" s="10" t="s">
        <v>271</v>
      </c>
    </row>
    <row r="23">
      <c r="A23" s="782"/>
      <c r="B23" s="783"/>
      <c r="H23" s="18"/>
      <c r="J23" s="10" t="s">
        <v>273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2"/>
      <c r="B24" s="783"/>
      <c r="C24" s="10" t="s">
        <v>272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274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279</v>
      </c>
      <c r="K2" s="1" t="s">
        <v>280</v>
      </c>
      <c r="O2" s="1" t="s">
        <v>281</v>
      </c>
    </row>
    <row r="3">
      <c r="A3" s="1" t="s">
        <v>252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282</v>
      </c>
      <c r="B4" s="1">
        <f>تسجيل1!C7</f>
        <v>500</v>
      </c>
      <c r="J4" s="15">
        <v>4</v>
      </c>
      <c r="K4" s="15">
        <v>2</v>
      </c>
    </row>
    <row r="5">
      <c r="A5" s="1" t="s">
        <v>253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279</v>
      </c>
      <c r="B6" s="1">
        <f>'Cutting Ro-1'!L14</f>
        <v>12</v>
      </c>
      <c r="C6" s="1" t="s">
        <v>283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284</v>
      </c>
      <c r="B9" s="1">
        <f>O8</f>
        <v>5</v>
      </c>
      <c r="J9" s="15">
        <v>9</v>
      </c>
      <c r="K9" s="15">
        <v>4</v>
      </c>
    </row>
    <row r="10">
      <c r="A10" s="12" t="s">
        <v>285</v>
      </c>
      <c r="B10" s="13">
        <f>(((B4-(تسجيل1!C22*2))/200)+1)*B9</f>
        <v>15</v>
      </c>
      <c r="C10" s="636" t="s">
        <v>286</v>
      </c>
      <c r="D10" s="636"/>
      <c r="E10" s="14">
        <f>ROUND(B10,0)</f>
        <v>15</v>
      </c>
      <c r="J10" s="15">
        <v>10</v>
      </c>
      <c r="K10" s="15">
        <v>4</v>
      </c>
    </row>
    <row r="11">
      <c r="A11" s="12" t="s">
        <v>287</v>
      </c>
      <c r="B11" s="13">
        <f>E10/B9</f>
        <v>3</v>
      </c>
      <c r="C11" s="636" t="s">
        <v>286</v>
      </c>
      <c r="D11" s="63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288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600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3"/>
      <c r="BG1" s="613"/>
      <c r="BH1" s="613"/>
      <c r="BI1" s="613"/>
      <c r="BJ1" s="613"/>
      <c r="BK1" s="613"/>
      <c r="BL1" s="613"/>
      <c r="BM1" s="613"/>
      <c r="BN1" s="613"/>
    </row>
    <row r="2" ht="45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600"/>
      <c r="S2" s="418" t="s">
        <v>163</v>
      </c>
      <c r="T2" s="419">
        <f>IF((V14="ok"),Royal!G80,"R")</f>
        <v>264478.41469646036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1" t="s">
        <v>163</v>
      </c>
      <c r="AG2" s="595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5"/>
      <c r="AI2" s="422"/>
      <c r="AJ2" s="422"/>
      <c r="AK2" s="422"/>
      <c r="AR2" s="414"/>
      <c r="AS2" s="472" t="s">
        <v>163</v>
      </c>
      <c r="AT2" s="473">
        <f>IF((AV14="OK"),wavy1!R72,"R")</f>
        <v>75786.980921052629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97552.6230877193</v>
      </c>
      <c r="BF2" s="613"/>
      <c r="BG2" s="613"/>
      <c r="BH2" s="613"/>
      <c r="BI2" s="613"/>
      <c r="BJ2" s="613"/>
      <c r="BK2" s="613"/>
      <c r="BL2" s="613"/>
      <c r="BM2" s="613"/>
      <c r="BN2" s="613"/>
    </row>
    <row r="3" ht="54.75" customHeight="1">
      <c r="A3" s="573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600"/>
      <c r="S3" s="528" t="s">
        <v>127</v>
      </c>
      <c r="T3" s="421">
        <f>T2/(AA10*X8)*10000</f>
        <v>6611.9603674115087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1"/>
      <c r="AG3" s="595"/>
      <c r="AH3" s="595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6062.95847368421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2787.2178025062653</v>
      </c>
      <c r="BF3" s="613"/>
      <c r="BG3" s="613"/>
      <c r="BH3" s="613"/>
      <c r="BI3" s="613"/>
      <c r="BJ3" s="613"/>
      <c r="BK3" s="613"/>
      <c r="BL3" s="613"/>
      <c r="BM3" s="613"/>
      <c r="BN3" s="613"/>
    </row>
    <row r="4" ht="55.5" customHeight="1">
      <c r="A4" s="573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600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1"/>
      <c r="AG4" s="595"/>
      <c r="AH4" s="595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4"/>
      <c r="BG4" s="615"/>
      <c r="BH4" s="615"/>
      <c r="BI4" s="615"/>
      <c r="BJ4" s="615"/>
      <c r="BK4" s="615"/>
      <c r="BL4" s="615"/>
      <c r="BM4" s="615"/>
      <c r="BN4" s="612"/>
    </row>
    <row r="5" ht="55.5" customHeight="1">
      <c r="A5" s="573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600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4"/>
      <c r="BG5" s="615"/>
      <c r="BH5" s="615"/>
      <c r="BI5" s="615"/>
      <c r="BJ5" s="615"/>
      <c r="BK5" s="615"/>
      <c r="BL5" s="615"/>
      <c r="BM5" s="615"/>
      <c r="BN5" s="612"/>
    </row>
    <row r="6" ht="55.5" customHeight="1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600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6" t="s">
        <v>176</v>
      </c>
      <c r="AP6" s="617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2"/>
    </row>
    <row r="7" ht="18.75" customHeight="1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600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2"/>
    </row>
    <row r="8" ht="55.5" customHeight="1">
      <c r="A8" s="415"/>
      <c r="B8" s="583" t="s">
        <v>178</v>
      </c>
      <c r="C8" s="583"/>
      <c r="D8" s="583"/>
      <c r="E8" s="415"/>
      <c r="F8" s="585"/>
      <c r="G8" s="585"/>
      <c r="H8" s="585"/>
      <c r="I8" s="573"/>
      <c r="J8" s="574"/>
      <c r="K8" s="574"/>
      <c r="L8" s="574"/>
      <c r="M8" s="573"/>
      <c r="N8" s="584"/>
      <c r="O8" s="584"/>
      <c r="P8" s="584"/>
      <c r="Q8" s="415"/>
      <c r="R8" s="600"/>
      <c r="S8" s="570"/>
      <c r="T8" s="570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3</v>
      </c>
      <c r="AL8" s="470" t="s">
        <v>169</v>
      </c>
      <c r="AM8" s="470" t="s">
        <v>181</v>
      </c>
      <c r="AN8" s="471" t="s">
        <v>182</v>
      </c>
      <c r="AO8" s="618"/>
      <c r="AP8" s="619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2"/>
    </row>
    <row r="9" ht="55.5" customHeight="1">
      <c r="A9" s="415"/>
      <c r="B9" s="583"/>
      <c r="C9" s="583"/>
      <c r="D9" s="583"/>
      <c r="E9" s="415"/>
      <c r="F9" s="585"/>
      <c r="G9" s="585"/>
      <c r="H9" s="585"/>
      <c r="I9" s="573"/>
      <c r="J9" s="574"/>
      <c r="K9" s="574"/>
      <c r="L9" s="574"/>
      <c r="M9" s="573"/>
      <c r="N9" s="584"/>
      <c r="O9" s="584"/>
      <c r="P9" s="584"/>
      <c r="Q9" s="415"/>
      <c r="R9" s="600"/>
      <c r="S9" s="571"/>
      <c r="T9" s="571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2"/>
    </row>
    <row r="10" ht="55.5" customHeight="1">
      <c r="A10" s="415"/>
      <c r="B10" s="583"/>
      <c r="C10" s="583"/>
      <c r="D10" s="583"/>
      <c r="E10" s="415"/>
      <c r="F10" s="585"/>
      <c r="G10" s="585"/>
      <c r="H10" s="585"/>
      <c r="I10" s="573"/>
      <c r="J10" s="574"/>
      <c r="K10" s="574"/>
      <c r="L10" s="574"/>
      <c r="M10" s="573"/>
      <c r="N10" s="584"/>
      <c r="O10" s="584"/>
      <c r="P10" s="584"/>
      <c r="Q10" s="415"/>
      <c r="R10" s="600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572" t="s">
        <v>187</v>
      </c>
      <c r="AF10" s="572"/>
      <c r="AG10" s="572"/>
      <c r="AH10" s="572"/>
      <c r="AI10" s="572"/>
      <c r="AJ10" s="572"/>
      <c r="AK10" s="572"/>
      <c r="AL10" s="572"/>
      <c r="AM10" s="572"/>
      <c r="AN10" s="572"/>
      <c r="AO10" s="572"/>
      <c r="AP10" s="572"/>
      <c r="AQ10" s="572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0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  <c r="AO11" s="572"/>
      <c r="AP11" s="572"/>
      <c r="AQ11" s="572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2"/>
    </row>
    <row r="12" ht="55.5" customHeight="1" s="413" customFormat="1">
      <c r="A12" s="415"/>
      <c r="B12" s="574"/>
      <c r="C12" s="574"/>
      <c r="D12" s="574"/>
      <c r="E12" s="415"/>
      <c r="F12" s="576"/>
      <c r="G12" s="576"/>
      <c r="H12" s="576"/>
      <c r="I12" s="573"/>
      <c r="J12" s="574"/>
      <c r="K12" s="574"/>
      <c r="L12" s="574"/>
      <c r="M12" s="573"/>
      <c r="N12" s="575"/>
      <c r="O12" s="575"/>
      <c r="P12" s="575"/>
      <c r="Q12" s="415"/>
      <c r="R12" s="600"/>
      <c r="S12" s="530" t="s">
        <v>188</v>
      </c>
      <c r="T12" s="533"/>
      <c r="AC12" s="415"/>
      <c r="AD12" s="414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2"/>
    </row>
    <row r="13" ht="55.5" customHeight="1" s="413" customFormat="1">
      <c r="A13" s="415"/>
      <c r="B13" s="574"/>
      <c r="C13" s="574"/>
      <c r="D13" s="574"/>
      <c r="E13" s="415"/>
      <c r="F13" s="576"/>
      <c r="G13" s="576"/>
      <c r="H13" s="576"/>
      <c r="I13" s="573"/>
      <c r="J13" s="574"/>
      <c r="K13" s="574"/>
      <c r="L13" s="574"/>
      <c r="M13" s="573"/>
      <c r="N13" s="575"/>
      <c r="O13" s="575"/>
      <c r="P13" s="575"/>
      <c r="Q13" s="415"/>
      <c r="R13" s="600"/>
      <c r="S13" s="535" t="s">
        <v>189</v>
      </c>
      <c r="T13" s="496"/>
      <c r="AC13" s="415"/>
      <c r="AD13" s="414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  <c r="AO13" s="572"/>
      <c r="AP13" s="572"/>
      <c r="AQ13" s="572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2"/>
    </row>
    <row r="14" ht="55.5" customHeight="1" s="413" customFormat="1">
      <c r="A14" s="415"/>
      <c r="B14" s="574"/>
      <c r="C14" s="574"/>
      <c r="D14" s="574"/>
      <c r="E14" s="415"/>
      <c r="F14" s="576"/>
      <c r="G14" s="576"/>
      <c r="H14" s="576"/>
      <c r="I14" s="573"/>
      <c r="J14" s="574"/>
      <c r="K14" s="574"/>
      <c r="L14" s="574"/>
      <c r="M14" s="573"/>
      <c r="N14" s="575"/>
      <c r="O14" s="575"/>
      <c r="P14" s="575"/>
      <c r="Q14" s="415"/>
      <c r="R14" s="600"/>
      <c r="S14" s="536" t="s">
        <v>191</v>
      </c>
      <c r="T14" s="534"/>
      <c r="U14" s="497" t="s">
        <v>192</v>
      </c>
      <c r="V14" s="605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6"/>
      <c r="X14" s="606"/>
      <c r="Y14" s="606"/>
      <c r="Z14" s="606"/>
      <c r="AA14" s="606"/>
      <c r="AB14" s="606"/>
      <c r="AC14" s="606"/>
      <c r="AD14" s="414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  <c r="AO14" s="572"/>
      <c r="AP14" s="572"/>
      <c r="AQ14" s="572"/>
      <c r="AR14" s="414"/>
      <c r="AS14" s="438" t="s">
        <v>191</v>
      </c>
      <c r="AT14" s="438"/>
      <c r="AU14" s="434" t="s">
        <v>192</v>
      </c>
      <c r="AV14" s="605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6"/>
      <c r="AX14" s="606"/>
      <c r="AY14" s="606"/>
      <c r="AZ14" s="606"/>
      <c r="BA14" s="606"/>
      <c r="BB14" s="606"/>
      <c r="BC14" s="414"/>
      <c r="BD14" s="492" t="s">
        <v>191</v>
      </c>
      <c r="BE14" s="492"/>
      <c r="BF14" s="497" t="s">
        <v>193</v>
      </c>
      <c r="BG14" s="605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6"/>
      <c r="BI14" s="606"/>
      <c r="BJ14" s="606"/>
      <c r="BK14" s="606"/>
      <c r="BL14" s="606"/>
      <c r="BM14" s="606"/>
      <c r="BN14" s="541"/>
    </row>
    <row r="15" ht="18.75" customHeight="1" s="413" customFormat="1">
      <c r="A15" s="415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415"/>
      <c r="R15" s="600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  <c r="AO15" s="572"/>
      <c r="AP15" s="572"/>
      <c r="AQ15" s="572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600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600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600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600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600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89" t="s">
        <v>194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600"/>
      <c r="S21" s="596" t="s">
        <v>195</v>
      </c>
      <c r="T21" s="597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89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600"/>
      <c r="S22" s="442" t="s">
        <v>163</v>
      </c>
      <c r="T22" s="443">
        <f>Royal2!G85</f>
        <v>483903.40531602845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4" t="s">
        <v>163</v>
      </c>
      <c r="AF22" s="594"/>
      <c r="AG22" s="595">
        <f>'شماسي و كانتليفر'!AE12</f>
        <v>25220.325</v>
      </c>
      <c r="AH22" s="59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339504.75</v>
      </c>
      <c r="AU22" s="480"/>
      <c r="BC22" s="414"/>
      <c r="BD22" s="472" t="s">
        <v>163</v>
      </c>
      <c r="BE22" s="473">
        <f>'بيرسا و لوفرز'!R140</f>
        <v>253660.59333333338</v>
      </c>
      <c r="BF22" s="480"/>
      <c r="BN22" s="415"/>
    </row>
    <row r="23" ht="39.75" customHeight="1" s="413" customFormat="1">
      <c r="A23" s="589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600"/>
      <c r="S23" s="444" t="s">
        <v>127</v>
      </c>
      <c r="T23" s="443">
        <f>T22/(AA33*X31)*10000</f>
        <v>5040.6604720419637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4"/>
      <c r="AF23" s="594"/>
      <c r="AG23" s="595"/>
      <c r="AH23" s="595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16975.2375</v>
      </c>
      <c r="AU23" s="480"/>
      <c r="AV23" s="481"/>
      <c r="BC23" s="414"/>
      <c r="BD23" s="472" t="s">
        <v>127</v>
      </c>
      <c r="BE23" s="474">
        <f>BE22/(BE33*BE34/10000)</f>
        <v>18938.374894231252</v>
      </c>
      <c r="BF23" s="480"/>
      <c r="BG23" s="481"/>
      <c r="BN23" s="415"/>
    </row>
    <row r="24" ht="39.75" customHeight="1" s="413" customFormat="1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600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89"/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600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589"/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600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1" t="s">
        <v>170</v>
      </c>
      <c r="AH26" s="602" t="s">
        <v>198</v>
      </c>
      <c r="AI26" s="581" t="s">
        <v>173</v>
      </c>
      <c r="AJ26" s="581" t="s">
        <v>174</v>
      </c>
      <c r="AK26" s="581" t="s">
        <v>175</v>
      </c>
      <c r="AL26" s="592" t="s">
        <v>176</v>
      </c>
      <c r="AM26" s="592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589"/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600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2"/>
      <c r="AH27" s="603"/>
      <c r="AI27" s="582"/>
      <c r="AJ27" s="582"/>
      <c r="AK27" s="582"/>
      <c r="AL27" s="593"/>
      <c r="AM27" s="593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89"/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600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79" t="s">
        <v>179</v>
      </c>
      <c r="AH28" s="579" t="s">
        <v>199</v>
      </c>
      <c r="AI28" s="579" t="s">
        <v>169</v>
      </c>
      <c r="AJ28" s="579" t="s">
        <v>200</v>
      </c>
      <c r="AK28" s="579" t="s">
        <v>201</v>
      </c>
      <c r="AL28" s="590"/>
      <c r="AM28" s="590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89"/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600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0"/>
      <c r="AH29" s="580"/>
      <c r="AI29" s="580"/>
      <c r="AJ29" s="580"/>
      <c r="AK29" s="580"/>
      <c r="AL29" s="591"/>
      <c r="AM29" s="591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89"/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600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600"/>
      <c r="S31" s="440" t="s">
        <v>203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77" t="s">
        <v>204</v>
      </c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89"/>
      <c r="B32" s="589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600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89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600"/>
      <c r="S33" s="440" t="s">
        <v>189</v>
      </c>
      <c r="T33" s="455"/>
      <c r="U33" s="454"/>
      <c r="V33" s="578"/>
      <c r="W33" s="578"/>
      <c r="X33" s="456"/>
      <c r="Y33" s="454"/>
      <c r="Z33" s="454"/>
      <c r="AA33" s="453">
        <v>1200</v>
      </c>
      <c r="AB33" s="454"/>
      <c r="AC33" s="454"/>
      <c r="AD33" s="414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  <c r="AO33" s="575"/>
      <c r="AP33" s="575"/>
      <c r="AQ33" s="57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589"/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600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414"/>
      <c r="AS34" s="438" t="s">
        <v>191</v>
      </c>
      <c r="AT34" s="438">
        <v>500</v>
      </c>
      <c r="AU34" s="486"/>
      <c r="AZ34" s="604"/>
      <c r="BA34" s="604"/>
      <c r="BB34" s="604"/>
      <c r="BD34" s="438" t="s">
        <v>191</v>
      </c>
      <c r="BE34" s="438">
        <v>362</v>
      </c>
      <c r="BF34" s="486"/>
      <c r="BK34" s="604"/>
      <c r="BL34" s="604"/>
      <c r="BM34" s="604"/>
      <c r="BN34" s="415"/>
    </row>
    <row r="35" ht="41.25" customHeight="1">
      <c r="A35" s="589"/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600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5"/>
      <c r="AR35" s="414"/>
      <c r="AS35" s="415"/>
      <c r="AT35" s="415"/>
      <c r="BD35" s="415"/>
      <c r="BE35" s="415"/>
      <c r="BN35" s="415"/>
    </row>
    <row r="36" ht="41.25" customHeight="1">
      <c r="A36" s="589"/>
      <c r="B36" s="589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600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89"/>
      <c r="B37" s="589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600"/>
      <c r="S37" s="415"/>
      <c r="T37" s="415"/>
      <c r="U37" s="56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69"/>
      <c r="W37" s="569"/>
      <c r="X37" s="569"/>
      <c r="Y37" s="569"/>
      <c r="Z37" s="569"/>
      <c r="AA37" s="569"/>
      <c r="AB37" s="569"/>
      <c r="AC37" s="569"/>
      <c r="AD37" s="414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  <c r="AO37" s="575"/>
      <c r="AP37" s="575"/>
      <c r="AQ37" s="575"/>
      <c r="AR37" s="414"/>
      <c r="AS37" s="609">
        <f>('بيرسا و لوفرز'!F24+'بيرسا و لوفرز'!V55+'بيرسا و لوفرز'!V63)*1.35</f>
        <v>209209.5</v>
      </c>
      <c r="AT37" s="610"/>
      <c r="BD37" s="609">
        <f>('بيرسا و لوفرز'!F97+'بيرسا و لوفرز'!V126+'بيرسا و لوفرز'!V134)*1.35</f>
        <v>174625.2</v>
      </c>
      <c r="BE37" s="610"/>
      <c r="BN37" s="415"/>
    </row>
    <row r="38" ht="41.25" customHeight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600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  <c r="AO38" s="575"/>
      <c r="AP38" s="575"/>
      <c r="AQ38" s="575"/>
      <c r="AR38" s="414"/>
      <c r="AS38" s="609">
        <f>AS37/(AT34*AT33/10000)</f>
        <v>10460.475</v>
      </c>
      <c r="AT38" s="610"/>
      <c r="BD38" s="609">
        <f>BD37/(BE33*BE34/10000)</f>
        <v>13037.569060773481</v>
      </c>
      <c r="BE38" s="610"/>
      <c r="BK38" s="493">
        <f>BE33</f>
        <v>370</v>
      </c>
      <c r="BN38" s="415"/>
    </row>
    <row r="39" ht="41.25" customHeight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600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600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600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414"/>
      <c r="AE41" s="587" t="s">
        <v>206</v>
      </c>
      <c r="AF41" s="587"/>
      <c r="AG41" s="587"/>
      <c r="AH41" s="587"/>
      <c r="AI41" s="587"/>
      <c r="AJ41" s="587"/>
      <c r="AK41" s="587"/>
      <c r="AL41" s="587"/>
      <c r="AM41" s="587"/>
      <c r="AN41" s="587"/>
      <c r="AO41" s="587"/>
      <c r="AP41" s="587"/>
      <c r="AQ41" s="587"/>
      <c r="AR41" s="414"/>
      <c r="AS41" s="611" t="s">
        <v>207</v>
      </c>
      <c r="AT41" s="611"/>
      <c r="AU41" s="611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600"/>
      <c r="S42" s="596" t="s">
        <v>209</v>
      </c>
      <c r="T42" s="597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87"/>
      <c r="AF42" s="587"/>
      <c r="AG42" s="587"/>
      <c r="AH42" s="587"/>
      <c r="AI42" s="587"/>
      <c r="AJ42" s="587"/>
      <c r="AK42" s="587"/>
      <c r="AL42" s="587"/>
      <c r="AM42" s="587"/>
      <c r="AN42" s="587"/>
      <c r="AO42" s="587"/>
      <c r="AP42" s="587"/>
      <c r="AQ42" s="587"/>
      <c r="AR42" s="414"/>
      <c r="AS42" s="472" t="s">
        <v>163</v>
      </c>
      <c r="AT42" s="473">
        <f>'بيرسا و لوفرز'!BM68</f>
        <v>190266.245</v>
      </c>
      <c r="AU42" s="480"/>
      <c r="BD42" s="472" t="s">
        <v>163</v>
      </c>
      <c r="BE42" s="473">
        <f>'بيرسا و لوفرز'!BM139</f>
        <v>197761.61166666666</v>
      </c>
      <c r="BF42" s="480"/>
      <c r="BN42" s="415"/>
    </row>
    <row r="43" ht="42" customHeight="1">
      <c r="A43" s="589" t="s">
        <v>210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600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87"/>
      <c r="AF43" s="587"/>
      <c r="AG43" s="587"/>
      <c r="AH43" s="587"/>
      <c r="AI43" s="587"/>
      <c r="AJ43" s="587"/>
      <c r="AK43" s="587"/>
      <c r="AL43" s="587"/>
      <c r="AM43" s="587"/>
      <c r="AN43" s="587"/>
      <c r="AO43" s="587"/>
      <c r="AP43" s="587"/>
      <c r="AQ43" s="587"/>
      <c r="AR43" s="414"/>
      <c r="AS43" s="472" t="s">
        <v>127</v>
      </c>
      <c r="AT43" s="474">
        <f>AT42/(AT53*AT54/10000)</f>
        <v>9513.312249999999</v>
      </c>
      <c r="AU43" s="480"/>
      <c r="AV43" s="481"/>
      <c r="BD43" s="472" t="s">
        <v>127</v>
      </c>
      <c r="BE43" s="474">
        <f>BE42/(BE53*BE54/10000)</f>
        <v>9888.0805833333325</v>
      </c>
      <c r="BF43" s="480"/>
      <c r="BG43" s="481"/>
      <c r="BN43" s="415"/>
    </row>
    <row r="44" ht="42" customHeight="1">
      <c r="A44" s="589"/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600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588"/>
      <c r="Z44" s="588"/>
      <c r="AA44" s="458"/>
      <c r="AB44" s="458"/>
      <c r="AC44" s="458"/>
      <c r="AD44" s="414"/>
      <c r="AE44" s="587"/>
      <c r="AF44" s="587"/>
      <c r="AG44" s="587"/>
      <c r="AH44" s="587"/>
      <c r="AI44" s="587"/>
      <c r="AJ44" s="587"/>
      <c r="AK44" s="587"/>
      <c r="AL44" s="587"/>
      <c r="AM44" s="587"/>
      <c r="AN44" s="587"/>
      <c r="AO44" s="587"/>
      <c r="AP44" s="587"/>
      <c r="AQ44" s="587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600"/>
      <c r="S45" s="440" t="s">
        <v>164</v>
      </c>
      <c r="T45" s="441" t="s">
        <v>21</v>
      </c>
      <c r="U45" s="458"/>
      <c r="V45" s="458"/>
      <c r="W45" s="458"/>
      <c r="X45" s="458"/>
      <c r="Y45" s="588"/>
      <c r="Z45" s="588"/>
      <c r="AA45" s="458"/>
      <c r="AB45" s="458"/>
      <c r="AC45" s="458"/>
      <c r="AD45" s="414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7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600"/>
      <c r="S46" s="445" t="s">
        <v>165</v>
      </c>
      <c r="T46" s="446" t="s">
        <v>166</v>
      </c>
      <c r="U46" s="458"/>
      <c r="V46" s="458"/>
      <c r="W46" s="458"/>
      <c r="X46" s="458"/>
      <c r="Y46" s="588"/>
      <c r="Z46" s="588"/>
      <c r="AA46" s="458"/>
      <c r="AB46" s="458"/>
      <c r="AC46" s="458"/>
      <c r="AD46" s="414"/>
      <c r="AE46" s="587"/>
      <c r="AF46" s="587"/>
      <c r="AG46" s="587"/>
      <c r="AH46" s="587"/>
      <c r="AI46" s="587"/>
      <c r="AJ46" s="587"/>
      <c r="AK46" s="587"/>
      <c r="AL46" s="587"/>
      <c r="AM46" s="587"/>
      <c r="AN46" s="587"/>
      <c r="AO46" s="587"/>
      <c r="AP46" s="587"/>
      <c r="AQ46" s="587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89"/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600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87"/>
      <c r="AF47" s="587"/>
      <c r="AG47" s="587"/>
      <c r="AH47" s="587"/>
      <c r="AI47" s="587"/>
      <c r="AJ47" s="587"/>
      <c r="AK47" s="587"/>
      <c r="AL47" s="587"/>
      <c r="AM47" s="587"/>
      <c r="AN47" s="587"/>
      <c r="AO47" s="587"/>
      <c r="AP47" s="587"/>
      <c r="AQ47" s="587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89"/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600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87"/>
      <c r="AF48" s="587"/>
      <c r="AG48" s="587"/>
      <c r="AH48" s="587"/>
      <c r="AI48" s="587"/>
      <c r="AJ48" s="587"/>
      <c r="AK48" s="587"/>
      <c r="AL48" s="587"/>
      <c r="AM48" s="587"/>
      <c r="AN48" s="587"/>
      <c r="AO48" s="587"/>
      <c r="AP48" s="587"/>
      <c r="AQ48" s="587"/>
      <c r="AR48" s="414"/>
      <c r="AS48" s="439"/>
      <c r="AT48" s="439"/>
      <c r="BD48" s="439"/>
      <c r="BE48" s="439"/>
      <c r="BN48" s="415"/>
    </row>
    <row r="49" ht="42" customHeight="1">
      <c r="A49" s="589"/>
      <c r="B49" s="589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600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87"/>
      <c r="AF49" s="587"/>
      <c r="AG49" s="587"/>
      <c r="AH49" s="587"/>
      <c r="AI49" s="587"/>
      <c r="AJ49" s="587"/>
      <c r="AK49" s="587"/>
      <c r="AL49" s="587"/>
      <c r="AM49" s="587"/>
      <c r="AN49" s="587"/>
      <c r="AO49" s="587"/>
      <c r="AP49" s="587"/>
      <c r="AQ49" s="587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89"/>
      <c r="B50" s="589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600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87"/>
      <c r="AF50" s="587"/>
      <c r="AG50" s="587"/>
      <c r="AH50" s="587"/>
      <c r="AI50" s="587"/>
      <c r="AJ50" s="587"/>
      <c r="AK50" s="587"/>
      <c r="AL50" s="587"/>
      <c r="AM50" s="587"/>
      <c r="AN50" s="587"/>
      <c r="AO50" s="587"/>
      <c r="AP50" s="587"/>
      <c r="AQ50" s="587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89"/>
      <c r="B51" s="589"/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600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89"/>
      <c r="B52" s="589"/>
      <c r="C52" s="589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600"/>
      <c r="S52" s="440" t="s">
        <v>213</v>
      </c>
      <c r="T52" s="459" t="s">
        <v>182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87"/>
      <c r="AF52" s="587"/>
      <c r="AG52" s="587"/>
      <c r="AH52" s="587"/>
      <c r="AI52" s="587"/>
      <c r="AJ52" s="587"/>
      <c r="AK52" s="587"/>
      <c r="AL52" s="587"/>
      <c r="AM52" s="587"/>
      <c r="AN52" s="587"/>
      <c r="AO52" s="587"/>
      <c r="AP52" s="587"/>
      <c r="AQ52" s="587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89"/>
      <c r="B53" s="589"/>
      <c r="C53" s="589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600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87"/>
      <c r="AF53" s="587"/>
      <c r="AG53" s="587"/>
      <c r="AH53" s="587"/>
      <c r="AI53" s="587"/>
      <c r="AJ53" s="587"/>
      <c r="AK53" s="587"/>
      <c r="AL53" s="587"/>
      <c r="AM53" s="587"/>
      <c r="AN53" s="587"/>
      <c r="AO53" s="587"/>
      <c r="AP53" s="587"/>
      <c r="AQ53" s="587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89"/>
      <c r="B54" s="589"/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600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87"/>
      <c r="AF54" s="587"/>
      <c r="AG54" s="587"/>
      <c r="AH54" s="587"/>
      <c r="AI54" s="587"/>
      <c r="AJ54" s="587"/>
      <c r="AK54" s="587"/>
      <c r="AL54" s="587"/>
      <c r="AM54" s="587"/>
      <c r="AN54" s="587"/>
      <c r="AO54" s="587"/>
      <c r="AP54" s="587"/>
      <c r="AQ54" s="587"/>
      <c r="AR54" s="414"/>
      <c r="AS54" s="438" t="s">
        <v>191</v>
      </c>
      <c r="AT54" s="438">
        <v>400</v>
      </c>
      <c r="AU54" s="486"/>
      <c r="AZ54" s="604"/>
      <c r="BA54" s="604"/>
      <c r="BB54" s="604"/>
      <c r="BD54" s="438" t="s">
        <v>191</v>
      </c>
      <c r="BE54" s="438">
        <v>400</v>
      </c>
      <c r="BF54" s="486"/>
      <c r="BK54" s="604"/>
      <c r="BL54" s="604"/>
      <c r="BM54" s="604"/>
      <c r="BN54" s="415"/>
    </row>
    <row r="55" ht="42" customHeight="1">
      <c r="A55" s="589"/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600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87"/>
      <c r="AF55" s="587"/>
      <c r="AG55" s="587"/>
      <c r="AH55" s="587"/>
      <c r="AI55" s="587"/>
      <c r="AJ55" s="587"/>
      <c r="AK55" s="587"/>
      <c r="AL55" s="587"/>
      <c r="AM55" s="587"/>
      <c r="AN55" s="587"/>
      <c r="AO55" s="587"/>
      <c r="AP55" s="587"/>
      <c r="AQ55" s="587"/>
      <c r="AR55" s="414"/>
      <c r="AS55" s="415"/>
      <c r="AT55" s="415"/>
      <c r="BD55" s="415"/>
      <c r="BE55" s="415"/>
      <c r="BN55" s="415"/>
    </row>
    <row r="56" ht="42" customHeight="1">
      <c r="A56" s="589"/>
      <c r="B56" s="589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600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87"/>
      <c r="AF56" s="587"/>
      <c r="AG56" s="587"/>
      <c r="AH56" s="587"/>
      <c r="AI56" s="587"/>
      <c r="AJ56" s="587"/>
      <c r="AK56" s="587"/>
      <c r="AL56" s="587"/>
      <c r="AM56" s="587"/>
      <c r="AN56" s="587"/>
      <c r="AO56" s="587"/>
      <c r="AP56" s="587"/>
      <c r="AQ56" s="587"/>
      <c r="AR56" s="414"/>
      <c r="AS56" s="415"/>
      <c r="AT56" s="415"/>
      <c r="BD56" s="415"/>
      <c r="BE56" s="415"/>
      <c r="BN56" s="415"/>
    </row>
    <row r="57" ht="42" customHeight="1">
      <c r="A57" s="589"/>
      <c r="B57" s="589"/>
      <c r="C57" s="589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600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87"/>
      <c r="AF57" s="587"/>
      <c r="AG57" s="587"/>
      <c r="AH57" s="587"/>
      <c r="AI57" s="587"/>
      <c r="AJ57" s="587"/>
      <c r="AK57" s="587"/>
      <c r="AL57" s="587"/>
      <c r="AM57" s="587"/>
      <c r="AN57" s="587"/>
      <c r="AO57" s="587"/>
      <c r="AP57" s="587"/>
      <c r="AQ57" s="587"/>
      <c r="AR57" s="414"/>
      <c r="AS57" s="607">
        <f>('بيرسا و لوفرز'!BA14+'بيرسا و لوفرز'!BP62+'بيرسا و لوفرز'!BQ54)*1.35</f>
        <v>132315.525</v>
      </c>
      <c r="AT57" s="608"/>
      <c r="BD57" s="607">
        <f>('بيرسا و لوفرز'!BA85+'بيرسا و لوفرز'!BP133+'بيرسا و لوفرز'!BQ125)*1.35</f>
        <v>132315.525</v>
      </c>
      <c r="BE57" s="608"/>
      <c r="BN57" s="415"/>
    </row>
    <row r="58" ht="42" customHeight="1">
      <c r="A58" s="589"/>
      <c r="B58" s="589"/>
      <c r="C58" s="589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600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87"/>
      <c r="AF58" s="587"/>
      <c r="AG58" s="587"/>
      <c r="AH58" s="587"/>
      <c r="AI58" s="587"/>
      <c r="AJ58" s="587"/>
      <c r="AK58" s="587"/>
      <c r="AL58" s="587"/>
      <c r="AM58" s="587"/>
      <c r="AN58" s="587"/>
      <c r="AO58" s="587"/>
      <c r="AP58" s="587"/>
      <c r="AQ58" s="587"/>
      <c r="AR58" s="414"/>
      <c r="AS58" s="598">
        <f>AS57/(AT53*AT54/10000)</f>
        <v>6615.77625</v>
      </c>
      <c r="AT58" s="599"/>
      <c r="BD58" s="598">
        <f>BD57/(BE53*BE54/10000)</f>
        <v>6615.77625</v>
      </c>
      <c r="BE58" s="599"/>
      <c r="BN58" s="415"/>
    </row>
    <row r="59" ht="39" customHeight="1">
      <c r="A59" s="589"/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600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89" t="s">
        <v>214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600"/>
      <c r="S60" s="596" t="s">
        <v>209</v>
      </c>
      <c r="T60" s="597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89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600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89"/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600"/>
      <c r="S62" s="444" t="s">
        <v>127</v>
      </c>
      <c r="T62" s="443">
        <f>T61/T69</f>
        <v>3465.072</v>
      </c>
      <c r="U62" s="458"/>
      <c r="V62" s="458"/>
      <c r="W62" s="458"/>
      <c r="X62" s="458"/>
      <c r="Y62" s="588"/>
      <c r="Z62" s="588"/>
      <c r="AA62" s="458"/>
      <c r="AB62" s="458"/>
      <c r="AC62" s="458"/>
      <c r="AD62" s="414"/>
      <c r="AR62" s="414"/>
      <c r="BN62" s="415"/>
    </row>
    <row r="63" ht="40.5" customHeight="1">
      <c r="A63" s="589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600"/>
      <c r="S63" s="440" t="s">
        <v>164</v>
      </c>
      <c r="T63" s="441" t="s">
        <v>19</v>
      </c>
      <c r="U63" s="458"/>
      <c r="V63" s="458"/>
      <c r="W63" s="458"/>
      <c r="X63" s="458"/>
      <c r="Y63" s="588"/>
      <c r="Z63" s="588"/>
      <c r="AA63" s="458"/>
      <c r="AB63" s="458"/>
      <c r="AC63" s="458"/>
      <c r="AD63" s="414"/>
      <c r="AR63" s="414"/>
      <c r="BN63" s="415"/>
    </row>
    <row r="64" ht="40.5" customHeight="1">
      <c r="A64" s="589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600"/>
      <c r="S64" s="445" t="s">
        <v>165</v>
      </c>
      <c r="T64" s="446" t="s">
        <v>166</v>
      </c>
      <c r="U64" s="458"/>
      <c r="V64" s="458"/>
      <c r="W64" s="458"/>
      <c r="X64" s="458"/>
      <c r="Y64" s="588"/>
      <c r="Z64" s="588"/>
      <c r="AA64" s="458"/>
      <c r="AB64" s="458"/>
      <c r="AC64" s="458"/>
      <c r="AD64" s="414"/>
      <c r="AR64" s="414"/>
      <c r="BN64" s="415"/>
    </row>
    <row r="65" ht="40.5" customHeight="1">
      <c r="A65" s="589"/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600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89"/>
      <c r="B66" s="589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600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89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600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89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600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89"/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600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89"/>
      <c r="B70" s="589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600"/>
      <c r="S70" s="440" t="s">
        <v>213</v>
      </c>
      <c r="T70" s="459" t="s">
        <v>182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89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600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89"/>
      <c r="B72" s="589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600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89"/>
      <c r="B73" s="589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600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89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600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89"/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600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89"/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600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0"/>
      <c r="AD77" s="414"/>
      <c r="AR77" s="414"/>
      <c r="BN77" s="415"/>
    </row>
    <row r="78" ht="15" customHeight="1">
      <c r="A78" s="586" t="s">
        <v>215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600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6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600"/>
      <c r="AC79" s="414"/>
      <c r="AQ79" s="414"/>
      <c r="BB79" s="414"/>
      <c r="BM79" s="415"/>
    </row>
    <row r="80" ht="38.25" customHeight="1">
      <c r="A80" s="586"/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  <c r="Q80" s="586"/>
      <c r="R80" s="600"/>
      <c r="AQ80" s="414"/>
      <c r="BB80" s="414"/>
      <c r="BM80" s="415"/>
    </row>
    <row r="81" ht="38.25" customHeight="1">
      <c r="A81" s="586"/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600"/>
      <c r="AQ81" s="414"/>
      <c r="BB81" s="414"/>
      <c r="BM81" s="415"/>
    </row>
    <row r="82" ht="38.25" customHeight="1">
      <c r="A82" s="586"/>
      <c r="B82" s="586"/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600"/>
      <c r="AQ82" s="414"/>
      <c r="BB82" s="414"/>
      <c r="BM82" s="415"/>
    </row>
    <row r="83" ht="38.25" customHeight="1">
      <c r="A83" s="586"/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600"/>
      <c r="AQ83" s="414"/>
      <c r="BB83" s="414"/>
      <c r="BM83" s="415"/>
    </row>
    <row r="84" ht="38.25" customHeight="1">
      <c r="A84" s="586"/>
      <c r="B84" s="586"/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600"/>
      <c r="AQ84" s="414"/>
      <c r="BB84" s="414"/>
      <c r="BM84" s="415"/>
    </row>
    <row r="85" ht="38.25" customHeight="1">
      <c r="A85" s="586"/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6"/>
      <c r="O85" s="586"/>
      <c r="P85" s="586"/>
      <c r="Q85" s="586"/>
      <c r="R85" s="600"/>
      <c r="AQ85" s="414"/>
      <c r="BB85" s="414"/>
      <c r="BM85" s="415"/>
    </row>
    <row r="86" ht="38.2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600"/>
      <c r="AQ86" s="414"/>
      <c r="BB86" s="414"/>
      <c r="BM86" s="415"/>
    </row>
    <row r="87" ht="38.25" customHeight="1">
      <c r="A87" s="586"/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600"/>
      <c r="AQ87" s="414"/>
      <c r="BB87" s="414"/>
      <c r="BM87" s="415"/>
    </row>
    <row r="88" ht="38.25" customHeight="1">
      <c r="A88" s="586"/>
      <c r="B88" s="586"/>
      <c r="C88" s="586"/>
      <c r="D88" s="586"/>
      <c r="E88" s="586"/>
      <c r="F88" s="586"/>
      <c r="G88" s="586"/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600"/>
      <c r="AQ88" s="414"/>
      <c r="BB88" s="414"/>
      <c r="BM88" s="415"/>
    </row>
    <row r="89" ht="38.25" customHeight="1">
      <c r="A89" s="586"/>
      <c r="B89" s="586"/>
      <c r="C89" s="586"/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600"/>
      <c r="AQ89" s="414"/>
      <c r="BB89" s="414"/>
      <c r="BM89" s="415"/>
    </row>
    <row r="90" ht="38.25" customHeight="1">
      <c r="A90" s="586"/>
      <c r="B90" s="586"/>
      <c r="C90" s="586"/>
      <c r="D90" s="586"/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600"/>
      <c r="AQ90" s="414"/>
      <c r="BB90" s="414"/>
      <c r="BM90" s="415"/>
    </row>
    <row r="91" ht="38.2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6"/>
      <c r="N91" s="586"/>
      <c r="O91" s="586"/>
      <c r="P91" s="586"/>
      <c r="Q91" s="586"/>
      <c r="R91" s="600"/>
      <c r="AQ91" s="414"/>
      <c r="BB91" s="414"/>
      <c r="BM91" s="415"/>
    </row>
    <row r="92" ht="38.25" customHeight="1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600"/>
      <c r="AQ92" s="414"/>
      <c r="BB92" s="414"/>
      <c r="BM92" s="415"/>
    </row>
    <row r="93" ht="38.25" customHeight="1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600"/>
      <c r="AQ93" s="414"/>
      <c r="BB93" s="414"/>
      <c r="BM93" s="415"/>
    </row>
    <row r="94" ht="38.25" customHeight="1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600"/>
      <c r="AQ94" s="414"/>
      <c r="BB94" s="414"/>
      <c r="BM94" s="415"/>
    </row>
    <row r="95" ht="38.25" customHeight="1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600"/>
      <c r="AQ95" s="414"/>
      <c r="BB95" s="414"/>
      <c r="BM95" s="415"/>
    </row>
    <row r="96" ht="38.25" customHeight="1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600"/>
      <c r="AQ96" s="414"/>
      <c r="BB96" s="414"/>
      <c r="BM96" s="415"/>
    </row>
    <row r="97" ht="39" customHeight="1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600"/>
      <c r="AQ97" s="414"/>
      <c r="BB97" s="414"/>
      <c r="BM97" s="415"/>
    </row>
    <row r="98" ht="39" customHeight="1">
      <c r="A98" s="586" t="s">
        <v>216</v>
      </c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600"/>
      <c r="AR98" s="414"/>
      <c r="BN98" s="415"/>
    </row>
    <row r="99" ht="39" customHeight="1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600"/>
      <c r="AR99" s="414"/>
      <c r="BN99" s="415"/>
    </row>
    <row r="100" ht="39" customHeigh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600"/>
      <c r="AR100" s="414"/>
      <c r="BN100" s="415"/>
    </row>
    <row r="101" ht="39" customHeigh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600"/>
      <c r="AR101" s="414"/>
      <c r="BN101" s="415"/>
    </row>
    <row r="102" ht="39" customHeigh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600"/>
      <c r="AR102" s="414"/>
      <c r="BN102" s="415"/>
    </row>
    <row r="103" ht="39" customHeigh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600"/>
      <c r="AR103" s="414"/>
      <c r="BN103" s="415"/>
    </row>
    <row r="104" ht="39" customHeigh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600"/>
      <c r="AR104" s="414"/>
      <c r="BN104" s="415"/>
    </row>
    <row r="105" ht="39" customHeigh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600"/>
      <c r="AR105" s="414"/>
      <c r="BN105" s="415"/>
    </row>
    <row r="106" ht="39" customHeigh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600"/>
      <c r="AR106" s="414"/>
      <c r="BN106" s="415"/>
    </row>
    <row r="107" ht="39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600"/>
      <c r="AR107" s="414"/>
      <c r="BN107" s="415"/>
    </row>
    <row r="108" ht="39" customHeigh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600"/>
      <c r="AR108" s="414"/>
      <c r="BN108" s="415"/>
    </row>
    <row r="109" ht="39" customHeigh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600"/>
      <c r="AR109" s="414"/>
      <c r="BN109" s="415"/>
    </row>
    <row r="110" ht="39" customHeigh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600"/>
      <c r="AR110" s="414"/>
      <c r="BN110" s="415"/>
    </row>
    <row r="111" ht="39" customHeigh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6"/>
      <c r="R111" s="600"/>
      <c r="AR111" s="414"/>
      <c r="BN111" s="415"/>
    </row>
    <row r="112" ht="39" customHeigh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  <c r="M112" s="586"/>
      <c r="N112" s="586"/>
      <c r="O112" s="586"/>
      <c r="P112" s="586"/>
      <c r="Q112" s="586"/>
      <c r="R112" s="600"/>
      <c r="AR112" s="414"/>
      <c r="BN112" s="415"/>
    </row>
    <row r="113" ht="39" customHeigh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600"/>
      <c r="AR113" s="414"/>
      <c r="BN113" s="415"/>
    </row>
    <row r="114" ht="39" customHeigh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6"/>
      <c r="K114" s="586"/>
      <c r="L114" s="586"/>
      <c r="M114" s="586"/>
      <c r="N114" s="586"/>
      <c r="O114" s="586"/>
      <c r="P114" s="586"/>
      <c r="Q114" s="586"/>
      <c r="R114" s="600"/>
      <c r="AR114" s="414"/>
      <c r="BN114" s="415"/>
    </row>
    <row r="115" ht="39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600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BBF5703-9CFB-49A6-8AED-398D530085F4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E6F87AA-6ABC-4CE6-BFA4-B553E0C9E583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DFB2F203-37B7-492B-94C7-94D953FFC82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A970E93-64CA-495C-8519-5AFE2C48F587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B1B4FCAF-CF09-44BD-95C2-5F5C4B936A1A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84062401-7BFD-482F-BC7C-32713A5383A1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8D28CEF-E9A0-4FA7-8A0C-1363984B9DC7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8CD0337-95BA-4678-8228-80F71EDBCF0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D3B5378A-24A8-4576-BDA0-5E33F4B69FA1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FF1ACC67-8037-423A-B1D9-B7AA0C468331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EC32CDDC-0EA4-4E1A-8569-07D33689150F}">
          <x14:formula1>
            <xm:f>wavy2!$A$19:$A$20</xm:f>
          </x14:formula1>
          <xm:sqref>BE9</xm:sqref>
        </x14:dataValidation>
        <x14:dataValidation type="list" allowBlank="1" showInputMessage="1" showErrorMessage="1" xr:uid="{3F366E10-78C0-49AA-BF03-7B5130336755}">
          <x14:formula1>
            <xm:f>wavy1!$A$19:$A$20</xm:f>
          </x14:formula1>
          <xm:sqref>AT9</xm:sqref>
        </x14:dataValidation>
        <x14:dataValidation type="list" allowBlank="1" showInputMessage="1" showErrorMessage="1" xr:uid="{FD169C8B-7D41-4719-91C0-98FAAC4AC96F}">
          <x14:formula1>
            <xm:f>Sheet2!$B$5:$B$7</xm:f>
          </x14:formula1>
          <xm:sqref>T25 T46 T64</xm:sqref>
        </x14:dataValidation>
        <x14:dataValidation type="list" allowBlank="1" showInputMessage="1" showErrorMessage="1" xr:uid="{F3EFBC3D-DA03-4288-AB5A-A76572555FA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9EF8E2B0-AF09-4355-9970-033E97272B4C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7FFBF3EE-31C2-4BC8-AF46-E4002AE8A9B9}">
          <x14:formula1>
            <xm:f>Sheet2!$C$5:$C$6</xm:f>
          </x14:formula1>
          <xm:sqref>T26</xm:sqref>
        </x14:dataValidation>
        <x14:dataValidation type="list" allowBlank="1" showInputMessage="1" showErrorMessage="1" xr:uid="{654E3FFF-1531-427D-B115-9CF3724CE4DA}">
          <x14:formula1>
            <xm:f>Sheet2!$A$5</xm:f>
          </x14:formula1>
          <xm:sqref>U31</xm:sqref>
        </x14:dataValidation>
        <x14:dataValidation type="list" allowBlank="1" showInputMessage="1" showErrorMessage="1" xr:uid="{C2C000FC-2858-4D8E-9924-22E47DDCC32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3C09C60B-ACE1-4487-8D32-460AABD5F4C9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4DE509A-F7A1-4FDC-AEA0-92BDF293C577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2B665C88-DCFE-4ABC-B0C5-0A96DA8E9AA4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C0282411-C3C1-42EA-82C4-6C9D6B24F841}">
          <x14:formula1>
            <xm:f>Sheet2!$D$5:$D$6</xm:f>
          </x14:formula1>
          <xm:sqref>T32 T53 T71</xm:sqref>
        </x14:dataValidation>
        <x14:dataValidation type="list" allowBlank="1" showInputMessage="1" showErrorMessage="1" xr:uid="{DDC54AC4-B55F-4B66-9B7D-D3BDF8A1C762}">
          <x14:formula1>
            <xm:f>Sheet2!$A$6</xm:f>
          </x14:formula1>
          <xm:sqref>AC36</xm:sqref>
        </x14:dataValidation>
        <x14:dataValidation type="list" allowBlank="1" showInputMessage="1" showErrorMessage="1" xr:uid="{98A17B4D-4807-4481-800D-E830CA75CB1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252</v>
      </c>
      <c r="B1" s="1" t="s">
        <v>253</v>
      </c>
      <c r="C1" s="1" t="s">
        <v>254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255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256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6" t="s">
        <v>257</v>
      </c>
      <c r="I7" s="786"/>
      <c r="J7" s="786"/>
      <c r="K7" s="787"/>
    </row>
    <row r="8">
      <c r="A8" s="4" t="s">
        <v>258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6"/>
      <c r="I8" s="786"/>
      <c r="J8" s="786"/>
      <c r="K8" s="787"/>
    </row>
    <row r="9">
      <c r="A9" s="4" t="s">
        <v>259</v>
      </c>
      <c r="C9" s="1" t="str">
        <f>IF(Format!N8=5,'Format διαστασης οδηγου'!B2-35,IF(Format!N8=6,'Format διαστασης οδηγου'!B2-31,"-------"))</f>
        <v>-------</v>
      </c>
      <c r="H9" s="786"/>
      <c r="I9" s="786"/>
      <c r="J9" s="786"/>
      <c r="K9" s="787"/>
    </row>
    <row r="10">
      <c r="A10" s="4" t="s">
        <v>260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255</v>
      </c>
      <c r="C14" s="1">
        <f>IF(Format!N8=1,B2,IF(Format!N8=2,'Format διαστασης οδηγου'!B2-11,"-------"))</f>
        <v>800</v>
      </c>
      <c r="K14" s="8"/>
    </row>
    <row r="15">
      <c r="A15" s="4" t="s">
        <v>256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6" t="s">
        <v>261</v>
      </c>
      <c r="I15" s="786"/>
      <c r="J15" s="786"/>
      <c r="K15" s="787"/>
    </row>
    <row r="16">
      <c r="A16" s="4" t="s">
        <v>258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6"/>
      <c r="I16" s="786"/>
      <c r="J16" s="786"/>
      <c r="K16" s="787"/>
    </row>
    <row r="17">
      <c r="A17" s="4" t="s">
        <v>259</v>
      </c>
      <c r="C17" s="1" t="str">
        <f>IF(Format!N8=5,'Format διαστασης οδηγου'!B2-6,IF(Format!N8=6,'Format διαστασης οδηγου'!B2-2,"-------"))</f>
        <v>-------</v>
      </c>
      <c r="H17" s="786"/>
      <c r="I17" s="786"/>
      <c r="J17" s="786"/>
      <c r="K17" s="787"/>
    </row>
    <row r="18">
      <c r="A18" s="4" t="s">
        <v>260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45434.44664318287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0.016712138890702281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0.040213584205752363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0.020644406864985171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0.0775701299614398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7" t="s">
        <v>60</v>
      </c>
      <c r="E10" s="627"/>
      <c r="F10" s="627"/>
      <c r="G10" s="627"/>
      <c r="H10" s="627"/>
      <c r="I10" s="627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7" t="s">
        <v>76</v>
      </c>
      <c r="E15" s="627"/>
      <c r="F15" s="627"/>
      <c r="G15" s="627"/>
      <c r="H15" s="627"/>
      <c r="I15" s="627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0.0039322679742828893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0.0036865012258902089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0.001671213889070228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0.0003686501225890209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0.0014746004903560836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0.00044238014710682507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0.024576674839268058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0.00019661339871414446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0.017695205884273004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0.0039322679742828893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0.057976375945833353</v>
      </c>
    </row>
    <row r="28" ht="21" customHeight="1" s="216" customFormat="1">
      <c r="C28" s="217"/>
      <c r="D28" s="627" t="s">
        <v>99</v>
      </c>
      <c r="E28" s="627"/>
      <c r="F28" s="627"/>
      <c r="G28" s="627"/>
      <c r="H28" s="627"/>
      <c r="I28" s="62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7" t="s">
        <v>102</v>
      </c>
      <c r="E33" s="627"/>
      <c r="F33" s="627"/>
      <c r="G33" s="627"/>
      <c r="H33" s="627"/>
      <c r="I33" s="62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0.0003686501225890209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0.0003686501225890209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0.00061441687098170148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0.0036865012258902089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0.00098306699357072233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0.0061474455997955844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0.0019965314533900132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0.0164663721423096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0.033591399170311585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0.06422303370142747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7" t="s">
        <v>119</v>
      </c>
      <c r="E51" s="627"/>
      <c r="F51" s="627"/>
      <c r="G51" s="627"/>
      <c r="H51" s="627"/>
      <c r="I51" s="62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0.0073975791266196857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0.017203672387487642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0.024601251514107327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7" t="s">
        <v>123</v>
      </c>
      <c r="E56" s="627"/>
      <c r="F56" s="627"/>
      <c r="G56" s="627"/>
      <c r="H56" s="627"/>
      <c r="I56" s="62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0.56934250534450914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0.056934250534450913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0.62627675587896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7" t="s">
        <v>133</v>
      </c>
      <c r="E61" s="627"/>
      <c r="F61" s="627"/>
      <c r="G61" s="627"/>
      <c r="H61" s="627"/>
      <c r="I61" s="627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0.0039322679742828893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0.0029492009807121672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0.0058984019614243344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0.004423801471068251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0.019169806374629086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0.014377354780971815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0.019169806374629086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0.012976484315133536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0.019661339871414447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0.014746004903560836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0.022610540852126614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0.0094374431382789354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0.149352452998232</v>
      </c>
    </row>
    <row r="77" ht="18.75">
      <c r="A77" s="216"/>
      <c r="B77" s="216"/>
      <c r="C77" s="217"/>
      <c r="D77" s="620"/>
      <c r="E77" s="620"/>
      <c r="F77" s="620"/>
      <c r="G77" s="620"/>
      <c r="H77" s="620"/>
      <c r="I77" s="620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203444.93438189256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264478.41469646036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703840C0-8D10-4A0E-9EB0-52D85EA215D7}">
      <formula1>$N$2:$N$20</formula1>
    </dataValidation>
    <dataValidation type="list" allowBlank="1" showInputMessage="1" showErrorMessage="1" sqref="G63:G75" xr:uid="{07CC547D-4A3B-43BD-8820-6DD9B268A5BE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45434.44664318287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0.0057087839631875751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0.050237298876050655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0.011383986844238752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0.015044324797106079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0.082374394480583063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7" t="s">
        <v>60</v>
      </c>
      <c r="E11" s="627"/>
      <c r="F11" s="627"/>
      <c r="G11" s="627"/>
      <c r="H11" s="627"/>
      <c r="I11" s="627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7" t="s">
        <v>76</v>
      </c>
      <c r="E16" s="627"/>
      <c r="F16" s="627"/>
      <c r="G16" s="627"/>
      <c r="H16" s="627"/>
      <c r="I16" s="627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0.00322378388509416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0.0026864865709117997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0.0011417567926375149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0.000604459478455155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0.002579027108075328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0.000322378388509416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0.0322378388509416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0.00010745946283647199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1200</v>
      </c>
      <c r="L27" s="241">
        <f t="shared" si="6"/>
        <v>0.00322378388509416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17170</v>
      </c>
      <c r="L28" s="244">
        <f>Table1522[[#Totals],[اجمالي]]/$G$84</f>
        <v>0.0461269744225556</v>
      </c>
    </row>
    <row r="29" ht="18.75" s="216" customFormat="1">
      <c r="C29" s="217"/>
      <c r="D29" s="627" t="s">
        <v>99</v>
      </c>
      <c r="E29" s="627"/>
      <c r="F29" s="627"/>
      <c r="G29" s="627"/>
      <c r="H29" s="627"/>
      <c r="I29" s="62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0.015044324797106079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0.00644756777018832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0.021491892567294398</v>
      </c>
    </row>
    <row r="34" ht="18.75" s="216" customFormat="1">
      <c r="C34" s="217"/>
      <c r="D34" s="627" t="s">
        <v>102</v>
      </c>
      <c r="E34" s="627"/>
      <c r="F34" s="627"/>
      <c r="G34" s="627"/>
      <c r="H34" s="627"/>
      <c r="I34" s="62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0.00644756777018832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0.000564162179891478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0.000201486492818385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0.000201486492818385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0.00067162164272794992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0.00201486492818385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0.00053729731418236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0.0241783791382062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0.029551352280029797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0.00214918925672944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0.00214918925672944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0.06866659675250561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7" t="s">
        <v>119</v>
      </c>
      <c r="E52" s="627"/>
      <c r="F52" s="627"/>
      <c r="G52" s="627"/>
      <c r="H52" s="627"/>
      <c r="I52" s="62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1881.25</v>
      </c>
      <c r="L54" s="241">
        <f>(Table161027[[#This Row],[اجمالي]])/$G$84</f>
        <v>0.0050539528615278235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0.094027029981913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36881.25</v>
      </c>
      <c r="L56" s="241">
        <f>Table161027[[#Totals],[اجمالي]]/$G$84</f>
        <v>0.099080982843440815</v>
      </c>
    </row>
    <row r="57" ht="18.75" s="216" customFormat="1">
      <c r="C57" s="217"/>
      <c r="D57" s="627" t="s">
        <v>123</v>
      </c>
      <c r="E57" s="627"/>
      <c r="F57" s="627"/>
      <c r="G57" s="627"/>
      <c r="H57" s="627"/>
      <c r="I57" s="62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2110.4132453090647</v>
      </c>
      <c r="I59" s="247"/>
      <c r="J59" s="411">
        <f>IF((Table161128[[#This Row],[عدد]]&gt;0),'Cutting Ro-2'!O8,0)</f>
        <v>202599.67154967022</v>
      </c>
      <c r="K59" s="240">
        <f>Table161128[[#This Row],[عدد]]*Table161128[[#This Row],[سعر البرجولا كاملة]]</f>
        <v>202599.67154967022</v>
      </c>
      <c r="L59" s="241">
        <f>(K59)/$G$84</f>
        <v>0.54428129688933047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202599.67154967022</v>
      </c>
      <c r="K60" s="240">
        <f>Table161128[[#This Row],[عدد]]*Table161128[[#This Row],[سعر البرجولا كاملة]]</f>
        <v>20259.967154967024</v>
      </c>
      <c r="L60" s="241">
        <f>(K60)/$G$84</f>
        <v>0.054428129688933055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222859.63870463724</v>
      </c>
      <c r="L61" s="244">
        <f>Table161128[[#Totals],[اجمالي]]/$G$84</f>
        <v>0.59870942657826354</v>
      </c>
    </row>
    <row r="62" ht="18.75" s="216" customFormat="1">
      <c r="C62" s="217"/>
      <c r="D62" s="627" t="s">
        <v>131</v>
      </c>
      <c r="E62" s="627"/>
      <c r="F62" s="627"/>
      <c r="G62" s="627"/>
      <c r="H62" s="627"/>
      <c r="I62" s="627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7" t="s">
        <v>133</v>
      </c>
      <c r="E66" s="627"/>
      <c r="F66" s="627"/>
      <c r="G66" s="627"/>
      <c r="H66" s="627"/>
      <c r="I66" s="627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0.00322378388509416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0.00161189194254708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0.00483567582764124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0.00322378388509416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0.010477297626556019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0.010477297626556019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0.010477297626556019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0.0070923245472071517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0.0120891895691031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0.0080594597127354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0.00617891911309714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0.0058028109931694879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0.083549732355356982</v>
      </c>
    </row>
    <row r="82" ht="18.75">
      <c r="A82" s="216"/>
      <c r="B82" s="216"/>
      <c r="C82" s="217"/>
      <c r="D82" s="620"/>
      <c r="E82" s="620"/>
      <c r="F82" s="620"/>
      <c r="G82" s="620"/>
      <c r="H82" s="620"/>
      <c r="I82" s="620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372233.38870463724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483903.40531602845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65F3B3B-A78C-4183-BB39-2204A25C51A3}">
      <formula1>$U$4:$U$5</formula1>
    </dataValidation>
    <dataValidation type="list" allowBlank="1" showInputMessage="1" showErrorMessage="1" sqref="F72:F80" xr:uid="{ECF5B531-95F3-4E02-AB19-F1E0CB0A6FB6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D15" sqref="D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440</v>
      </c>
      <c r="B1" s="271">
        <f>(F1*D1)/10000</f>
        <v>12.5</v>
      </c>
      <c r="C1" s="272" t="s">
        <v>424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441</v>
      </c>
      <c r="B2" s="187" t="s">
        <v>442</v>
      </c>
      <c r="C2" s="187" t="s">
        <v>443</v>
      </c>
      <c r="D2" s="187" t="s">
        <v>64</v>
      </c>
      <c r="E2" s="187" t="s">
        <v>444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445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28" t="s">
        <v>17</v>
      </c>
      <c r="M3" s="62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0">
        <f>NOW()</f>
        <v>45434.44664318287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446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10</v>
      </c>
      <c r="F4" s="392">
        <f>B4*C4*D4*E4</f>
        <v>3220.0000000000005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447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448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449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450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0.021870511001442574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451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452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0.061108780739324839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453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454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0.082979291740767416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455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456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457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458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459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460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0.006861336784766298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461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462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0.0029160681335256766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463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464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0.0012865006471436808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0.0020584010354298891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1868.3</v>
      </c>
      <c r="F15" s="395">
        <f>SUBTOTAL(109,Table8[اجمالي التكلفة])</f>
        <v>23353.75</v>
      </c>
      <c r="G15" s="394"/>
      <c r="H15" s="394"/>
      <c r="I15" s="394"/>
      <c r="J15" s="394"/>
      <c r="L15" s="211">
        <v>5</v>
      </c>
      <c r="M15" s="212"/>
      <c r="N15" s="213" t="s">
        <v>465</v>
      </c>
      <c r="O15" s="214"/>
      <c r="P15" s="214"/>
      <c r="Q15" s="214"/>
      <c r="R15" s="401" t="s">
        <v>466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467</v>
      </c>
      <c r="O16" s="214"/>
      <c r="P16" s="214"/>
      <c r="Q16" s="214"/>
      <c r="R16" s="211" t="s">
        <v>468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0.041168020708597784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0.054290327309463329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469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470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0.00077190038828620848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0.00077190038828620848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0.00042883354904789362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0.0025730012942873615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0.0013722673569532596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0.0037917913810550591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0.038595019414310427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0.0471716903952683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0.013722673569532596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0.013722673569532596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0.1229217513065599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471</v>
      </c>
      <c r="O49" s="214"/>
      <c r="P49" s="211"/>
      <c r="Q49" s="216"/>
      <c r="R49" s="247" t="s">
        <v>472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473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23353.75</v>
      </c>
      <c r="V50" s="240">
        <f>M50*Table161368[[#This Row],[سعر الشبك ]]</f>
        <v>23353.75</v>
      </c>
      <c r="W50" s="241">
        <f t="shared" si="6" ca="1"/>
        <v>0.40059485984308979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23353.75</v>
      </c>
      <c r="V51" s="240">
        <f>M51*Table161368[[#This Row],[سعر الشبك ]]</f>
        <v>2335.375</v>
      </c>
      <c r="W51" s="241">
        <f t="shared" si="6" ca="1"/>
        <v>0.04005948598430898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25689.125</v>
      </c>
      <c r="W52" s="244">
        <f>Table161368[[#Totals],[اجمالي]]/$R$71</f>
        <v>0.44065434582739876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0.006861336784766298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0.006861336784766298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0.010292005177149446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0.010292005177149446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0.044598689100980936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0.0334490168257357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0.022299344550490468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0.045284822779457563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0.030018348433352552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0.078905373024812417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0.010292005177149446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0.29915428381581055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58297.677631578947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75786.980921052629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6E3E278D-2224-4C29-A980-FC187086472F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C33" sqref="C3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440</v>
      </c>
      <c r="B1" s="271">
        <f>(F1*D1)/10000</f>
        <v>35</v>
      </c>
      <c r="C1" s="272" t="s">
        <v>424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441</v>
      </c>
      <c r="B2" s="187" t="s">
        <v>442</v>
      </c>
      <c r="C2" s="187" t="s">
        <v>443</v>
      </c>
      <c r="D2" s="187" t="s">
        <v>64</v>
      </c>
      <c r="E2" s="187" t="s">
        <v>444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445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28" t="s">
        <v>17</v>
      </c>
      <c r="M3" s="62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0">
        <f>NOW()</f>
        <v>45434.44664318287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446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448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450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452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0.0759590031047851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454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0.0759590031047851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456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458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460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0.0053304563582305328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462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0.0022654439522479764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464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0.000999460567168225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0.0063965476298766394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465</v>
      </c>
      <c r="O15" s="214"/>
      <c r="P15" s="214"/>
      <c r="Q15" s="214"/>
      <c r="R15" s="401" t="s">
        <v>466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467</v>
      </c>
      <c r="O16" s="214"/>
      <c r="P16" s="214"/>
      <c r="Q16" s="214"/>
      <c r="R16" s="211" t="s">
        <v>468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1091.2</v>
      </c>
      <c r="F17" s="395">
        <f>SUBTOTAL(109,Table823[اجمالي التكلفة])</f>
        <v>38192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0.014991908507523374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469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470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0.018656597253806865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0.0079956845373458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0.026652281791152664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0.0040333786443944378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0.00059967634030093494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0.00059967634030093494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0.000999460567168225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0.0059967634030093494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0.0015991369074691599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0.0029457785137589785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0.041044513958375106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0.059967634030093496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0.073293774925669825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0.0019360217493093299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0.0019360217493093299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0.19495183712915912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471</v>
      </c>
      <c r="O49" s="214"/>
      <c r="P49" s="211"/>
      <c r="Q49" s="216"/>
      <c r="R49" s="247" t="s">
        <v>472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473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38192</v>
      </c>
      <c r="V50" s="240">
        <f>M50*Table16136845[[#This Row],[سعر الشبك ]]</f>
        <v>38192</v>
      </c>
      <c r="W50" s="241">
        <f t="shared" si="6"/>
        <v>0.50895197308385132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38192</v>
      </c>
      <c r="V51" s="240">
        <f>M51*Table16136845[[#This Row],[سعر الشبك ]]</f>
        <v>3819.2000000000003</v>
      </c>
      <c r="W51" s="241">
        <f t="shared" si="6"/>
        <v>0.050895197308385133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42011.2</v>
      </c>
      <c r="W52" s="244">
        <f>Table16136845[[#Totals],[اجمالي]]/$R$71</f>
        <v>0.55984717039223642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0.010660912716461066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0.010660912716461066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0.0053304563582305328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0.0079956845373458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0.017323983164249233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0.012992987373186923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0.0319827381493832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0.030650124059825565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0.12759779907514338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75040.479298245613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97552.6230877193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805A133-8B29-4001-B7EC-18E886D36C2A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474</v>
      </c>
      <c r="B2" s="324" t="s">
        <v>198</v>
      </c>
      <c r="C2" s="324" t="s">
        <v>475</v>
      </c>
      <c r="E2" s="324" t="s">
        <v>9</v>
      </c>
      <c r="F2" s="323" t="s">
        <v>30</v>
      </c>
      <c r="H2" s="329" t="s">
        <v>9</v>
      </c>
      <c r="I2" s="361" t="s">
        <v>476</v>
      </c>
      <c r="J2" s="362" t="s">
        <v>477</v>
      </c>
      <c r="K2" s="363" t="s">
        <v>478</v>
      </c>
      <c r="M2" s="364" t="s">
        <v>479</v>
      </c>
      <c r="N2" s="364" t="s">
        <v>480</v>
      </c>
      <c r="O2" s="0" t="s">
        <v>9</v>
      </c>
      <c r="P2" s="365"/>
      <c r="R2" s="340"/>
      <c r="S2" s="323" t="s">
        <v>198</v>
      </c>
      <c r="T2" s="323" t="s">
        <v>475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476</v>
      </c>
      <c r="AA2" s="331" t="s">
        <v>477</v>
      </c>
      <c r="AB2" s="331" t="s">
        <v>478</v>
      </c>
      <c r="AD2" s="0" t="s">
        <v>479</v>
      </c>
      <c r="AE2" s="0" t="s">
        <v>480</v>
      </c>
      <c r="AF2" s="0" t="s">
        <v>9</v>
      </c>
      <c r="AG2" s="365"/>
    </row>
    <row r="3" ht="22.5" customHeight="1">
      <c r="A3" s="330" t="s">
        <v>481</v>
      </c>
      <c r="B3" s="331">
        <v>2.5</v>
      </c>
      <c r="C3" s="331">
        <v>11.75</v>
      </c>
      <c r="E3" s="331" t="s">
        <v>482</v>
      </c>
      <c r="F3" s="331">
        <f>Sheet2!B42</f>
        <v>450</v>
      </c>
      <c r="H3" s="565" t="s">
        <v>483</v>
      </c>
      <c r="I3" s="366">
        <v>2</v>
      </c>
      <c r="J3" s="367">
        <v>75</v>
      </c>
      <c r="K3" s="368">
        <f ref="K3:K10" t="shared" si="0">I3*J3</f>
        <v>150</v>
      </c>
      <c r="M3" s="369" t="s">
        <v>484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9" t="str">
        <f>IF((N6&gt;0),"OK","WAIT")</f>
        <v>OK</v>
      </c>
      <c r="P3" s="365"/>
      <c r="R3" s="340"/>
      <c r="S3" s="383" t="s">
        <v>449</v>
      </c>
      <c r="T3" s="331">
        <v>17</v>
      </c>
      <c r="U3" s="323"/>
      <c r="V3" s="331" t="s">
        <v>482</v>
      </c>
      <c r="W3" s="331">
        <f>Sheet2!B42</f>
        <v>450</v>
      </c>
      <c r="X3" s="323"/>
      <c r="Y3" s="339" t="s">
        <v>485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484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481</v>
      </c>
      <c r="B4" s="331">
        <v>2.7</v>
      </c>
      <c r="C4" s="331">
        <v>13.5</v>
      </c>
      <c r="E4" s="331" t="s">
        <v>486</v>
      </c>
      <c r="F4" s="331">
        <f>Sheet2!B43</f>
        <v>160</v>
      </c>
      <c r="H4" s="565" t="s">
        <v>487</v>
      </c>
      <c r="I4" s="366">
        <v>2</v>
      </c>
      <c r="J4" s="367"/>
      <c r="K4" s="368">
        <f t="shared" si="0"/>
        <v>0</v>
      </c>
      <c r="M4" s="369" t="s">
        <v>488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486</v>
      </c>
      <c r="W4" s="331">
        <f>Sheet2!B43</f>
        <v>160</v>
      </c>
      <c r="X4" s="323"/>
      <c r="Y4" s="339" t="s">
        <v>487</v>
      </c>
      <c r="Z4" s="375">
        <v>2</v>
      </c>
      <c r="AA4" s="331">
        <v>15</v>
      </c>
      <c r="AB4" s="331">
        <f t="shared" si="1"/>
        <v>30</v>
      </c>
      <c r="AD4" s="388" t="s">
        <v>488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481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489</v>
      </c>
      <c r="I5" s="366">
        <v>16</v>
      </c>
      <c r="J5" s="367">
        <v>10</v>
      </c>
      <c r="K5" s="368">
        <f t="shared" si="0"/>
        <v>160</v>
      </c>
      <c r="M5" s="369" t="s">
        <v>490</v>
      </c>
      <c r="N5" s="369">
        <f>IF((تسعير!AL8="خشبي"),'شماسي و كانتليفر'!F8,IF((تسعير!AL8="سادة"),'شماسي و كانتليفر'!F9,0))</f>
        <v>20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491</v>
      </c>
      <c r="Z5" s="375">
        <v>1</v>
      </c>
      <c r="AA5" s="331">
        <v>150</v>
      </c>
      <c r="AB5" s="331">
        <f t="shared" si="1"/>
        <v>150</v>
      </c>
      <c r="AD5" s="388" t="s">
        <v>490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481</v>
      </c>
      <c r="B6" s="331">
        <v>3.5</v>
      </c>
      <c r="C6" s="331">
        <v>14.6</v>
      </c>
      <c r="E6" s="331" t="s">
        <v>492</v>
      </c>
      <c r="F6" s="331">
        <v>250</v>
      </c>
      <c r="H6" s="565" t="s">
        <v>493</v>
      </c>
      <c r="I6" s="366">
        <v>16</v>
      </c>
      <c r="J6" s="367">
        <v>1</v>
      </c>
      <c r="K6" s="368">
        <f t="shared" si="0"/>
        <v>16</v>
      </c>
      <c r="M6" s="369" t="s">
        <v>494</v>
      </c>
      <c r="N6" s="369">
        <f>(N5+'شماسي و كانتليفر'!F10)*(N4)</f>
        <v>3172.5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181</v>
      </c>
      <c r="W6" s="331">
        <v>250</v>
      </c>
      <c r="X6" s="323"/>
      <c r="Y6" s="339" t="s">
        <v>495</v>
      </c>
      <c r="Z6" s="375">
        <v>1</v>
      </c>
      <c r="AA6" s="331">
        <v>150</v>
      </c>
      <c r="AB6" s="331">
        <f t="shared" si="1"/>
        <v>150</v>
      </c>
      <c r="AD6" s="388" t="s">
        <v>494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180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496</v>
      </c>
      <c r="I7" s="366">
        <v>2</v>
      </c>
      <c r="J7" s="367">
        <v>80</v>
      </c>
      <c r="K7" s="368">
        <f t="shared" si="0"/>
        <v>160</v>
      </c>
      <c r="M7" s="369" t="s">
        <v>497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498</v>
      </c>
      <c r="Z7" s="375">
        <v>1</v>
      </c>
      <c r="AA7" s="331">
        <v>150</v>
      </c>
      <c r="AB7" s="331">
        <f t="shared" si="1"/>
        <v>150</v>
      </c>
      <c r="AD7" s="388" t="s">
        <v>497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180</v>
      </c>
      <c r="B8" s="331">
        <v>2.5</v>
      </c>
      <c r="C8" s="331">
        <v>11.75</v>
      </c>
      <c r="E8" s="331" t="s">
        <v>177</v>
      </c>
      <c r="F8" s="331">
        <f>Table626[[#This Row],[Column2]]</f>
        <v>55</v>
      </c>
      <c r="H8" s="565" t="s">
        <v>499</v>
      </c>
      <c r="I8" s="366">
        <v>2</v>
      </c>
      <c r="J8" s="367">
        <v>20</v>
      </c>
      <c r="K8" s="368">
        <f t="shared" si="0"/>
        <v>40</v>
      </c>
      <c r="M8" s="369" t="s">
        <v>500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55</v>
      </c>
      <c r="X8" s="323"/>
      <c r="Y8" s="339" t="s">
        <v>501</v>
      </c>
      <c r="Z8" s="375">
        <v>2</v>
      </c>
      <c r="AA8" s="331">
        <v>50</v>
      </c>
      <c r="AB8" s="331">
        <f t="shared" si="1"/>
        <v>100</v>
      </c>
      <c r="AD8" s="388" t="s">
        <v>500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180</v>
      </c>
      <c r="B9" s="331">
        <v>3</v>
      </c>
      <c r="C9" s="331">
        <v>13.5</v>
      </c>
      <c r="E9" s="331" t="s">
        <v>169</v>
      </c>
      <c r="F9" s="331">
        <f>Table626[[#This Row],[Column2]]</f>
        <v>20</v>
      </c>
      <c r="H9" s="565" t="s">
        <v>502</v>
      </c>
      <c r="I9" s="366">
        <v>7</v>
      </c>
      <c r="J9" s="367">
        <v>8</v>
      </c>
      <c r="K9" s="368">
        <f t="shared" si="0"/>
        <v>56</v>
      </c>
      <c r="M9" s="369" t="s">
        <v>503</v>
      </c>
      <c r="N9" s="369">
        <f>N8*N7</f>
        <v>0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20</v>
      </c>
      <c r="X9" s="323"/>
      <c r="Y9" s="339" t="s">
        <v>504</v>
      </c>
      <c r="Z9" s="375">
        <v>36</v>
      </c>
      <c r="AA9" s="331">
        <v>25</v>
      </c>
      <c r="AB9" s="331">
        <f t="shared" si="1"/>
        <v>900</v>
      </c>
      <c r="AD9" s="388" t="s">
        <v>503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180</v>
      </c>
      <c r="B10" s="331">
        <v>3.3</v>
      </c>
      <c r="C10" s="331">
        <v>16.5</v>
      </c>
      <c r="E10" s="331" t="s">
        <v>224</v>
      </c>
      <c r="F10" s="331">
        <f>W11</f>
        <v>215</v>
      </c>
      <c r="H10" s="565" t="s">
        <v>505</v>
      </c>
      <c r="I10" s="366">
        <v>8</v>
      </c>
      <c r="J10" s="367">
        <v>50</v>
      </c>
      <c r="K10" s="368">
        <f t="shared" si="0"/>
        <v>400</v>
      </c>
      <c r="M10" s="369" t="s">
        <v>506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4832</v>
      </c>
      <c r="O10" s="369"/>
      <c r="P10" s="365"/>
      <c r="R10" s="340"/>
      <c r="S10" s="331"/>
      <c r="T10" s="331"/>
      <c r="U10" s="323"/>
      <c r="V10" s="331" t="s">
        <v>507</v>
      </c>
      <c r="W10" s="331">
        <v>90</v>
      </c>
      <c r="X10" s="323"/>
      <c r="Y10" s="339" t="s">
        <v>508</v>
      </c>
      <c r="Z10" s="375">
        <v>1</v>
      </c>
      <c r="AA10" s="331">
        <v>75</v>
      </c>
      <c r="AB10" s="331">
        <f t="shared" si="1"/>
        <v>75</v>
      </c>
      <c r="AD10" s="388" t="s">
        <v>506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509</v>
      </c>
      <c r="F11" s="333">
        <v>450</v>
      </c>
      <c r="H11" s="374" t="s">
        <v>510</v>
      </c>
      <c r="I11" s="370"/>
      <c r="J11" s="371"/>
      <c r="K11" s="372">
        <v>250</v>
      </c>
      <c r="M11" s="369" t="s">
        <v>511</v>
      </c>
      <c r="N11" s="369">
        <f>IF(OR(تسعير!AN8="double",تسعير!AN8="single مطرز"),'شماسي و كانتليفر'!F13,0)</f>
        <v>0</v>
      </c>
      <c r="O11" s="369"/>
      <c r="P11" s="365"/>
      <c r="R11" s="340"/>
      <c r="S11" s="323"/>
      <c r="T11" s="323"/>
      <c r="U11" s="323"/>
      <c r="V11" s="331" t="s">
        <v>224</v>
      </c>
      <c r="W11" s="331">
        <f>Sheet2!B14/1000</f>
        <v>215</v>
      </c>
      <c r="X11" s="323"/>
      <c r="Y11" s="339" t="s">
        <v>512</v>
      </c>
      <c r="Z11" s="375">
        <v>1</v>
      </c>
      <c r="AA11" s="331">
        <v>75</v>
      </c>
      <c r="AB11" s="331">
        <f t="shared" si="1"/>
        <v>75</v>
      </c>
      <c r="AD11" s="388" t="s">
        <v>511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513</v>
      </c>
      <c r="F12" s="335">
        <v>450</v>
      </c>
      <c r="H12" s="373" t="s">
        <v>514</v>
      </c>
      <c r="I12" s="366"/>
      <c r="J12" s="367"/>
      <c r="K12" s="373">
        <v>2700</v>
      </c>
      <c r="M12" s="369" t="s">
        <v>515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509</v>
      </c>
      <c r="W12" s="331">
        <v>500</v>
      </c>
      <c r="X12" s="323"/>
      <c r="Y12" s="388" t="s">
        <v>514</v>
      </c>
      <c r="Z12" s="375"/>
      <c r="AA12" s="331"/>
      <c r="AB12" s="217">
        <f>Sheet2!B45</f>
        <v>4000</v>
      </c>
      <c r="AD12" s="388" t="s">
        <v>516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517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516</v>
      </c>
      <c r="N13" s="369">
        <f>IF(تسعير!AI8="نصف جملة",((N6+N9+N10+N11+تسعير!AO8)*1.275),IF(تسعير!AI8="جملة",(((N6+N9+N10+N11+تسعير!AO8)*1.25)),((N6+N9+N10+N11+تسعير!AO8)*1.3)))</f>
        <v>10405.85</v>
      </c>
      <c r="O13" s="369"/>
      <c r="P13" s="365"/>
      <c r="R13" s="340"/>
      <c r="S13" s="323"/>
      <c r="T13" s="323"/>
      <c r="U13" s="323"/>
      <c r="V13" s="331" t="s">
        <v>513</v>
      </c>
      <c r="W13" s="331">
        <v>500</v>
      </c>
      <c r="X13" s="323"/>
      <c r="Y13" s="339" t="s">
        <v>518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517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519</v>
      </c>
      <c r="J15" s="323" t="s">
        <v>520</v>
      </c>
      <c r="K15" s="323" t="s">
        <v>521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522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8004.5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179</v>
      </c>
      <c r="F17" s="323" t="s">
        <v>523</v>
      </c>
      <c r="H17" s="331" t="s">
        <v>524</v>
      </c>
      <c r="I17" s="331">
        <v>5.65</v>
      </c>
      <c r="J17" s="331" t="s">
        <v>525</v>
      </c>
      <c r="K17" s="331" t="s">
        <v>525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519</v>
      </c>
      <c r="AA17" s="323" t="s">
        <v>520</v>
      </c>
      <c r="AB17" s="323" t="s">
        <v>521</v>
      </c>
      <c r="AG17" s="365"/>
    </row>
    <row r="18" ht="18.75">
      <c r="A18" s="340"/>
      <c r="E18" s="324" t="s">
        <v>526</v>
      </c>
      <c r="F18" s="323" t="s">
        <v>182</v>
      </c>
      <c r="H18" s="331" t="s">
        <v>527</v>
      </c>
      <c r="I18" s="331">
        <v>6.1</v>
      </c>
      <c r="J18" s="331" t="s">
        <v>525</v>
      </c>
      <c r="K18" s="331" t="s">
        <v>525</v>
      </c>
      <c r="P18" s="365"/>
      <c r="R18" s="340"/>
      <c r="V18" s="331" t="s">
        <v>179</v>
      </c>
      <c r="W18" s="339" t="s">
        <v>523</v>
      </c>
      <c r="X18" s="323"/>
      <c r="Y18" s="331" t="s">
        <v>449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528</v>
      </c>
      <c r="F19" s="323" t="s">
        <v>201</v>
      </c>
      <c r="H19" s="331" t="s">
        <v>529</v>
      </c>
      <c r="I19" s="331">
        <v>6.5</v>
      </c>
      <c r="J19" s="331" t="s">
        <v>525</v>
      </c>
      <c r="K19" s="331" t="s">
        <v>525</v>
      </c>
      <c r="P19" s="365"/>
      <c r="R19" s="340"/>
      <c r="V19" s="331" t="s">
        <v>526</v>
      </c>
      <c r="W19" s="339" t="s">
        <v>182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530</v>
      </c>
      <c r="H20" s="331" t="s">
        <v>531</v>
      </c>
      <c r="I20" s="331">
        <v>7.5</v>
      </c>
      <c r="J20" s="331" t="s">
        <v>525</v>
      </c>
      <c r="K20" s="331" t="s">
        <v>525</v>
      </c>
      <c r="P20" s="365"/>
      <c r="R20" s="340"/>
      <c r="V20" s="331"/>
      <c r="W20" s="339" t="s">
        <v>201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532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533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534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475</v>
      </c>
      <c r="C27" s="345" t="s">
        <v>29</v>
      </c>
      <c r="D27" s="345" t="s">
        <v>535</v>
      </c>
      <c r="E27" s="346" t="s">
        <v>447</v>
      </c>
      <c r="F27" s="345" t="s">
        <v>536</v>
      </c>
      <c r="G27" s="345" t="s">
        <v>441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537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538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7" t="s">
        <v>133</v>
      </c>
      <c r="M29" s="627"/>
      <c r="N29" s="627"/>
      <c r="O29" s="627"/>
      <c r="P29" s="627"/>
      <c r="Q29" s="627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539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540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541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542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245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543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544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545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546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547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548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549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550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551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552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553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475</v>
      </c>
      <c r="C60" s="345" t="s">
        <v>29</v>
      </c>
      <c r="D60" s="345" t="s">
        <v>535</v>
      </c>
      <c r="E60" s="346" t="s">
        <v>447</v>
      </c>
      <c r="F60" s="345" t="s">
        <v>536</v>
      </c>
      <c r="G60" s="345" t="s">
        <v>441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537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538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7" t="s">
        <v>133</v>
      </c>
      <c r="M62" s="627"/>
      <c r="N62" s="627"/>
      <c r="O62" s="627"/>
      <c r="P62" s="627"/>
      <c r="Q62" s="627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539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541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554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245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543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544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508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545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546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548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547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550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549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551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552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553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688A798D-AF45-4B3B-8E19-922BEED38A09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abSelected="1" topLeftCell="A68" zoomScale="70" zoomScaleNormal="70" workbookViewId="0">
      <selection activeCell="I94" sqref="I9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555</v>
      </c>
      <c r="B1" s="545">
        <f>(F1*D1)/10000</f>
        <v>20</v>
      </c>
      <c r="C1" s="546" t="s">
        <v>424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556</v>
      </c>
      <c r="AW1" s="189">
        <f>(BA1*AY1)/10000</f>
        <v>20</v>
      </c>
      <c r="AX1" s="190" t="s">
        <v>424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1" t="s">
        <v>0</v>
      </c>
      <c r="BH1" s="622"/>
      <c r="BI1" s="623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557</v>
      </c>
      <c r="D2" s="550" t="s">
        <v>30</v>
      </c>
      <c r="E2" s="550" t="s">
        <v>558</v>
      </c>
      <c r="F2" s="550" t="s">
        <v>559</v>
      </c>
      <c r="G2" s="540"/>
      <c r="H2" s="551" t="s">
        <v>560</v>
      </c>
      <c r="I2" s="551"/>
      <c r="J2" s="551" t="s">
        <v>561</v>
      </c>
      <c r="L2" s="624"/>
      <c r="M2" s="625"/>
      <c r="N2" s="62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557</v>
      </c>
      <c r="AY2" s="194" t="s">
        <v>30</v>
      </c>
      <c r="AZ2" s="194" t="s">
        <v>558</v>
      </c>
      <c r="BA2" s="194" t="s">
        <v>559</v>
      </c>
      <c r="BC2" s="195" t="s">
        <v>560</v>
      </c>
      <c r="BD2" s="195"/>
      <c r="BE2" s="195" t="s">
        <v>561</v>
      </c>
      <c r="BG2" s="624"/>
      <c r="BH2" s="625"/>
      <c r="BI2" s="62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562</v>
      </c>
      <c r="B3" s="552">
        <f>ROUNDUP((12+((ROUNDUP((D1-210),15))/15)),0)</f>
        <v>32</v>
      </c>
      <c r="C3" s="553">
        <f>F1-16.5</f>
        <v>383.5</v>
      </c>
      <c r="D3" s="550" t="s">
        <v>563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28" t="s">
        <v>17</v>
      </c>
      <c r="M3" s="62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0">
        <f>NOW()</f>
        <v>45434.446643368057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562</v>
      </c>
      <c r="AW3" s="196">
        <f>ROUNDUP((12+((ROUNDUP((AY1-210),18))/18)),0)</f>
        <v>23</v>
      </c>
      <c r="AX3" s="197">
        <f>BA1-16.5</f>
        <v>483.5</v>
      </c>
      <c r="AY3" s="194" t="s">
        <v>563</v>
      </c>
      <c r="AZ3" s="194">
        <v>2</v>
      </c>
      <c r="BA3" s="194">
        <f>IF((تسعير!$AT$46="سادة"),(BE3*BC3*AZ3*(Sheet2!$B$14+12000)/1000),(BE3*BC3*AZ3*(Sheet2!$B$14+Sheet2!$B$15)/1000))</f>
        <v>62100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28" t="s">
        <v>17</v>
      </c>
      <c r="BH3" s="62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0">
        <f>NOW()</f>
        <v>45434.446643368057</v>
      </c>
      <c r="BN3" s="631"/>
      <c r="BO3" s="631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564</v>
      </c>
      <c r="B4" s="550">
        <v>2</v>
      </c>
      <c r="C4" s="552">
        <f>F1</f>
        <v>400</v>
      </c>
      <c r="D4" s="550" t="s">
        <v>563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447</v>
      </c>
      <c r="AT4" s="255"/>
      <c r="AU4" s="207"/>
      <c r="AV4" s="193" t="s">
        <v>565</v>
      </c>
      <c r="AW4" s="194">
        <v>2</v>
      </c>
      <c r="AX4" s="196">
        <f>BA1</f>
        <v>500</v>
      </c>
      <c r="AY4" s="194" t="s">
        <v>563</v>
      </c>
      <c r="AZ4" s="194">
        <v>1.7</v>
      </c>
      <c r="BA4" s="194">
        <f>IF((تسعير!$AT$46="سادة"),(BE4*BC4*AZ4*(Sheet2!$B$14+12000)/1000),(BE4*BC4*AZ4*(Sheet2!$B$14+Sheet2!$B$15)/1000))</f>
        <v>4590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7" t="s">
        <v>20</v>
      </c>
      <c r="BK4" s="627"/>
      <c r="BL4" s="627"/>
      <c r="BM4" s="627"/>
      <c r="BN4" s="627"/>
      <c r="BO4" s="627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447</v>
      </c>
      <c r="CO4" s="255"/>
    </row>
    <row r="5" ht="18.75" s="187" customFormat="1">
      <c r="A5" s="549" t="s">
        <v>566</v>
      </c>
      <c r="B5" s="550">
        <v>2</v>
      </c>
      <c r="C5" s="552">
        <f>D1</f>
        <v>500</v>
      </c>
      <c r="D5" s="550" t="s">
        <v>563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449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566</v>
      </c>
      <c r="AW5" s="194">
        <v>2</v>
      </c>
      <c r="AX5" s="196">
        <f>AY1</f>
        <v>400</v>
      </c>
      <c r="AY5" s="194" t="s">
        <v>563</v>
      </c>
      <c r="AZ5" s="194">
        <v>1.7</v>
      </c>
      <c r="BA5" s="194">
        <f>IF((تسعير!$AT$46="سادة"),(BE5*BC5*AZ5*(Sheet2!$B$14+12000)/1000),(BE5*BC5*AZ5*(Sheet2!$B$14+Sheet2!$B$15)/1000))</f>
        <v>4590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449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568</v>
      </c>
      <c r="B6" s="550">
        <v>2</v>
      </c>
      <c r="C6" s="552">
        <f>F1</f>
        <v>400</v>
      </c>
      <c r="D6" s="550" t="s">
        <v>563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569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0.012591870953204631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451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570</v>
      </c>
      <c r="AW6" s="194">
        <v>1</v>
      </c>
      <c r="AX6" s="194">
        <f>(15.6*(AW3-1)+4)</f>
        <v>347.2</v>
      </c>
      <c r="AY6" s="194" t="s">
        <v>563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2850</v>
      </c>
      <c r="BQ6" s="240">
        <f>BH6*BP6</f>
        <v>2850</v>
      </c>
      <c r="BR6" s="241">
        <f>(BQ6)/$R$68</f>
        <v>0.012591870953204631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451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572</v>
      </c>
      <c r="B7" s="550">
        <v>2</v>
      </c>
      <c r="C7" s="552">
        <f>D1</f>
        <v>500</v>
      </c>
      <c r="D7" s="550" t="s">
        <v>563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0.032694682474987462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453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1850</v>
      </c>
      <c r="BQ7" s="240">
        <f>BH7*BP7</f>
        <v>7400</v>
      </c>
      <c r="BR7" s="241">
        <f>(BQ7)/$R$68</f>
        <v>0.032694682474987462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453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575</v>
      </c>
      <c r="B8" s="550">
        <v>2</v>
      </c>
      <c r="C8" s="550">
        <f>C3</f>
        <v>383.5</v>
      </c>
      <c r="D8" s="550" t="s">
        <v>563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576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0.004418200334457765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455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576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250</v>
      </c>
      <c r="BQ8" s="240">
        <f>BH8*BP8</f>
        <v>1000</v>
      </c>
      <c r="BR8" s="241">
        <f>(BQ8)/$R$68</f>
        <v>0.004418200334457765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455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570</v>
      </c>
      <c r="B9" s="550">
        <v>2</v>
      </c>
      <c r="C9" s="550">
        <f>(15.6*(B3-1)+4)</f>
        <v>487.59999999999997</v>
      </c>
      <c r="D9" s="550" t="s">
        <v>563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457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578</v>
      </c>
      <c r="AW9" s="194">
        <v>1</v>
      </c>
      <c r="AX9" s="196">
        <v>100</v>
      </c>
      <c r="AY9" s="194" t="s">
        <v>563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457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574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579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459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579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459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577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0.049704753762649857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461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11250</v>
      </c>
      <c r="BR11" s="244">
        <f>Table1588090[[#Totals],[اجمالي]]/$R$68</f>
        <v>0.049704753762649857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461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578</v>
      </c>
      <c r="B12" s="550">
        <v>1</v>
      </c>
      <c r="C12" s="552">
        <v>100</v>
      </c>
      <c r="D12" s="550" t="s">
        <v>563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7" t="s">
        <v>76</v>
      </c>
      <c r="P12" s="627"/>
      <c r="Q12" s="627"/>
      <c r="R12" s="627"/>
      <c r="S12" s="627"/>
      <c r="T12" s="627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463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7" t="s">
        <v>76</v>
      </c>
      <c r="BK12" s="627"/>
      <c r="BL12" s="627"/>
      <c r="BM12" s="627"/>
      <c r="BN12" s="627"/>
      <c r="BO12" s="627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463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583</v>
      </c>
      <c r="B13" s="550"/>
      <c r="C13" s="550">
        <v>4</v>
      </c>
      <c r="D13" s="550" t="s">
        <v>369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584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0.0035345602675662122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5203.0825</v>
      </c>
      <c r="AX14" s="194"/>
      <c r="AY14" s="194"/>
      <c r="AZ14" s="194"/>
      <c r="BA14" s="194">
        <f>SUBTOTAL(109,Table8091[price])</f>
        <v>94601.5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0.0035345602675662122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581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0.0007510940568578201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0.0007510940568578201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582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0.00033136502508433242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0.00033136502508433242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585</v>
      </c>
      <c r="B17" s="550">
        <v>2</v>
      </c>
      <c r="C17" s="550"/>
      <c r="D17" s="550" t="s">
        <v>563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0.0021207361605397271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0.0021207361605397271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586</v>
      </c>
      <c r="B18" s="550"/>
      <c r="C18" s="550">
        <f>ROUNDUP(((C3*B3)/100),0)</f>
        <v>123</v>
      </c>
      <c r="D18" s="550" t="s">
        <v>563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587</v>
      </c>
      <c r="B19" s="788"/>
      <c r="C19" s="788">
        <f>C18</f>
        <v>123</v>
      </c>
      <c r="D19" s="788"/>
      <c r="E19" s="788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0.0067377555100480921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0.0067377555100480921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588</v>
      </c>
      <c r="B20" s="550" t="s">
        <v>589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7" t="s">
        <v>99</v>
      </c>
      <c r="P20" s="627"/>
      <c r="Q20" s="627"/>
      <c r="R20" s="627"/>
      <c r="S20" s="627"/>
      <c r="T20" s="627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7" t="s">
        <v>99</v>
      </c>
      <c r="BK20" s="627"/>
      <c r="BL20" s="627"/>
      <c r="BM20" s="627"/>
      <c r="BN20" s="627"/>
      <c r="BO20" s="627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590</v>
      </c>
      <c r="B21" s="550" t="s">
        <v>591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592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0.0053018404013493187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1200</v>
      </c>
      <c r="BR22" s="249">
        <f>(BQ22)/$R$68</f>
        <v>0.0053018404013493187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470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0.0030927402341204358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470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0.0030927402341204358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8347.35</v>
      </c>
      <c r="C24" s="194"/>
      <c r="D24" s="194"/>
      <c r="E24" s="194"/>
      <c r="F24" s="194">
        <f>SUBTOTAL(109,Table80102114[price])</f>
        <v>151770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0.0013254601003373297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300</v>
      </c>
      <c r="BR24" s="251">
        <f>(BQ24)/$R$68</f>
        <v>0.0013254601003373297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0.0097200407358070829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2200</v>
      </c>
      <c r="BR25" s="244">
        <f>Table16627383[[#Totals],[اجمالي]]/$R$68</f>
        <v>0.0097200407358070829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7" t="s">
        <v>102</v>
      </c>
      <c r="P26" s="627"/>
      <c r="Q26" s="627"/>
      <c r="R26" s="627"/>
      <c r="S26" s="627"/>
      <c r="T26" s="62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7" t="s">
        <v>102</v>
      </c>
      <c r="BK26" s="627"/>
      <c r="BL26" s="627"/>
      <c r="BM26" s="627"/>
      <c r="BN26" s="627"/>
      <c r="BO26" s="62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0.0039940531023498205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0.0039940531023498205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0.00026509202006746589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0.00023858281806071933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0.00026509202006746589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0.00023858281806071933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0.00017672801337831061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0.00011045500836144413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0.00066273005016866484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0.00066273005016866484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0.00035345602675662121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0.00035345602675662121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0.012150050919758855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0.012150050919758855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0.0032473772458264574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0.0032473772458264574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0.015772975194014223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0.015772975194014223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0.021649181638843051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0.036768263183357526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0.058536736231230936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7" t="s">
        <v>131</v>
      </c>
      <c r="BK44" s="627"/>
      <c r="BL44" s="627"/>
      <c r="BM44" s="627"/>
      <c r="BN44" s="627"/>
      <c r="BO44" s="62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7" t="s">
        <v>131</v>
      </c>
      <c r="P45" s="627"/>
      <c r="Q45" s="627"/>
      <c r="R45" s="627"/>
      <c r="S45" s="627"/>
      <c r="T45" s="62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555</v>
      </c>
      <c r="BJ46" s="214"/>
      <c r="BK46" s="211"/>
      <c r="BL46" s="216"/>
      <c r="BM46" s="214"/>
      <c r="BN46" s="211"/>
      <c r="BO46" s="247"/>
      <c r="BP46" s="248">
        <f>Table8091[[#Totals],[price]]</f>
        <v>94601.5</v>
      </c>
      <c r="BQ46" s="252">
        <f>BH46*Table1613687787[[#This Row],[سعر الشبك ]]</f>
        <v>94601.5</v>
      </c>
      <c r="BR46" s="241">
        <f>(BQ46)/$R$68</f>
        <v>0.41796837894020628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555</v>
      </c>
      <c r="O47" s="214"/>
      <c r="P47" s="211"/>
      <c r="Q47" s="216"/>
      <c r="R47" s="214"/>
      <c r="S47" s="211"/>
      <c r="T47" s="247"/>
      <c r="U47" s="248">
        <f>Table80102114[[#Totals],[price]]</f>
        <v>151770</v>
      </c>
      <c r="V47" s="252">
        <f>M47*Table16136877[[#This Row],[سعر الشبك ]]</f>
        <v>151770</v>
      </c>
      <c r="W47" s="241">
        <f>(V47)/$R$68</f>
        <v>0.670550264760655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94601.5</v>
      </c>
      <c r="BQ47" s="240">
        <f>BH47*Table1613687787[[#This Row],[سعر الشبك ]]</f>
        <v>9460.15</v>
      </c>
      <c r="BR47" s="241">
        <f>(BQ47)/$R$68</f>
        <v>0.041796837894020625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151770</v>
      </c>
      <c r="V48" s="240">
        <f>M48*Table16136877[[#This Row],[سعر الشبك ]]</f>
        <v>37942.5</v>
      </c>
      <c r="W48" s="241">
        <f>(V48)/$R$68</f>
        <v>0.16763756619016376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104061.65</v>
      </c>
      <c r="BR48" s="244">
        <f>Table1613687787[[#Totals],[اجمالي]]/$R$68</f>
        <v>0.45976521683422689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189712.5</v>
      </c>
      <c r="W49" s="244">
        <f>Table16136877[[#Totals],[اجمالي]]/$R$68</f>
        <v>0.83818783095081884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7" t="s">
        <v>133</v>
      </c>
      <c r="BK49" s="627"/>
      <c r="BL49" s="627"/>
      <c r="BM49" s="627"/>
      <c r="BN49" s="627"/>
      <c r="BO49" s="62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7" t="s">
        <v>133</v>
      </c>
      <c r="P50" s="627"/>
      <c r="Q50" s="627"/>
      <c r="R50" s="627"/>
      <c r="S50" s="627"/>
      <c r="T50" s="62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0.0016347341237493733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0.0017672801337831061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0.0016347341237493733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0.0017672801337831061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0.00490420237124812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0.0053018404013493187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0.010957136829455257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0.0070691205351324244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0.0082178526220914438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0.0053018404013493187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0.010957136829455257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0.0070691205351324244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0.0116640488829685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0.0099409507525299711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0.020323721538505722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0.00883640066891553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0.0037112882809445229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0.083945806354697547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0.037112882809445226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0"/>
      <c r="BK65" s="620"/>
      <c r="BL65" s="620"/>
      <c r="BM65" s="620"/>
      <c r="BN65" s="620"/>
      <c r="BO65" s="62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0"/>
      <c r="P66" s="620"/>
      <c r="Q66" s="620"/>
      <c r="R66" s="620"/>
      <c r="S66" s="620"/>
      <c r="T66" s="62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146358.65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226336.5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190266.245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339504.75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2" t="s">
        <v>0</v>
      </c>
      <c r="BH71" s="622"/>
      <c r="BI71" s="622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2" t="s">
        <v>0</v>
      </c>
      <c r="M72" s="622"/>
      <c r="N72" s="622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593</v>
      </c>
      <c r="AW72" s="271">
        <f>(BA72*AY72)/10000</f>
        <v>20</v>
      </c>
      <c r="AX72" s="272" t="s">
        <v>424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2"/>
      <c r="BH72" s="632"/>
      <c r="BI72" s="632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2"/>
      <c r="M73" s="632"/>
      <c r="N73" s="632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215000</v>
      </c>
      <c r="V73" s="303">
        <f>Sheet2!B15</f>
        <v>55000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557</v>
      </c>
      <c r="AY73" s="194" t="s">
        <v>30</v>
      </c>
      <c r="AZ73" s="194" t="s">
        <v>558</v>
      </c>
      <c r="BA73" s="194" t="s">
        <v>559</v>
      </c>
      <c r="BB73" s="167"/>
      <c r="BC73" s="198" t="s">
        <v>560</v>
      </c>
      <c r="BD73" s="198"/>
      <c r="BE73" s="198" t="s">
        <v>561</v>
      </c>
      <c r="BF73" s="167"/>
      <c r="BG73" s="634" t="s">
        <v>17</v>
      </c>
      <c r="BH73" s="634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1">
        <f>NOW()</f>
        <v>45434.446643368057</v>
      </c>
      <c r="BN73" s="631"/>
      <c r="BO73" s="63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555</v>
      </c>
      <c r="B74" s="545">
        <f>(F74*D74)/10000</f>
        <v>13.394</v>
      </c>
      <c r="C74" s="546" t="s">
        <v>424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3" t="s">
        <v>17</v>
      </c>
      <c r="M74" s="633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1">
        <f>NOW()</f>
        <v>45434.446643368057</v>
      </c>
      <c r="S74" s="631"/>
      <c r="T74" s="63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562</v>
      </c>
      <c r="AW74" s="196">
        <f>ROUNDUP((12+((ROUNDUP((AY72-210),18))/18)),0)</f>
        <v>23</v>
      </c>
      <c r="AX74" s="197">
        <f>BA72-16.5</f>
        <v>483.5</v>
      </c>
      <c r="AY74" s="194" t="s">
        <v>563</v>
      </c>
      <c r="AZ74" s="194">
        <v>2</v>
      </c>
      <c r="BA74" s="194">
        <f>IF((تسعير!$BE$46="سادة"),(BE74*BC74*AZ74*(Sheet2!$B$14+12000)/1000),(BE74*BC74*AZ74*(Sheet2!$B$14+Sheet2!$B$15)/1000))</f>
        <v>62100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7" t="s">
        <v>20</v>
      </c>
      <c r="BK74" s="627"/>
      <c r="BL74" s="627"/>
      <c r="BM74" s="627"/>
      <c r="BN74" s="627"/>
      <c r="BO74" s="62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557</v>
      </c>
      <c r="D75" s="550" t="s">
        <v>30</v>
      </c>
      <c r="E75" s="550" t="s">
        <v>558</v>
      </c>
      <c r="F75" s="550" t="s">
        <v>559</v>
      </c>
      <c r="G75" s="540"/>
      <c r="H75" s="551" t="s">
        <v>560</v>
      </c>
      <c r="I75" s="551"/>
      <c r="J75" s="551" t="s">
        <v>561</v>
      </c>
      <c r="L75" s="208"/>
      <c r="M75" s="208"/>
      <c r="N75" s="209"/>
      <c r="O75" s="627" t="s">
        <v>20</v>
      </c>
      <c r="P75" s="627"/>
      <c r="Q75" s="627"/>
      <c r="R75" s="627"/>
      <c r="S75" s="627"/>
      <c r="T75" s="62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564</v>
      </c>
      <c r="AW75" s="194">
        <v>2</v>
      </c>
      <c r="AX75" s="196">
        <f>BA72</f>
        <v>500</v>
      </c>
      <c r="AY75" s="194" t="s">
        <v>563</v>
      </c>
      <c r="AZ75" s="194">
        <v>1.7</v>
      </c>
      <c r="BA75" s="194">
        <f>IF((تسعير!$BE$46="سادة"),(BE75*BC75*AZ75*(Sheet2!$B$14+12000)/1000),(BE75*BC75*AZ75*(Sheet2!$B$14+Sheet2!$B$15)/1000))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562</v>
      </c>
      <c r="B76" s="552">
        <f>ROUNDUP((12+((ROUNDUP((D74-210),15))/15)),0)</f>
        <v>23</v>
      </c>
      <c r="C76" s="553">
        <f>F74-16.5</f>
        <v>353.5</v>
      </c>
      <c r="D76" s="550" t="s">
        <v>563</v>
      </c>
      <c r="E76" s="550">
        <v>2.3</v>
      </c>
      <c r="F76" s="550">
        <f>IF(($H$74="سادة"),(J76*H76*E76*($U$73+12000)/1000),(J76*H76*E76*($U$73+40000)/1000))</f>
        <v>53958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>(H76*100)/C76</f>
        <v>1.1315417256011315</v>
      </c>
      <c r="J76" s="554">
        <f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447</v>
      </c>
      <c r="AT76" s="255"/>
      <c r="AU76" s="216"/>
      <c r="AV76" s="193" t="s">
        <v>566</v>
      </c>
      <c r="AW76" s="194">
        <v>2</v>
      </c>
      <c r="AX76" s="196">
        <f>AY72</f>
        <v>400</v>
      </c>
      <c r="AY76" s="194" t="s">
        <v>563</v>
      </c>
      <c r="AZ76" s="194">
        <v>1.7</v>
      </c>
      <c r="BA76" s="194">
        <f>IF((تسعير!$BE$46="سادة"),(BE76*BC76*AZ76*(Sheet2!$B$14+12000)/1000),(BE76*BC76*AZ76*(Sheet2!$B$14+Sheet2!$B$15)/1000))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0.037112882809445226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564</v>
      </c>
      <c r="B77" s="550">
        <v>2</v>
      </c>
      <c r="C77" s="552">
        <f>F74</f>
        <v>370</v>
      </c>
      <c r="D77" s="550" t="s">
        <v>563</v>
      </c>
      <c r="E77" s="550">
        <v>3.8</v>
      </c>
      <c r="F77" s="550">
        <f>IF(($H$74="سادة"),(J77*H77*E77*($U$73+12000)/1000),(J77*H77*E77*($U$73+40000)/1000))</f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>(H77*100)/C77</f>
        <v>1.3513513513513513</v>
      </c>
      <c r="J77" s="554">
        <f>B77/(ROUNDDOWN(I77,0))</f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0.074225765618890452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449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570</v>
      </c>
      <c r="AW77" s="194">
        <v>1</v>
      </c>
      <c r="AX77" s="194">
        <f>(15.6*(AW74-1)+4)</f>
        <v>347.2</v>
      </c>
      <c r="AY77" s="194" t="s">
        <v>563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0.032694682474987462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566</v>
      </c>
      <c r="B78" s="550">
        <v>2</v>
      </c>
      <c r="C78" s="552">
        <f>D74</f>
        <v>362</v>
      </c>
      <c r="D78" s="550" t="s">
        <v>563</v>
      </c>
      <c r="E78" s="550">
        <v>3.8</v>
      </c>
      <c r="F78" s="550">
        <f>IF(($H$74="سادة"),(J78*H78*E78*($U$73+12000)/1000),(J78*H78*E78*($U$73+40000)/1000))</f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>(H78*100)/C78</f>
        <v>1.3812154696132597</v>
      </c>
      <c r="J78" s="554">
        <f>B78/(ROUNDDOWN(I78,0))</f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0.032694682474987462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451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576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0.004418200334457765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447</v>
      </c>
      <c r="CO78" s="255"/>
    </row>
    <row r="79" ht="18.75">
      <c r="A79" s="549" t="s">
        <v>568</v>
      </c>
      <c r="B79" s="550">
        <v>2</v>
      </c>
      <c r="C79" s="552">
        <f>F74</f>
        <v>370</v>
      </c>
      <c r="D79" s="550" t="s">
        <v>563</v>
      </c>
      <c r="E79" s="550">
        <v>1.7</v>
      </c>
      <c r="F79" s="550">
        <f>IF(($H$74="سادة"),(J79*H79*E79*($U$73+12000)/1000),(J79*H79*E79*($U$73+40000)/1000))</f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>(H79*100)/C79</f>
        <v>1.3513513513513513</v>
      </c>
      <c r="J79" s="554">
        <f>B79/(ROUNDDOWN(I79,0))</f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576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0.004418200334457765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453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449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572</v>
      </c>
      <c r="B80" s="550">
        <v>2</v>
      </c>
      <c r="C80" s="552">
        <f>D74</f>
        <v>362</v>
      </c>
      <c r="D80" s="550" t="s">
        <v>563</v>
      </c>
      <c r="E80" s="550">
        <v>1.7</v>
      </c>
      <c r="F80" s="550">
        <f>IF(($H$74="سادة"),(J80*H80*E80*($U$73+12000)/1000),(J80*H80*E80*($U$73+40000)/1000))</f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>(H80*100)/C80</f>
        <v>1.3812154696132597</v>
      </c>
      <c r="J80" s="554">
        <f>B80/(ROUNDDOWN(I80,0))</f>
        <v>2</v>
      </c>
      <c r="K80" s="187"/>
      <c r="L80" s="211">
        <v>4</v>
      </c>
      <c r="M80" s="212">
        <v>0</v>
      </c>
      <c r="N80" s="213" t="s">
        <v>571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455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578</v>
      </c>
      <c r="AW80" s="194">
        <v>1</v>
      </c>
      <c r="AX80" s="196">
        <v>100</v>
      </c>
      <c r="AY80" s="194" t="s">
        <v>563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579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451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575</v>
      </c>
      <c r="B81" s="550">
        <v>2</v>
      </c>
      <c r="C81" s="550">
        <f>C76</f>
        <v>353.5</v>
      </c>
      <c r="D81" s="550" t="s">
        <v>563</v>
      </c>
      <c r="E81" s="550">
        <v>0.65</v>
      </c>
      <c r="F81" s="550">
        <f>IF(($H$74="سادة"),(J81*H81*E81*($U$73+12000)/1000),(J81*H81*E81*($U$73+40000)/1000))</f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>(H81*100)/C81</f>
        <v>1.1315417256011315</v>
      </c>
      <c r="J81" s="554">
        <f>B81/(ROUNDDOWN(I81,0))</f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579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457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583</v>
      </c>
      <c r="AW81" s="194"/>
      <c r="AX81" s="194">
        <v>100</v>
      </c>
      <c r="AY81" s="194" t="s">
        <v>369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0.074225765618890452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453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570</v>
      </c>
      <c r="B82" s="550">
        <v>2</v>
      </c>
      <c r="C82" s="550">
        <f>(15.6*(B76-1)+4)</f>
        <v>347.2</v>
      </c>
      <c r="D82" s="550" t="s">
        <v>563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0.11133864842833569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459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7" t="s">
        <v>76</v>
      </c>
      <c r="BK82" s="627"/>
      <c r="BL82" s="627"/>
      <c r="BM82" s="627"/>
      <c r="BN82" s="627"/>
      <c r="BO82" s="627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455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574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7" t="s">
        <v>76</v>
      </c>
      <c r="P83" s="627"/>
      <c r="Q83" s="627"/>
      <c r="R83" s="627"/>
      <c r="S83" s="627"/>
      <c r="T83" s="627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461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457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577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463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0.0053018404013493187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459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578</v>
      </c>
      <c r="B85" s="550">
        <v>1</v>
      </c>
      <c r="C85" s="552">
        <v>100</v>
      </c>
      <c r="D85" s="550" t="s">
        <v>563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0.0035345602675662122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5203.0825</v>
      </c>
      <c r="AX85" s="310"/>
      <c r="AY85" s="310"/>
      <c r="AZ85" s="310"/>
      <c r="BA85" s="310">
        <f>SUBTOTAL(109,Table80102113[price])</f>
        <v>94601.5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2"/>
        <v>170</v>
      </c>
      <c r="BR85" s="241">
        <f>(BQ85)/$R$68</f>
        <v>0.0007510940568578201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461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583</v>
      </c>
      <c r="B86" s="550"/>
      <c r="C86" s="550">
        <v>4</v>
      </c>
      <c r="D86" s="550" t="s">
        <v>369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3"/>
        <v>170</v>
      </c>
      <c r="W86" s="241">
        <f>(V86)/$R$68</f>
        <v>0.0007510940568578201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2"/>
        <v>75</v>
      </c>
      <c r="BR86" s="241">
        <f>(BQ86)/$R$68</f>
        <v>0.00033136502508433242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463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584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3"/>
        <v>75</v>
      </c>
      <c r="W87" s="241">
        <f>(V87)/$R$68</f>
        <v>0.00033136502508433242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0.0021207361605397271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581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3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582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0.021207361605397275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0.0085050356438311978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585</v>
      </c>
      <c r="B90" s="550">
        <v>2</v>
      </c>
      <c r="C90" s="550"/>
      <c r="D90" s="550" t="s">
        <v>563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0.025824380954905638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7" t="s">
        <v>99</v>
      </c>
      <c r="BK90" s="627"/>
      <c r="BL90" s="627"/>
      <c r="BM90" s="627"/>
      <c r="BN90" s="627"/>
      <c r="BO90" s="627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586</v>
      </c>
      <c r="B91" s="550"/>
      <c r="C91" s="550">
        <f>ROUNDUP(((C76*B76)/100),0)</f>
        <v>82</v>
      </c>
      <c r="D91" s="550" t="s">
        <v>563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7" t="s">
        <v>99</v>
      </c>
      <c r="P91" s="627"/>
      <c r="Q91" s="627"/>
      <c r="R91" s="627"/>
      <c r="S91" s="627"/>
      <c r="T91" s="627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587</v>
      </c>
      <c r="B92" s="788"/>
      <c r="C92" s="788">
        <f>C91</f>
        <v>82</v>
      </c>
      <c r="D92" s="550" t="s">
        <v>563</v>
      </c>
      <c r="E92" s="788">
        <v>20</v>
      </c>
      <c r="F92" s="550">
        <f ref="F92:F93" t="shared" si="24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0.010603680802698638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588</v>
      </c>
      <c r="B93" s="550" t="s">
        <v>589</v>
      </c>
      <c r="C93" s="550">
        <f>ROUNDUP((B76/3),0)</f>
        <v>8</v>
      </c>
      <c r="D93" s="550" t="s">
        <v>28</v>
      </c>
      <c r="E93" s="550">
        <v>250</v>
      </c>
      <c r="F93" s="550">
        <f t="shared" si="24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470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590</v>
      </c>
      <c r="B94" s="550" t="s">
        <v>591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470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0.0026509202006746594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592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0.013254601003373296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7" t="s">
        <v>102</v>
      </c>
      <c r="BK96" s="627"/>
      <c r="BL96" s="627"/>
      <c r="BM96" s="627"/>
      <c r="BN96" s="627"/>
      <c r="BO96" s="62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10146.871733612066</v>
      </c>
      <c r="C97" s="194"/>
      <c r="D97" s="194"/>
      <c r="E97" s="194"/>
      <c r="F97" s="194">
        <f>SUBTOTAL(109,Table80102114115[price])</f>
        <v>123552</v>
      </c>
      <c r="L97" s="216"/>
      <c r="M97" s="216"/>
      <c r="N97" s="217"/>
      <c r="O97" s="627" t="s">
        <v>102</v>
      </c>
      <c r="P97" s="627"/>
      <c r="Q97" s="627"/>
      <c r="R97" s="627"/>
      <c r="S97" s="627"/>
      <c r="T97" s="62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5">BH98*BP98</f>
        <v>1014.6666666666666</v>
      </c>
      <c r="BR98" s="241">
        <f ref="BR98:BR112" t="shared" si="26" ca="1">(BQ98)/$R$68</f>
        <v>0.0044830006060298123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7">M99*U99</f>
        <v>1321.3333333333333</v>
      </c>
      <c r="W99" s="241">
        <f ref="W99:W113" t="shared" si="28" ca="1">(V99)/$R$68</f>
        <v>0.0058379153752635268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0.00023858281806071933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7"/>
        <v>60</v>
      </c>
      <c r="W100" s="241">
        <f t="shared" si="28" ca="1"/>
        <v>0.00026509202006746589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0.00023858281806071933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7"/>
        <v>60</v>
      </c>
      <c r="W101" s="241">
        <f t="shared" si="28" ca="1"/>
        <v>0.00026509202006746589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0.00011045500836144413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0.00017672801337831061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0.00066273005016866484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0.00066273005016866484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0.00035345602675662121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0.00035345602675662121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250</v>
      </c>
      <c r="BQ104" s="240">
        <f t="shared" si="25"/>
        <v>1250</v>
      </c>
      <c r="BR104" s="251">
        <f t="shared" si="26" ca="1"/>
        <v>0.0055227504180722069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0">M105*U105</f>
        <v>1250</v>
      </c>
      <c r="W105" s="251">
        <f t="shared" si="28" ca="1"/>
        <v>0.0055227504180722069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105</v>
      </c>
      <c r="BQ105" s="240">
        <f t="shared" si="25"/>
        <v>630</v>
      </c>
      <c r="BR105" s="251">
        <f t="shared" si="26" ca="1"/>
        <v>0.0027834662107083922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0"/>
        <v>630</v>
      </c>
      <c r="W106" s="251">
        <f t="shared" si="28" ca="1"/>
        <v>0.0027834662107083922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4080</v>
      </c>
      <c r="BR106" s="251">
        <f t="shared" si="26" ca="1"/>
        <v>0.018026257364587683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0.022532821705734604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29"/>
        <v>20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29"/>
        <v>450</v>
      </c>
      <c r="BQ108" s="240">
        <f t="shared" si="25"/>
        <v>0</v>
      </c>
      <c r="BR108" s="251">
        <f t="shared" si="26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29"/>
        <v>550</v>
      </c>
      <c r="BQ109" s="240">
        <f t="shared" si="25"/>
        <v>0</v>
      </c>
      <c r="BR109" s="251">
        <f t="shared" si="26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29"/>
        <v>160</v>
      </c>
      <c r="BQ110" s="240">
        <f t="shared" si="25"/>
        <v>0</v>
      </c>
      <c r="BR110" s="251">
        <f t="shared" si="26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29"/>
        <v>160</v>
      </c>
      <c r="BQ111" s="240">
        <f>BH111*BP112</f>
        <v>0</v>
      </c>
      <c r="BR111" s="251">
        <f t="shared" si="26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29"/>
        <v>0</v>
      </c>
      <c r="BQ112" s="240">
        <f>BH112*BP113</f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0.032419281320806258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0.038400051840217254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7" t="s">
        <v>131</v>
      </c>
      <c r="BK115" s="627"/>
      <c r="BL115" s="627"/>
      <c r="BM115" s="627"/>
      <c r="BN115" s="627"/>
      <c r="BO115" s="62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7" t="s">
        <v>131</v>
      </c>
      <c r="P116" s="627"/>
      <c r="Q116" s="627"/>
      <c r="R116" s="627"/>
      <c r="S116" s="627"/>
      <c r="T116" s="62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555</v>
      </c>
      <c r="BJ117" s="214"/>
      <c r="BK117" s="211"/>
      <c r="BL117" s="216"/>
      <c r="BM117" s="214"/>
      <c r="BN117" s="211"/>
      <c r="BO117" s="247"/>
      <c r="BP117" s="248">
        <f>Table80102113[[#Totals],[price]]</f>
        <v>94601.5</v>
      </c>
      <c r="BQ117" s="252">
        <f>BH117*Table1613687798109[[#This Row],[سعر الشبك ]]</f>
        <v>94601.5</v>
      </c>
      <c r="BR117" s="241">
        <f>(BQ117)/$R$68</f>
        <v>0.41796837894020628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555</v>
      </c>
      <c r="O118" s="214"/>
      <c r="P118" s="211"/>
      <c r="Q118" s="216"/>
      <c r="R118" s="214"/>
      <c r="S118" s="211"/>
      <c r="T118" s="247"/>
      <c r="U118" s="248">
        <f>F97</f>
        <v>123552</v>
      </c>
      <c r="V118" s="252">
        <f>M118*Table1613687798[[#This Row],[سعر الشبك ]]</f>
        <v>123552</v>
      </c>
      <c r="W118" s="241">
        <f>(V118)/$R$68</f>
        <v>0.54587748772292577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94601.5</v>
      </c>
      <c r="BQ118" s="240">
        <f>BH118*Table1613687798109[[#This Row],[سعر الشبك ]]</f>
        <v>9460.15</v>
      </c>
      <c r="BR118" s="241">
        <f>(BQ118)/$R$68</f>
        <v>0.041796837894020625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123552</v>
      </c>
      <c r="V119" s="240">
        <f>M119*Table1613687798[[#This Row],[سعر الشبك ]]</f>
        <v>12355.2</v>
      </c>
      <c r="W119" s="241">
        <f>(V119)/$R$68</f>
        <v>0.054587748772292582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104061.65</v>
      </c>
      <c r="BR119" s="244">
        <f>Table1613687798109[[#Totals],[اجمالي]]/$R$68</f>
        <v>0.45976521683422689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135907.2</v>
      </c>
      <c r="W120" s="244">
        <f>Table1613687798[[#Totals],[اجمالي]]/$R$68</f>
        <v>0.60046523649521844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7" t="s">
        <v>133</v>
      </c>
      <c r="BK120" s="627"/>
      <c r="BL120" s="627"/>
      <c r="BM120" s="627"/>
      <c r="BN120" s="627"/>
      <c r="BO120" s="62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7" t="s">
        <v>133</v>
      </c>
      <c r="P121" s="627"/>
      <c r="Q121" s="627"/>
      <c r="R121" s="627"/>
      <c r="S121" s="627"/>
      <c r="T121" s="62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0.0016347341237493733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0.0017672801337831061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0.0016347341237493733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0.0017672801337831061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0.00490420237124812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0.0053018404013493187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0.010957136829455257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0.01148732086959019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0.0082178526220914438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0.0086154906521926419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0.010957136829455257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0.01148732086959019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0.0116640488829685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0.0116640488829685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0.0099409507525299711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0.0099409507525299711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0.020323721538505722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0.020323721538505722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0.0037112882809445229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0.0037112882809445229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0.083945806354697547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0.086066542515237265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0"/>
      <c r="BK136" s="620"/>
      <c r="BL136" s="620"/>
      <c r="BM136" s="620"/>
      <c r="BN136" s="620"/>
      <c r="BO136" s="62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0"/>
      <c r="P137" s="620"/>
      <c r="Q137" s="620"/>
      <c r="R137" s="620"/>
      <c r="S137" s="620"/>
      <c r="T137" s="62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152124.31666666665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195123.53333333336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197761.61166666666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253660.59333333338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4B1C9664-F146-4BFC-818F-6DBBC3FF522F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419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357</v>
      </c>
      <c r="B2" s="649">
        <f>Royal!C3</f>
        <v>0</v>
      </c>
      <c r="C2" s="650"/>
      <c r="D2" s="650"/>
      <c r="E2" s="650"/>
      <c r="F2" s="651"/>
      <c r="G2" s="1">
        <v>1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420</v>
      </c>
      <c r="F3" s="648" t="s">
        <v>421</v>
      </c>
      <c r="G3" s="648"/>
    </row>
    <row r="4" ht="18" customHeight="1">
      <c r="A4" s="11" t="s">
        <v>289</v>
      </c>
      <c r="F4" s="652" t="s">
        <v>422</v>
      </c>
      <c r="G4" s="653"/>
      <c r="H4" s="653"/>
      <c r="I4" s="654"/>
      <c r="J4" s="10"/>
    </row>
    <row r="5" ht="18" customHeight="1">
      <c r="A5" s="11" t="s">
        <v>290</v>
      </c>
      <c r="F5" s="655" t="s">
        <v>423</v>
      </c>
      <c r="G5" s="646"/>
      <c r="H5" s="646"/>
      <c r="I5" s="647"/>
      <c r="J5" s="10"/>
    </row>
    <row r="6" ht="18" customHeight="1">
      <c r="A6" s="11" t="s">
        <v>361</v>
      </c>
      <c r="Q6" s="640"/>
      <c r="R6" s="640"/>
      <c r="S6" s="640"/>
    </row>
    <row r="7" ht="18" customHeight="1">
      <c r="B7" s="180" t="s">
        <v>125</v>
      </c>
      <c r="C7" s="181">
        <f>تسعير!AA10</f>
        <v>500</v>
      </c>
      <c r="D7" s="182" t="s">
        <v>424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291</v>
      </c>
    </row>
    <row r="10" ht="18" customHeight="1">
      <c r="A10" s="11" t="s">
        <v>292</v>
      </c>
    </row>
    <row r="11" ht="18" customHeight="1">
      <c r="A11" s="11" t="s">
        <v>308</v>
      </c>
      <c r="B11" s="635" t="s">
        <v>425</v>
      </c>
      <c r="C11" s="636"/>
      <c r="D11" s="646" t="s">
        <v>426</v>
      </c>
      <c r="E11" s="647"/>
    </row>
    <row r="12" ht="18" customHeight="1">
      <c r="A12" s="11" t="s">
        <v>293</v>
      </c>
    </row>
    <row r="13" ht="18" customHeight="1">
      <c r="A13" s="11" t="s">
        <v>427</v>
      </c>
    </row>
    <row r="14" ht="18" customHeight="1"/>
    <row r="15" ht="24.6" customHeight="1">
      <c r="A15" s="11" t="s">
        <v>296</v>
      </c>
      <c r="Q15" s="640"/>
      <c r="R15" s="640"/>
      <c r="S15" s="640"/>
    </row>
    <row r="16" ht="18" customHeight="1">
      <c r="C16" s="648" t="s">
        <v>428</v>
      </c>
      <c r="D16" s="648"/>
      <c r="E16" s="648"/>
      <c r="F16" s="1" t="s">
        <v>429</v>
      </c>
    </row>
    <row r="17" ht="18" customHeight="1">
      <c r="A17" s="648" t="s">
        <v>294</v>
      </c>
      <c r="B17" s="648"/>
      <c r="C17" s="648"/>
    </row>
    <row r="18" ht="18" customHeight="1">
      <c r="A18" s="637" t="s">
        <v>430</v>
      </c>
      <c r="B18" s="638"/>
      <c r="C18" s="14">
        <f>'Format Φωτισμου'!B9</f>
        <v>5</v>
      </c>
    </row>
    <row r="19" ht="18" customHeight="1">
      <c r="A19" s="637" t="s">
        <v>431</v>
      </c>
      <c r="B19" s="638"/>
      <c r="C19" s="14">
        <f>'Format Φωτισμου'!B12</f>
        <v>15</v>
      </c>
    </row>
    <row r="20" ht="18" customHeight="1">
      <c r="A20" s="637" t="s">
        <v>432</v>
      </c>
      <c r="B20" s="638"/>
      <c r="C20" s="14">
        <f>C19/C18</f>
        <v>3</v>
      </c>
    </row>
    <row r="21" ht="18" customHeight="1">
      <c r="A21" s="642" t="s">
        <v>433</v>
      </c>
      <c r="B21" s="643"/>
      <c r="C21" s="644">
        <v>20</v>
      </c>
      <c r="D21" s="645"/>
      <c r="E21" s="635" t="s">
        <v>434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435</v>
      </c>
      <c r="B22" s="638"/>
      <c r="C22" s="179">
        <v>50</v>
      </c>
      <c r="D22" s="184" t="s">
        <v>436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437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438</v>
      </c>
      <c r="H26" s="1" t="s">
        <v>439</v>
      </c>
    </row>
    <row r="27" ht="18" customHeight="1">
      <c r="A27" s="11" t="s">
        <v>305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306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308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2024-03-11T10:32:18Z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