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<sst xmlns="http://schemas.openxmlformats.org/spreadsheetml/2006/main" count="595" uniqueCount="595">
  <si>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</si>
  <si>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</si>
  <si>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</si>
  <si>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</si>
  <si>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</si>
  <si>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</si>
  <si>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</si>
  <si>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</si>
  <si>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</si>
  <si>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</si>
  <si>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</si>
  <si>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</si>
  <si>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</si>
  <si>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</si>
  <si>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</si>
  <si>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</si>
  <si>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</si>
  <si>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</si>
  <si>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</si>
  <si>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</si>
  <si>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</si>
  <si>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</si>
  <si>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</si>
  <si>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</si>
  <si>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</si>
  <si>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</si>
  <si>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</si>
  <si>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</si>
  <si>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</si>
  <si>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</si>
  <si>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</si>
  <si>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</si>
  <si>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</si>
  <si>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</si>
  <si>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</si>
  <si>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</si>
  <si>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</si>
  <si>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</si>
  <si>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</si>
  <si>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</si>
  <si>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</si>
  <si>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</si>
  <si>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</si>
  <si>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</si>
  <si>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</si>
  <si>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</si>
  <si>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</si>
  <si>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</si>
  <si>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</si>
  <si>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</si>
  <si>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</si>
  <si>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</si>
  <si>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</si>
  <si>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</si>
  <si>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</si>
  <si>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</si>
  <si>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</si>
  <si>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</si>
  <si>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</si>
  <si>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</si>
  <si>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</si>
  <si>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</si>
  <si>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</si>
  <si>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</si>
  <si>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</si>
  <si>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</si>
  <si>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</si>
  <si>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</si>
  <si>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</si>
  <si>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</si>
  <si>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</si>
  <si>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</si>
  <si>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</si>
  <si>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</si>
  <si>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</si>
  <si>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</si>
  <si>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</si>
  <si>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</si>
  <si>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</si>
  <si>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</si>
  <si>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</si>
  <si>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</si>
  <si>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</si>
  <si>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</si>
  <si>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</si>
  <si>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</si>
  <si>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</si>
  <si>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</si>
  <si>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</si>
  <si>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</si>
  <si>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</si>
  <si>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</si>
  <si>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</si>
  <si>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</si>
  <si>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</si>
  <si>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</si>
  <si>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</si>
  <si>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</si>
  <si>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</si>
  <si>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</si>
  <si>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</si>
  <si>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</si>
  <si>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</si>
  <si>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</si>
  <si>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</si>
  <si>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</si>
  <si>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</si>
  <si>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</si>
  <si>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</si>
  <si>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</si>
  <si>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</si>
  <si>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</si>
  <si>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</si>
  <si>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</si>
  <si>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</si>
  <si>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</si>
  <si>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</si>
  <si>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</si>
  <si>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</si>
  <si>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</si>
  <si>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</si>
  <si>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</si>
  <si>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</si>
  <si>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</si>
  <si>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</si>
  <si>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</si>
  <si>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</si>
  <si>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</si>
  <si>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</si>
  <si>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</si>
  <si>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</si>
  <si>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</si>
  <si>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</si>
  <si>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</si>
  <si>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</si>
  <si>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</si>
  <si>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</si>
  <si>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</si>
  <si>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</si>
  <si>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</si>
  <si>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</si>
  <si>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</si>
  <si>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</si>
  <si>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</si>
  <si>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</si>
  <si>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</si>
  <si>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</si>
  <si>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</si>
  <si>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</si>
  <si>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</si>
  <si>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</si>
  <si>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</si>
  <si>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</si>
  <si>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</si>
  <si>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</si>
  <si>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</si>
  <si>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</si>
  <si>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</si>
  <si>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</si>
  <si>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</si>
  <si>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</si>
  <si>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</si>
  <si>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</si>
  <si>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</si>
  <si>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</si>
  <si>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</si>
  <si>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</si>
  <si>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</si>
  <si>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</si>
  <si>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</si>
  <si>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</si>
  <si>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</si>
  <si>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</si>
  <si>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</si>
  <si>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</si>
  <si>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</si>
  <si>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</si>
  <si>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</si>
  <si>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</si>
  <si>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</si>
  <si>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</si>
  <si>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اسباني</t>
  </si>
  <si>
    <t>single مطرز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</si>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</sst>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0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70" totalsRowDxfId="135"/>
    <tableColumn id="2" name="عدد" dataDxfId="69" totalsRowDxfId="1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BP28</calculatedColumnFormula>
    </tableColumn>
    <tableColumn id="8" name="اجمالي" totalsRowFunction="sum" dataDxfId="67" totalsRowDxfId="131">
      <calculatedColumnFormula>BH98*BP99</calculatedColumnFormula>
    </tableColumn>
    <tableColumn id="9" name="%" totalsRowFunction="custom" totalsRowDxfId="1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70" totalsRowDxfId="135"/>
    <tableColumn id="2" name="عدد" dataDxfId="69" totalsRowDxfId="135">
      <calculatedColumnFormula>IF((#REF!="بالتات"),0,4)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90" totalsRowDxfId="133">
      <calculatedColumnFormula>Sheet2!AW26</calculatedColumnFormula>
    </tableColumn>
    <tableColumn id="8" name="اجمالي" totalsRowFunction="sum" dataDxfId="67" totalsRowDxfId="131">
      <calculatedColumnFormula>BH84*BP84</calculatedColumnFormula>
    </tableColumn>
    <tableColumn id="9" name="%" totalsRowFunction="custom" totalsRowDxfId="130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70"/>
    <tableColumn id="2" name="عدد" totalsRowFunction="sum" dataDxfId="70">
      <calculatedColumnFormula>BH90*4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(Table16627394105[[#This Row],[Column1]]*Table16627394105[[#This Row],[Column2]])*Table16627394105[[#This Row],[عدد]]</calculatedColumnFormula>
    </tableColumn>
    <tableColumn id="4" name="الوحده" dataDxfId="70"/>
    <tableColumn id="5" name="الوزن" totalsRowFunction="custom">
      <totalsRowFormula>(BN93*BH93)+(BH94*BN94)</totalsRowFormula>
    </tableColumn>
    <tableColumn id="6" name="سعر الكيلو" dataDxfId="69"/>
    <tableColumn id="7" name="سعر الشبك " dataDxfId="121">
      <calculatedColumnFormula>BN92*$S$2/1000</calculatedColumnFormula>
    </tableColumn>
    <tableColumn id="8" name="اجمالي" totalsRowFunction="sum" dataDxfId="67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70"/>
    <tableColumn id="2" name="عدد" dataDxfId="77">
      <calculatedColumnFormula>IF((تسعير!$AU$14="بالتات"),0,BH119-2)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تسعير!$BE$44</calculatedColumnFormula>
    </tableColumn>
    <tableColumn id="10" name="شيفت العمل" dataDxfId="70"/>
    <tableColumn id="12" name="Column12" totalsRowFunction="sum" dataDxfId="71">
      <calculatedColumnFormula>SUMIF(Table17697899110[Column1],Table1612677697108[[#This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Table1612677697108[[#This Row],[Column12]]</calculatedColumnFormula>
    </tableColumn>
    <tableColumn id="8" name="اجمالي" totalsRowFunction="sum" dataDxfId="67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79"/>
    <tableColumn id="2" name="عدد" dataDxfId="77">
      <calculatedColumnFormula>IF((BL133="الاسكندرية"),0.25,0.1)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BQ116</calculatedColumnFormula>
    </tableColumn>
    <tableColumn id="8" name="اجمالي" totalsRowFunction="sum" dataDxfId="67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IF((BL133="المقطم"),0.3,IF((BL133="التجمع"),0.3,IF((BL133="الشيخ زايد"),0.3,IF((BL133="الاسكندرية"),0.5,0.35))))</calculatedColumnFormula>
    </tableColumn>
    <tableColumn id="2" name="Column2" dataDxfId="7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70"/>
    <tableColumn id="2" name="عدد" dataDxfId="70">
      <calculatedColumnFormula>IF(OR((BI69="B11"),(BI69="B12"),(BI69="B21"),(BI69="B22"),(BI69="B31"),(BI69="B32")),3,0)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(Table15880101112[[#This Row],[Column1]]+Table15880101112[[#This Row],[Column2]])*12*Table15880101112[[#This Row],[عدد]]</calculatedColumnFormula>
    </tableColumn>
    <tableColumn id="4" name="الوحده" dataDxfId="70"/>
    <tableColumn id="5" name="الوزن" totalsRowFunction="custom">
      <totalsRowFormula>(BN76*BH76)+(BN77*BH77)+(BN78*BH78)+(BN79*BH79)</totalsRowFormula>
    </tableColumn>
    <tableColumn id="6" name="اجمالي المسطح" totalsRowFunction="sum" dataDxfId="69">
      <calculatedColumnFormula>Table15880101112[[#This Row],[المسطح]]*Table15880101112[[#This Row],[عدد]]</calculatedColumnFormula>
    </tableColumn>
    <tableColumn id="7" name="سعر الشبك " dataDxfId="68">
      <calculatedColumnFormula>BN76*$S$2/1000</calculatedColumnFormula>
    </tableColumn>
    <tableColumn id="8" name="اجمالي" totalsRowFunction="sum" dataDxfId="67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70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62" totalsRowDxfId="5"/>
    <tableColumn id="2" name="عدد" totalsRowFunction="custom" totalsRowDxfId="4">
      <totalsRowFormula>(Table80102113[[#Totals],[price]]*1.1)/(BA72*AY72/10000)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44" totalsRowDxfId="5"/>
    <tableColumn id="2" name="عدد" totalsRowFunction="custom" dataDxfId="44" totalsRowDxfId="4">
      <totalsRowFormula>(Table80102114[[#Totals],[price]]*1.1)/(F1*D1/10000)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52" dataDxfId="44" totalsRowDxfId="50">
  <autoFilter ref="A75:F96"/>
  <tableColumns count="6">
    <tableColumn id="1" name="Column1" totalsRowLabel="Total" dataDxfId="44" totalsRowDxfId="5"/>
    <tableColumn id="2" name="عدد" totalsRowFunction="custom" dataDxfId="44" totalsRowDxfId="4">
      <totalsRowFormula>(Table80102114115[[#Totals],[price]]*1.1)/(F74*D74/10000)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70"/>
    <tableColumn id="2" name="عدد" dataDxfId="70">
      <calculatedColumnFormula>IF((F74="الاسكندرية"),0.25,0.1)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(K57)</calculatedColumnFormula>
    </tableColumn>
    <tableColumn id="8" name="اجمالي" totalsRowFunction="sum" dataDxfId="67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70" totalsRowDxfId="135"/>
    <tableColumn id="2" name="عدد" dataDxfId="77" totalsRowDxfId="135">
      <calculatedColumnFormula>B60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SUMIF(Table17[Column1],Table1612[[#This Row],[موقع العمل]],$T$2:$T$20)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Table1612[[#This Row],[Column12]]</calculatedColumnFormula>
    </tableColumn>
    <tableColumn id="8" name="اجمالي" totalsRowFunction="sum" dataDxfId="67" totalsRowDxfId="131">
      <calculatedColumnFormula>B63*J63</calculatedColumnFormula>
    </tableColumn>
    <tableColumn id="9" name="%" totalsRowFunction="custom" totalsRowDxfId="130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77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70"/>
    <tableColumn id="2" name="عدد" dataDxfId="7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(Table118[[#This Row],[Column1]]+Table118[[#This Row],[Column2]])*12*Table118[[#This Row],[عدد]]</calculatedColumnFormula>
    </tableColumn>
    <tableColumn id="4" name="الوحده" dataDxfId="70"/>
    <tableColumn id="5" name="الوزن" dataDxfId="70"/>
    <tableColumn id="6" name="اجمالي الميزان" totalsRowFunction="sum" dataDxfId="69">
      <calculatedColumnFormula>Table118[[#This Row],[الوزن]]*Table118[[#This Row],[عدد]]</calculatedColumnFormula>
    </tableColumn>
    <tableColumn id="7" name="سعر الشبك " dataDxfId="121">
      <calculatedColumnFormula>H6*$H$2/1000</calculatedColumnFormula>
    </tableColumn>
    <tableColumn id="8" name="اجمالي" totalsRowFunction="sum" dataDxfId="67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70"/>
    <tableColumn id="2" name="عدد" dataDxfId="6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0"/>
    <tableColumn id="4" name="الوحده" totalsRowLabel="total" dataDxfId="70"/>
    <tableColumn id="5" name="الوزن" dataDxfId="6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70">
      <calculatedColumnFormula>Sheet2!B7</calculatedColumnFormula>
    </tableColumn>
    <tableColumn id="7" name="سعر الشبك " dataDxfId="121"/>
    <tableColumn id="8" name="اجمالي" totalsRowFunction="sum" dataDxfId="67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70"/>
    <tableColumn id="2" name="عدد" dataDxfId="70">
      <calculatedColumnFormula>IF((تسعير!X30&lt;800),0,IF(AND((تسعير!X30&gt;800),(600&gt;=تسعير!AA32)),1,0))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(Table1421[[#This Row],[Column1]]+Table1421[[#This Row],[Column2]])*12*Table1421[[#This Row],[عدد]]</calculatedColumnFormula>
    </tableColumn>
    <tableColumn id="4" name="الوحده" dataDxfId="70"/>
    <tableColumn id="5" name="الوزن" dataDxfId="70"/>
    <tableColumn id="6" name="سعر الكيلو" totalsRowFunction="sum" dataDxfId="69">
      <calculatedColumnFormula>Table1421[[#This Row],[الوزن]]*Table1421[[#This Row],[عدد]]</calculatedColumnFormula>
    </tableColumn>
    <tableColumn id="7" name="سعر الشبك " dataDxfId="121">
      <calculatedColumnFormula>H13*$I$2/1000</calculatedColumnFormula>
    </tableColumn>
    <tableColumn id="8" name="اجمالي" totalsRowFunction="sum" dataDxfId="67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70"/>
    <tableColumn id="2" name="عدد" dataDxfId="69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Sheet2!B22</calculatedColumnFormula>
    </tableColumn>
    <tableColumn id="8" name="اجمالي" totalsRowFunction="sum" dataDxfId="67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70"/>
    <tableColumn id="2" name="عدد" totalsRowFunction="count" dataDxfId="69">
      <calculatedColumnFormula>B30*4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(Table1624[[#This Row],[Column1]]*Table1624[[#This Row],[Column2]])*Table1624[[#This Row],[عدد]]</calculatedColumnFormula>
    </tableColumn>
    <tableColumn id="4" name="الوحده" dataDxfId="70"/>
    <tableColumn id="5" name="الوزن" totalsRowFunction="custom">
      <totalsRowFormula>H31*B31+H32*B32</totalsRowFormula>
    </tableColumn>
    <tableColumn id="6" name="سعر الكيلو" dataDxfId="69">
      <calculatedColumnFormula>$H$2/1000</calculatedColumnFormula>
    </tableColumn>
    <tableColumn id="7" name="سعر الشبك " dataDxfId="121">
      <calculatedColumnFormula>H31*$H$2/1000</calculatedColumnFormula>
    </tableColumn>
    <tableColumn id="8" name="اجمالي" totalsRowFunction="sum" dataDxfId="67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70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70"/>
    <tableColumn id="2" name="عدد" dataDxfId="70">
      <calculatedColumnFormula>IF((F79="الاسكندرية"),0.25,0.1)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K58</calculatedColumnFormula>
    </tableColumn>
    <tableColumn id="8" name="اجمالي" totalsRowFunction="sum" dataDxfId="67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70" totalsRowDxfId="135"/>
    <tableColumn id="2" name="عدد" dataDxfId="77" totalsRowDxfId="135">
      <calculatedColumnFormula>B65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SUMIF(Table1731[Column1],Table161229[[#This Row],[موقع العمل]],$T$2:$T$26)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Table161229[[#This Row],[Column12]]</calculatedColumnFormula>
    </tableColumn>
    <tableColumn id="8" name="اجمالي" totalsRowFunction="sum" dataDxfId="67" totalsRowDxfId="131">
      <calculatedColumnFormula>B68*J68</calculatedColumnFormula>
    </tableColumn>
    <tableColumn id="9" name="%" totalsRowFunction="custom" totalsRowDxfId="130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79" totalsRowDxfId="135"/>
    <tableColumn id="2" name="عدد" dataDxfId="77" totalsRowDxfId="135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/>
    <tableColumn id="8" name="اجمالي" totalsRowFunction="sum" dataDxfId="67" totalsRowDxfId="131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77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(Table1662[[#This Row],[Column1]]*Table1662[[#This Row],[Column2]])*Table1662[[#This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IF((تسعير!$AU$14="بالتات"),0,M52-2)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SUMIF(Table1769[Column1],Table161267[[#This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IF((N2="A1"),2,IF((N2="A2"),3,IF((N2="B1"),2.5,IF((N2="B2"),3,0))))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(Table158[[#This Row],[Column1]]+Table158[[#This Row],[Column2]])*12*Table158[[#This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totalsRowFunction="sum" dataDxfId="69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Table823[[#Totals],[اجمالي التكلفة]]/B1</totalsRowFormula>
    </tableColumn>
    <tableColumn id="2" name="اجمالي التكلفة" totalsRowFunction="sum" dataDxfId="766" totalsRowDxfId="16"/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(Table166241[[#This Row],[Column1]]*Table166241[[#This Row],[Column2]])*Table166241[[#This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IF((تسعير!$BF$14="بالتات"),0,M52-2)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تسعير!$BE$4</calculatedColumnFormula>
    </tableColumn>
    <tableColumn id="10" name="شيفت العمل" dataDxfId="70" totalsRowDxfId="135"/>
    <tableColumn id="12" name="Column12" totalsRowFunction="sum" dataDxfId="71" totalsRowDxfId="141"/>
    <tableColumn id="4" name="عدد الايام" dataDxfId="102" totalsRowDxfId="135"/>
    <tableColumn id="7" name="اجمالي التكلفة للعامل" dataDxfId="101" totalsRowDxfId="133">
      <calculatedColumnFormula>Table16126744[[#This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IF((N2="c1"),3,IF((N2="c2"),4,IF((N2="d1"),4,IF((N2="d2"),5,0))))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(Table15855[[#This Row],[Column1]]+Table15855[[#This Row],[Column2]])*12*Table15855[[#This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dataDxfId="69"/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615"/>
    <tableColumn id="2" name="المقاس" dataDxfId="615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70" totalsRowDxfId="1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70" totalsRowDxfId="135"/>
    <tableColumn id="5" name="الوزن" totalsRowFunction="custom" totalsRowDxfId="135">
      <totalsRowFormula>(H6*B6)+(H8*B8)+(H7*B7)</totalsRowFormula>
    </tableColumn>
    <tableColumn id="6" name="مسطح" dataDxfId="69" totalsRowDxfId="135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615" totalsRowDxfId="650"/>
    <tableColumn id="2" name="عدد/الشمسية" dataDxfId="649" totalsRowDxfId="646"/>
    <tableColumn id="3" name="سعر الوحدة" dataDxfId="615" totalsRowDxfId="646"/>
    <tableColumn id="4" name="قيمة" totalsRowFunction="sum" dataDxfId="615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615"/>
    <tableColumn id="2" name="Column2" dataDxfId="615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6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631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615" totalsRowDxfId="141"/>
    <tableColumn id="2" name="عدد/الشمسية" dataDxfId="626" totalsRowDxfId="141"/>
    <tableColumn id="3" name="سعر الوحدة" dataDxfId="615" totalsRowDxfId="141"/>
    <tableColumn id="4" name="قيمة" totalsRowFunction="sum" dataDxfId="615" totalsRowDxfId="141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70" totalsRowDxfId="135"/>
    <tableColumn id="2" name="عدد" dataDxfId="69" totalsRowDxfId="1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Sheet2!B8</calculatedColumnFormula>
    </tableColumn>
    <tableColumn id="8" name="اجمالي" totalsRowFunction="sum" dataDxfId="67" totalsRowDxfId="131">
      <calculatedColumnFormula>B35*J35</calculatedColumnFormula>
    </tableColumn>
    <tableColumn id="9" name="%" totalsRowFunction="custom" totalsRowDxfId="130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615"/>
    <tableColumn id="2" name="Column2" dataDxfId="615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61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610"/>
    <tableColumn id="2" name="الناتج" dataDxfId="611"/>
    <tableColumn id="3" name="Column1" dataDxfId="61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77" totalsRowDxfId="135">
      <calculatedColumnFormula>I28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تسعير!$T$45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Table161243[[#This Row],[Column12]]</calculatedColumnFormula>
    </tableColumn>
    <tableColumn id="8" name="اجمالي" totalsRowFunction="sum" dataDxfId="67" totalsRowDxfId="131">
      <calculatedColumnFormula>I31*Q31</calculatedColumnFormula>
    </tableColumn>
    <tableColumn id="9" name="%" totalsRowFunction="custom" totalsRowDxfId="1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7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70" totalsRowDxfId="56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77" totalsRowDxfId="135">
      <calculatedColumnFormula>I61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تسعير!$T$63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SUMIF(Table17[Column1],Table16124360[[#This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Table16124360[[#This Row],[Column12]]</calculatedColumnFormula>
    </tableColumn>
    <tableColumn id="8" name="اجمالي" totalsRowFunction="sum" dataDxfId="67" totalsRowDxfId="131">
      <calculatedColumnFormula>I64*Q64</calculatedColumnFormula>
    </tableColumn>
    <tableColumn id="9" name="%" totalsRowFunction="custom" totalsRowDxfId="1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7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M28*U28</calculatedColumnFormula>
    </tableColumn>
    <tableColumn id="9" name="%" totalsRowFunction="custom" totalsRowDxfId="1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70"/>
    <tableColumn id="2" name="عدد" dataDxfId="70">
      <calculatedColumnFormula>IF((تسعير!X7&lt;800),0,IF(AND((تسعير!X7&gt;800),(600&gt;=تسعير!AA9)),1,0))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(Table14[[#This Row],[Column1]]+Table14[[#This Row],[Column2]])*12*Table14[[#This Row],[عدد]]</calculatedColumnFormula>
    </tableColumn>
    <tableColumn id="4" name="الوحده" dataDxfId="70"/>
    <tableColumn id="5" name="الوزن" totalsRowFunction="custom">
      <totalsRowFormula>H12*B12+H13*B13</totalsRowFormula>
    </tableColumn>
    <tableColumn id="6" name="مسطح" dataDxfId="69">
      <calculatedColumnFormula>Table14[[#This Row],[Column12]]*Table14[[#This Row],[عدد]]</calculatedColumnFormula>
    </tableColumn>
    <tableColumn id="7" name="سعر الشبك " dataDxfId="121">
      <calculatedColumnFormula>H12*$I$2/1000</calculatedColumnFormula>
    </tableColumn>
    <tableColumn id="8" name="اجمالي" totalsRowFunction="sum" dataDxfId="6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(Table166273[[#This Row],[Column1]]*Table166273[[#This Row],[Column2]])*Table166273[[#This Row],[عدد]]</calculatedColumnFormula>
    </tableColumn>
    <tableColumn id="4" name="الوحده" dataDxfId="70"/>
    <tableColumn id="5" name="الوزن" totalsRowFunction="custom">
      <totalsRowFormula>(S23*M23)+(M24*S24)</totalsRowFormula>
    </tableColumn>
    <tableColumn id="6" name="سعر الكيلو" dataDxfId="69"/>
    <tableColumn id="7" name="سعر الشبك " dataDxfId="121">
      <calculatedColumnFormula>S22*$S$2/1000</calculatedColumnFormula>
    </tableColumn>
    <tableColumn id="8" name="اجمالي" totalsRowFunction="sum" dataDxfId="67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70" totalsRowDxfId="135"/>
    <tableColumn id="2" name="عدد" dataDxfId="77" totalsRowDxfId="135">
      <calculatedColumnFormula>IF((تسعير!$AU$14="بالتات"),0,M49-2)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SUMIF(Table176978[Column1],Table16126776[[#This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Table16126776[[#This Row],[Column12]]</calculatedColumnFormula>
    </tableColumn>
    <tableColumn id="8" name="اجمالي" totalsRowFunction="sum" dataDxfId="67" totalsRowDxfId="131">
      <calculatedColumnFormula>M52*U52</calculatedColumnFormula>
    </tableColumn>
    <tableColumn id="9" name="%" totalsRowFunction="custom" totalsRowDxfId="1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79" totalsRowDxfId="135"/>
    <tableColumn id="2" name="عدد" dataDxfId="77" totalsRowDxfId="135">
      <calculatedColumnFormula>IF((Q63="الاسكندرية"),0.25,0.1)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Table80102114[[#Totals],[price]]</calculatedColumnFormula>
    </tableColumn>
    <tableColumn id="8" name="اجمالي" totalsRowFunction="sum" dataDxfId="67" totalsRowDxfId="131">
      <calculatedColumnFormula>M47*Table16136877[[#This Row],[سعر الشبك ]]</calculatedColumnFormula>
    </tableColumn>
    <tableColumn id="9" name="%" totalsRowFunction="custom" totalsRowDxfId="130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IF((Q63="المقطم"),0.3,IF((Q63="التجمع"),0.3,IF((Q63="الشيخ زايد"),0.3,IF((Q63="الاسكندرية"),0.5,0.35))))</calculatedColumnFormula>
    </tableColumn>
    <tableColumn id="2" name="Column2" dataDxfId="7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(Table15880[[#This Row],[Column1]]+Table15880[[#This Row],[Column2]])*12*Table15880[[#This Row],[عدد]]</calculatedColumnFormula>
    </tableColumn>
    <tableColumn id="4" name="الوحده" dataDxfId="70"/>
    <tableColumn id="5" name="الوزن" totalsRowFunction="custom">
      <totalsRowFormula>(S6*M6)+(S7*M7)+(M8*S8)+(S9*M9)</totalsRowFormula>
    </tableColumn>
    <tableColumn id="6" name="اجمالي المسطح" totalsRowFunction="sum" dataDxfId="69">
      <calculatedColumnFormula>Table15880[[#This Row],[المسطح]]*Table15880[[#This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70" totalsRowDxfId="135"/>
    <tableColumn id="2" name="عدد" dataDxfId="69" totalsRowDxfId="1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M99*U100</calculatedColumnFormula>
    </tableColumn>
    <tableColumn id="9" name="%" totalsRowFunction="custom" totalsRowDxfId="1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Sheet2!B22</calculatedColumnFormula>
    </tableColumn>
    <tableColumn id="8" name="اجمالي" totalsRowFunction="sum" dataDxfId="67" totalsRowDxfId="131">
      <calculatedColumnFormula>B17*J17</calculatedColumnFormula>
    </tableColumn>
    <tableColumn id="9" name="%" totalsRowFunction="custom" totalsRowDxfId="130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70"/>
    <tableColumn id="2" name="عدد" dataDxfId="69">
      <calculatedColumnFormula>IF((I70="بالتات"),0,4)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70"/>
    <tableColumn id="2" name="عدد" totalsRowFunction="sum" dataDxfId="70">
      <calculatedColumnFormula>M91*4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(Table16627394[[#This Row],[Column1]]*Table16627394[[#This Row],[Column2]])*Table16627394[[#This Row],[عدد]]</calculatedColumnFormula>
    </tableColumn>
    <tableColumn id="4" name="الوحده" dataDxfId="70"/>
    <tableColumn id="5" name="الوزن" totalsRowFunction="custom">
      <totalsRowFormula>(S94*M94)+(M95*S95)</totalsRowFormula>
    </tableColumn>
    <tableColumn id="6" name="سعر الكيلو" dataDxfId="69"/>
    <tableColumn id="7" name="سعر الشبك " dataDxfId="121">
      <calculatedColumnFormula>S93*$S$2/1000</calculatedColumnFormula>
    </tableColumn>
    <tableColumn id="8" name="اجمالي" totalsRowFunction="sum" dataDxfId="67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70" totalsRowDxfId="135"/>
    <tableColumn id="2" name="عدد" dataDxfId="77" totalsRowDxfId="135">
      <calculatedColumnFormula>IF((تسعير!$AU$14="بالتات"),0,M120-2)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SUMIF(Table17697899[Column1],Table1612677697[[#This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Table1612677697[[#This Row],[Column12]]</calculatedColumnFormula>
    </tableColumn>
    <tableColumn id="8" name="اجمالي" totalsRowFunction="sum" dataDxfId="67" totalsRowDxfId="131">
      <calculatedColumnFormula>M123*U123</calculatedColumnFormula>
    </tableColumn>
    <tableColumn id="9" name="%" totalsRowFunction="custom" totalsRowDxfId="1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79" totalsRowDxfId="135"/>
    <tableColumn id="2" name="عدد" dataDxfId="77" totalsRowDxfId="135">
      <calculatedColumnFormula>IF((Q134="الاسكندرية"),0.25,0.1)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F96</calculatedColumnFormula>
    </tableColumn>
    <tableColumn id="8" name="اجمالي" totalsRowFunction="sum" dataDxfId="67" totalsRowDxfId="131">
      <calculatedColumnFormula>M118*Table1613687798[[#This Row],[سعر الشبك ]]</calculatedColumnFormula>
    </tableColumn>
    <tableColumn id="9" name="%" totalsRowFunction="custom" totalsRowDxfId="130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IF((Q134="المقطم"),0.3,IF((Q134="التجمع"),0.3,IF((Q134="الشيخ زايد"),0.3,IF((Q134="الاسكندرية"),0.5,0.35))))</calculatedColumnFormula>
    </tableColumn>
    <tableColumn id="2" name="Column2" dataDxfId="7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70"/>
    <tableColumn id="2" name="عدد" dataDxfId="70">
      <calculatedColumnFormula>IF(OR((N70="B11"),(N70="B12"),(N70="B21"),(N70="B22"),(N70="B31"),(N70="B32")),3,0)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(Table15880101[[#This Row],[Column1]]+Table15880101[[#This Row],[Column2]])*12*Table15880101[[#This Row],[عدد]]</calculatedColumnFormula>
    </tableColumn>
    <tableColumn id="4" name="الوحده" dataDxfId="70"/>
    <tableColumn id="5" name="الوزن" totalsRowFunction="custom">
      <totalsRowFormula>(S77*M77)+(S78*M78)+(M79*S79)+(S80*M80)</totalsRowFormula>
    </tableColumn>
    <tableColumn id="6" name="اجمالي المسطح" totalsRowFunction="sum" dataDxfId="69">
      <calculatedColumnFormula>Table15880101[[#This Row],[المسطح]]*Table15880101[[#This Row],[عدد]]</calculatedColumnFormula>
    </tableColumn>
    <tableColumn id="7" name="سعر الشبك " dataDxfId="68">
      <calculatedColumnFormula>S77*$S$2/1000</calculatedColumnFormula>
    </tableColumn>
    <tableColumn id="8" name="اجمالي" totalsRowFunction="sum" dataDxfId="67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Sheet2!AW6</calculatedColumnFormula>
    </tableColumn>
    <tableColumn id="8" name="اجمالي" totalsRowFunction="sum" dataDxfId="67" totalsRowDxfId="131">
      <calculatedColumnFormula>BH28*BP28</calculatedColumnFormula>
    </tableColumn>
    <tableColumn id="9" name="%" totalsRowFunction="custom" totalsRowDxfId="1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70" totalsRowDxfId="135"/>
    <tableColumn id="2" name="عدد" totalsRowFunction="count" dataDxfId="70" totalsRowDxfId="135">
      <calculatedColumnFormula>B29*4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totalsRowFunction="sum" dataDxfId="71" totalsRowDxfId="141">
      <calculatedColumnFormula>(Table16[[#This Row],[Column1]]*Table16[[#This Row],[Column2]])*Table16[[#This Row],[عدد]]</calculatedColumnFormula>
    </tableColumn>
    <tableColumn id="4" name="الوحده" dataDxfId="70" totalsRowDxfId="135"/>
    <tableColumn id="5" name="الوزن" totalsRowFunction="custom" totalsRowDxfId="135">
      <totalsRowFormula>H30*B30+H31*B31</totalsRowFormula>
    </tableColumn>
    <tableColumn id="6" name="Column3" dataDxfId="69" totalsRowDxfId="135"/>
    <tableColumn id="7" name="سعر الشبك " dataDxfId="121" totalsRowDxfId="133">
      <calculatedColumnFormula>H30*$H$2/1000</calculatedColumnFormula>
    </tableColumn>
    <tableColumn id="8" name="اجمالي" totalsRowFunction="sum" dataDxfId="67" totalsRowDxfId="131">
      <calculatedColumnFormula>B30*J30</calculatedColumnFormula>
    </tableColumn>
    <tableColumn id="9" name="%" totalsRowFunction="custom" totalsRowDxfId="130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Sheet2!AW26</calculatedColumnFormula>
    </tableColumn>
    <tableColumn id="8" name="اجمالي" totalsRowFunction="sum" dataDxfId="67" totalsRowDxfId="131">
      <calculatedColumnFormula>BH14*BP14</calculatedColumnFormula>
    </tableColumn>
    <tableColumn id="9" name="%" totalsRowFunction="custom" totalsRowDxfId="130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70"/>
    <tableColumn id="2" name="عدد" totalsRowFunction="count" dataDxfId="70">
      <calculatedColumnFormula>BH20*4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(Table16627383[[#This Row],[Column1]]*Table16627383[[#This Row],[Column2]])*Table16627383[[#This Row],[عدد]]</calculatedColumnFormula>
    </tableColumn>
    <tableColumn id="4" name="الوحده" dataDxfId="70"/>
    <tableColumn id="5" name="الوزن" totalsRowFunction="custom">
      <totalsRowFormula>(BN23*BH23)+(BH24*BN24)</totalsRowFormula>
    </tableColumn>
    <tableColumn id="6" name="سعر الكيلو" dataDxfId="69"/>
    <tableColumn id="7" name="سعر الشبك " dataDxfId="121">
      <calculatedColumnFormula>BN22*$S$2/1000</calculatedColumnFormula>
    </tableColumn>
    <tableColumn id="8" name="اجمالي" totalsRowFunction="sum" dataDxfId="67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70"/>
    <tableColumn id="2" name="عدد" dataDxfId="77">
      <calculatedColumnFormula>IF((تسعير!$AU$14="بالتات"),0,BH48-2)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تسعير!$AT$44</calculatedColumnFormula>
    </tableColumn>
    <tableColumn id="10" name="شيفت العمل" dataDxfId="70"/>
    <tableColumn id="12" name="Column12" totalsRowFunction="sum" dataDxfId="71">
      <calculatedColumnFormula>SUMIF(Table17697888[Column1],Table1612677686[[#This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Table1612677686[[#This Row],[Column12]]</calculatedColumnFormula>
    </tableColumn>
    <tableColumn id="8" name="اجمالي" totalsRowFunction="sum" dataDxfId="67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79"/>
    <tableColumn id="2" name="عدد" dataDxfId="77">
      <calculatedColumnFormula>IF((BL62="الاسكندرية"),0.25,0.1)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BQ45</calculatedColumnFormula>
    </tableColumn>
    <tableColumn id="8" name="اجمالي" totalsRowFunction="sum" dataDxfId="67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IF((BL62="المقطم"),0.3,IF((BL62="التجمع"),0.3,IF((BL62="الشيخ زايد"),0.3,IF((BL62="الاسكندرية"),0.5,0.35))))</calculatedColumnFormula>
    </tableColumn>
    <tableColumn id="2" name="Column2" dataDxfId="7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(Table1588090[[#This Row],[Column1]]+Table1588090[[#This Row],[Column2]])*12*Table1588090[[#This Row],[عدد]]</calculatedColumnFormula>
    </tableColumn>
    <tableColumn id="4" name="الوحده" dataDxfId="70"/>
    <tableColumn id="5" name="الوزن" totalsRowFunction="custom">
      <totalsRowFormula>(BN6*BH6)+(BN7*BG7)+(BN8*BG8)+(BN9*BG9)</totalsRowFormula>
    </tableColumn>
    <tableColumn id="6" name="اجمالي المسطح" totalsRowFunction="sum" dataDxfId="69">
      <calculatedColumnFormula>Table1588090[[#This Row],[المسطح]]*Table1588090[[#This Row],[عدد]]</calculatedColumnFormula>
    </tableColumn>
    <tableColumn id="7" name="سعر الشبك " dataDxfId="68">
      <calculatedColumnFormula>BN6*$S$2/1000</calculatedColumnFormula>
    </tableColumn>
    <tableColumn id="8" name="اجمالي" totalsRowFunction="sum" dataDxfId="67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218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37315.625</v>
      </c>
      <c r="J3" s="515"/>
    </row>
    <row r="4" ht="21">
      <c r="A4" s="509"/>
      <c r="B4" s="510"/>
      <c r="C4" s="510"/>
      <c r="D4" s="511"/>
      <c r="E4" s="500"/>
      <c r="F4" s="505"/>
      <c r="G4" s="567" t="s">
        <v>219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129872.5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220</v>
      </c>
      <c r="B10" s="568"/>
    </row>
    <row r="11">
      <c r="A11" s="233" t="s">
        <v>221</v>
      </c>
      <c r="B11" s="233" t="s">
        <v>222</v>
      </c>
    </row>
    <row r="12">
      <c r="A12" s="233" t="s">
        <v>223</v>
      </c>
      <c r="B12" s="233">
        <v>65000</v>
      </c>
    </row>
    <row r="13">
      <c r="A13" s="233" t="s">
        <v>224</v>
      </c>
      <c r="B13" s="233">
        <v>75000</v>
      </c>
    </row>
    <row r="14">
      <c r="A14" s="558" t="s">
        <v>225</v>
      </c>
      <c r="B14" s="233">
        <v>215000</v>
      </c>
    </row>
    <row r="15">
      <c r="A15" s="233" t="s">
        <v>226</v>
      </c>
      <c r="B15" s="233">
        <v>50000</v>
      </c>
    </row>
    <row r="16">
      <c r="A16" s="233" t="s">
        <v>227</v>
      </c>
      <c r="B16" s="233">
        <v>275</v>
      </c>
    </row>
    <row r="17">
      <c r="A17" s="233" t="s">
        <v>228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229</v>
      </c>
      <c r="B33" s="233">
        <v>11000</v>
      </c>
    </row>
    <row r="34">
      <c r="A34" s="233" t="s">
        <v>230</v>
      </c>
      <c r="B34" s="233">
        <v>2000</v>
      </c>
    </row>
    <row r="35">
      <c r="A35" s="233" t="s">
        <v>231</v>
      </c>
      <c r="B35" s="233">
        <v>1500</v>
      </c>
    </row>
    <row r="36">
      <c r="A36" s="233" t="s">
        <v>232</v>
      </c>
      <c r="B36" s="233">
        <v>1500</v>
      </c>
    </row>
    <row r="37">
      <c r="A37" s="233" t="s">
        <v>233</v>
      </c>
      <c r="B37" s="233">
        <v>5000</v>
      </c>
    </row>
    <row r="38">
      <c r="A38" s="233" t="s">
        <v>234</v>
      </c>
      <c r="B38" s="233">
        <v>800</v>
      </c>
    </row>
    <row r="39">
      <c r="A39" s="233" t="s">
        <v>235</v>
      </c>
      <c r="B39" s="233">
        <v>120</v>
      </c>
    </row>
    <row r="40">
      <c r="A40" s="233" t="s">
        <v>236</v>
      </c>
      <c r="B40" s="233">
        <v>90</v>
      </c>
    </row>
    <row r="41">
      <c r="A41" s="233" t="s">
        <v>237</v>
      </c>
      <c r="B41" s="233">
        <v>20</v>
      </c>
    </row>
    <row r="42" ht="18.75">
      <c r="A42" s="331" t="s">
        <v>238</v>
      </c>
      <c r="B42" s="233">
        <v>450</v>
      </c>
    </row>
    <row r="43" ht="18.75">
      <c r="A43" s="331" t="s">
        <v>239</v>
      </c>
      <c r="B43" s="233">
        <v>160</v>
      </c>
    </row>
    <row r="44" ht="18.75">
      <c r="A44" s="331" t="s">
        <v>240</v>
      </c>
      <c r="B44" s="233">
        <v>175</v>
      </c>
    </row>
    <row r="45">
      <c r="A45" s="558" t="s">
        <v>241</v>
      </c>
      <c r="B45" s="233">
        <v>4000</v>
      </c>
    </row>
    <row r="46">
      <c r="A46" s="558" t="s">
        <v>242</v>
      </c>
      <c r="B46" s="233">
        <v>3000</v>
      </c>
    </row>
    <row r="47">
      <c r="A47" s="233" t="s">
        <v>243</v>
      </c>
      <c r="B47" s="233">
        <v>160</v>
      </c>
    </row>
    <row r="48">
      <c r="A48" s="233" t="s">
        <v>244</v>
      </c>
      <c r="B48" s="233">
        <v>20</v>
      </c>
    </row>
    <row r="49">
      <c r="A49" s="233" t="s">
        <v>245</v>
      </c>
      <c r="B49" s="233">
        <v>1200</v>
      </c>
    </row>
    <row r="50">
      <c r="A50" s="233" t="s">
        <v>246</v>
      </c>
      <c r="B50" s="233">
        <v>150</v>
      </c>
    </row>
    <row r="51">
      <c r="A51" s="233" t="s">
        <v>247</v>
      </c>
      <c r="B51" s="233">
        <v>150</v>
      </c>
    </row>
    <row r="52">
      <c r="A52" s="233" t="s">
        <v>248</v>
      </c>
      <c r="B52" s="233">
        <v>250</v>
      </c>
    </row>
    <row r="53">
      <c r="A53" s="233" t="s">
        <v>249</v>
      </c>
      <c r="B53" s="233">
        <v>100</v>
      </c>
    </row>
    <row r="54">
      <c r="A54" s="558" t="s">
        <v>250</v>
      </c>
      <c r="B54" s="233">
        <v>1200</v>
      </c>
    </row>
    <row r="55">
      <c r="A55" s="537" t="s">
        <v>251</v>
      </c>
      <c r="B55" s="233">
        <v>23000</v>
      </c>
    </row>
    <row r="56">
      <c r="A56" s="537" t="s">
        <v>252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363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365</v>
      </c>
      <c r="O7" s="99">
        <f>AA41/K7</f>
        <v>2895.7462160158993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 (2)'!B9</f>
        <v>5</v>
      </c>
    </row>
    <row r="19" ht="18" customHeight="1">
      <c r="A19" s="637" t="s">
        <v>432</v>
      </c>
      <c r="B19" s="638"/>
      <c r="C19" s="14">
        <f>'Format Φωτισμου (2)'!B12</f>
        <v>35</v>
      </c>
    </row>
    <row r="20" ht="18" customHeight="1">
      <c r="A20" s="637" t="s">
        <v>433</v>
      </c>
      <c r="B20" s="638"/>
      <c r="C20" s="14">
        <f>C19/C18</f>
        <v>7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365</v>
      </c>
      <c r="O7" s="99">
        <f>AA41/K7</f>
        <v>2110.4132453090647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6" t="s">
        <v>287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6" t="s">
        <v>287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تسجيل1!C7</f>
        <v>500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500</v>
      </c>
      <c r="J4" s="15">
        <v>4</v>
      </c>
      <c r="K4" s="15">
        <v>2</v>
      </c>
    </row>
    <row r="5">
      <c r="A5" s="1" t="s">
        <v>254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Ro-1'!L14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15</v>
      </c>
      <c r="C10" s="636" t="s">
        <v>287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288</v>
      </c>
      <c r="B11" s="13">
        <f>E10/B9</f>
        <v>3</v>
      </c>
      <c r="C11" s="636" t="s">
        <v>287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270633.10219646036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77673.605921052629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100555.6230877193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6765.8275549115087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6213.88847368421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2873.017802506266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2.5</v>
      </c>
      <c r="AL8" s="470" t="s">
        <v>177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498981.78031602845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345557.25</v>
      </c>
      <c r="AU22" s="480"/>
      <c r="BC22" s="414"/>
      <c r="BD22" s="472" t="s">
        <v>163</v>
      </c>
      <c r="BE22" s="473">
        <f>'بيرسا و لوفرز'!R140</f>
        <v>263488.59333333338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5197.7268782919627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17277.8625</v>
      </c>
      <c r="AU23" s="480"/>
      <c r="AV23" s="481"/>
      <c r="BC23" s="414"/>
      <c r="BD23" s="472" t="s">
        <v>127</v>
      </c>
      <c r="BE23" s="474">
        <f>BE22/(BE33*BE34/10000)</f>
        <v>19672.136279926337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179</v>
      </c>
      <c r="AH28" s="579" t="s">
        <v>199</v>
      </c>
      <c r="AI28" s="579" t="s">
        <v>169</v>
      </c>
      <c r="AJ28" s="579" t="s">
        <v>200</v>
      </c>
      <c r="AK28" s="579" t="s">
        <v>201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193624.145</v>
      </c>
      <c r="AU42" s="480"/>
      <c r="BD42" s="472" t="s">
        <v>163</v>
      </c>
      <c r="BE42" s="473">
        <f>'بيرسا و لوفرز'!BM139</f>
        <v>203596.01166666666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75813.400000000009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9681.20725</v>
      </c>
      <c r="AU43" s="480"/>
      <c r="AV43" s="481"/>
      <c r="BD43" s="472" t="s">
        <v>127</v>
      </c>
      <c r="BE43" s="474">
        <f>BE42/(BE53*BE54/10000)</f>
        <v>10179.800583333334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3032.5360000000005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130533.52500000001</v>
      </c>
      <c r="AT57" s="608"/>
      <c r="BD57" s="607">
        <f>('بيرسا و لوفرز'!BA85+'بيرسا و لوفرز'!BP133+'بيرسا و لوفرز'!BQ125)*1.35</f>
        <v>130533.52500000001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6526.67625</v>
      </c>
      <c r="AT58" s="599"/>
      <c r="BD58" s="598">
        <f>BD57/(BE53*BE54/10000)</f>
        <v>6526.67625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215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95212.8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3808.512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216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217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C10524FD-50B2-4ADE-AC43-4DE0A6518F3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992D9EF5-4D1D-412E-A3D8-F9315CE7A219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683632D9-54BF-4490-B9BF-C70CD3704C5D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BFB9DBA6-E38E-4CEA-AB6A-FC5AA955A8D2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1B7347E8-F807-4A6F-A07B-E8A8150ABFF6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D2B629C2-2FD5-4EC5-AF6F-81B409813E43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985A34A-D22E-4217-8B50-76784B3085D6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24E426EA-FD38-4493-A109-69A1D67A3504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8876DE8F-BC67-4FCD-850C-0A20A95A1C2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1F4DB8CA-2A14-4F16-AD99-D0BDB81041ED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2823D57-25E6-4CE0-9F61-C41DDA5C79C3}">
          <x14:formula1>
            <xm:f>wavy2!$A$19:$A$20</xm:f>
          </x14:formula1>
          <xm:sqref>BE9</xm:sqref>
        </x14:dataValidation>
        <x14:dataValidation type="list" allowBlank="1" showInputMessage="1" showErrorMessage="1" xr:uid="{0464CE06-AAFE-4C30-80D5-18A728E732C7}">
          <x14:formula1>
            <xm:f>wavy1!$A$19:$A$20</xm:f>
          </x14:formula1>
          <xm:sqref>AT9</xm:sqref>
        </x14:dataValidation>
        <x14:dataValidation type="list" allowBlank="1" showInputMessage="1" showErrorMessage="1" xr:uid="{ACFE4E09-8D01-4AB2-B63C-D86FBE6BCA19}">
          <x14:formula1>
            <xm:f>Sheet2!$B$5:$B$7</xm:f>
          </x14:formula1>
          <xm:sqref>T25 T46 T64</xm:sqref>
        </x14:dataValidation>
        <x14:dataValidation type="list" allowBlank="1" showInputMessage="1" showErrorMessage="1" xr:uid="{E80393A3-4CA1-4FA7-9F21-AF038C18D56B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91ECAB2-C847-48C5-B870-6D9DDF0D3329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9E29184A-0BEF-489A-A582-1282BFAB832F}">
          <x14:formula1>
            <xm:f>Sheet2!$C$5:$C$6</xm:f>
          </x14:formula1>
          <xm:sqref>T26</xm:sqref>
        </x14:dataValidation>
        <x14:dataValidation type="list" allowBlank="1" showInputMessage="1" showErrorMessage="1" xr:uid="{C6036AF4-3DEA-468F-97A9-0E53D478C61A}">
          <x14:formula1>
            <xm:f>Sheet2!$A$5</xm:f>
          </x14:formula1>
          <xm:sqref>U31</xm:sqref>
        </x14:dataValidation>
        <x14:dataValidation type="list" allowBlank="1" showInputMessage="1" showErrorMessage="1" xr:uid="{2831B088-C10A-4191-B7DC-22FED4B6817C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2DDB1B5D-50FF-4D71-9F06-664F9B28451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52DCC353-F836-470A-B005-E7492C8A97E8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BCF009E-888A-4AFE-8936-5BECF2AE71E5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59E1189B-C91C-45B1-8616-E683FCC49D77}">
          <x14:formula1>
            <xm:f>Sheet2!$D$5:$D$6</xm:f>
          </x14:formula1>
          <xm:sqref>T32 T53 T71</xm:sqref>
        </x14:dataValidation>
        <x14:dataValidation type="list" allowBlank="1" showInputMessage="1" showErrorMessage="1" xr:uid="{35963049-506E-4AD7-8264-CDCCEC4B5091}">
          <x14:formula1>
            <xm:f>Sheet2!$A$6</xm:f>
          </x14:formula1>
          <xm:sqref>AC36</xm:sqref>
        </x14:dataValidation>
        <x14:dataValidation type="list" allowBlank="1" showInputMessage="1" showErrorMessage="1" xr:uid="{6B26289C-F132-4066-A10B-7C9B40B5A4B5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800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45381.772253888892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552.5</v>
      </c>
      <c r="K6" s="240">
        <f>B6*J6</f>
        <v>4420</v>
      </c>
      <c r="L6" s="241">
        <f>(K6)/$G$79</f>
        <v>0.021231696911299541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3038.75</v>
      </c>
      <c r="K7" s="240">
        <f>B7*J7</f>
        <v>10635.625</v>
      </c>
      <c r="L7" s="241">
        <f>(K7)/$G$79</f>
        <v>0.051088770692814527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3640</v>
      </c>
      <c r="K8" s="240">
        <f>B8*J8</f>
        <v>5460</v>
      </c>
      <c r="L8" s="241">
        <f>(K8)/$G$79</f>
        <v>0.026227390302193551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20515.625</v>
      </c>
      <c r="L9" s="244">
        <f>Table1[[#Totals],[اجمالي]]/$G$79</f>
        <v>0.098547857906307615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15150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7575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0.0038428410699184691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0.0036026635030485649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0.0016332074547153494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0.0003602663503048565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0.001441065401219426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0.00043231962036582779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0.024017756686990431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0.00019214205349592345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0.017292784814633113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0.0038428410699184691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0.056657888024610428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910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65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0.0003602663503048565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0.0003602663503048565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0.00060044391717476082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0.0036026635030485649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0.00096071026747961727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0.0060076415393058736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0.0019511267077036703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0.016091896980283592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0.032827469839778529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0.06276248545538432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0.00722934476278412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0.016812429680893304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0.024041774443677423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0.55639462434834486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0.055639462434834489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0.61203408678317939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0.0038428410699184691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0.002882130802438852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0.005764261604877704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0.0043231962036582782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0.018733850215852537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0.014050387661889404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0.018733850215852537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0.012681375530730949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0.019214205349592346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0.01441065401219426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0.022096336152031198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0.0092228185678043268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0.14595590738684086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208179.30938189256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270633.10219646036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18C2CBCD-4B4B-4E6B-8335-3711DCD349D8}">
      <formula1>$N$2:$N$20</formula1>
    </dataValidation>
    <dataValidation type="list" allowBlank="1" showInputMessage="1" showErrorMessage="1" sqref="G63:G75" xr:uid="{B8086B2D-55A2-4C32-8761-2C46D6CC1BD3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45381.772253923613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552.5</v>
      </c>
      <c r="K6" s="240">
        <f>B6*J6</f>
        <v>2762.5</v>
      </c>
      <c r="L6" s="241">
        <f>(K6)/$G$84</f>
        <v>0.0071971565729824728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3038.75</v>
      </c>
      <c r="K7" s="240">
        <f ref="K7:K9" t="shared" si="2">B7*J7</f>
        <v>24310</v>
      </c>
      <c r="L7" s="241">
        <f>(K7)/$G$84</f>
        <v>0.06333497784224576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1836.25</v>
      </c>
      <c r="K8" s="240">
        <f t="shared" si="2"/>
        <v>5508.75</v>
      </c>
      <c r="L8" s="241">
        <f>(K8)/$G$84</f>
        <v>0.014351976930829754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3640</v>
      </c>
      <c r="K9" s="240">
        <f t="shared" si="2"/>
        <v>7280</v>
      </c>
      <c r="L9" s="241">
        <f>(K9)/$G$84</f>
        <v>0.018966624380565573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39861.25</v>
      </c>
      <c r="L10" s="244">
        <f>Table118[[#Totals],[اجمالي]]/$G$84</f>
        <v>0.10385073572662355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15150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7575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0.0031263666561371826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0.0026053055467809855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0.0011072548573819189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0.0005861937480257217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0.002501093324909746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0.00031263666561371826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0.031263666561371826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0.00010421222187123942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0.0031263666561371826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0.044733096238229519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65</v>
      </c>
      <c r="J31" s="243">
        <f ref="J31:J32" t="shared" si="8">H31*$H$2/1000</f>
        <v>910</v>
      </c>
      <c r="K31" s="240">
        <f ref="K31:K32" t="shared" si="9">B31*J31</f>
        <v>7280</v>
      </c>
      <c r="L31" s="241">
        <f>(K31)/$G$84</f>
        <v>0.018966624380565573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65</v>
      </c>
      <c r="J32" s="243">
        <f t="shared" si="8"/>
        <v>97.5</v>
      </c>
      <c r="K32" s="240">
        <f t="shared" si="9"/>
        <v>3120</v>
      </c>
      <c r="L32" s="251">
        <f>(K32)/$G$84</f>
        <v>0.0081285533059566751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10400</v>
      </c>
      <c r="L33" s="244">
        <f>Table1624[[#Totals],[اجمالي]]/$G$84</f>
        <v>0.02709517768652225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0.0062527333122743651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0.000547114164824007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0.00019539791600857391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0.00019539791600857391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0.00065132638669524638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0.0019539791600857392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0.00052106110935619713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0.023447749921028868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0.028658361014590839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0.0020842444374247885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0.0020842444374247885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0.066591609775722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0.0049012310598817287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0.091185694137334489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0.096086925197216219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0.52783404806436163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0.052783404806436167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0.5806174528707978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0.0031263666561371826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0.0015631833280685913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0.0046895499842057736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0.0031263666561371826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0.010160691632445843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0.010160691632445843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0.010160691632445843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0.0068780066435018021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0.011723874960514434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0.0078159166403429566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0.0059922027575962664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0.005627459981046929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0.081025002504888644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383832.13870463724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498981.78031602845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78F79FF4-45EA-4E7B-8C95-9B624D621DD5}">
      <formula1>$U$4:$U$5</formula1>
    </dataValidation>
    <dataValidation type="list" allowBlank="1" showInputMessage="1" showErrorMessage="1" sqref="F72:F80" xr:uid="{5F441F20-FBC8-41D8-B178-E854C52BA97E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45381.772253958334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552.5</v>
      </c>
      <c r="V6" s="240">
        <f>M6*U6</f>
        <v>1657.5</v>
      </c>
      <c r="W6" s="241">
        <f>(V6)/$R$71</f>
        <v>0.027741083659616441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1852.5</v>
      </c>
      <c r="V7" s="240">
        <f>M7*U7</f>
        <v>4631.25</v>
      </c>
      <c r="W7" s="241">
        <f>(V7)/$R$71</f>
        <v>0.077511851401869475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6288.75</v>
      </c>
      <c r="W8" s="244">
        <f>Table158[[#Totals],[اجمالي]]/$R$71</f>
        <v>0.10525293506148591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0.00669468082283353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0.00284523934970425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0.001255252654281287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0.0020084042468500591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0.040168084937001185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0.052971662010670308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0.00075315159256877213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0.00075315159256877213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0.00041841755142709564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0.002510505308562574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0.0013389361645667062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0.0036996920336711614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0.03765757962843861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0.046025930656980518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0.01338936164566706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0.01338936164566706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0.11993608782011833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0.3908647556656214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0.03908647556656214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0.42995123123218354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0.00669468082283353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0.00669468082283353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0.010042021234250296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0.010042021234250296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0.043515425348417951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0.032636569011313461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0.021757712674208975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0.0441848934307013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0.029289228599896695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0.0769888294625856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0.010042021234250296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0.29188808387554194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59748.927631578947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77673.605921052629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10ACAFC0-0D2C-4C69-9C8E-B2FBEB5936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45381.772254016207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552.5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1852.5</v>
      </c>
      <c r="V7" s="240">
        <f>M7*U7</f>
        <v>7410</v>
      </c>
      <c r="W7" s="241">
        <f>(V7)/$R$71</f>
        <v>0.095797725718398577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7410</v>
      </c>
      <c r="W8" s="244">
        <f>Table15855[[#Totals],[اجمالي]]/$R$71</f>
        <v>0.095797725718398577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0.0051712672452576824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0.002197788579234515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0.00096961260848581546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0.0062055206943092195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0.014544189127287232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1820</v>
      </c>
      <c r="W21" s="241">
        <f>(V21)/$R$71</f>
        <v>0.023529265965922457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780</v>
      </c>
      <c r="W22" s="251">
        <f>(V22)/$R$71</f>
        <v>0.01008397112825248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2600</v>
      </c>
      <c r="W23" s="244">
        <f>Table166241[[#Totals],[اجمالي]]/$R$71</f>
        <v>0.033613237094174936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0.0039129255489116473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0.0005817675650914893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0.0005817675650914893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0.00096961260848581546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0.0058176756509148927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0.0015513801735773049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0.0028578055829055616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0.039818757788484156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0.058176756509148927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0.071104924622293134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0.0018782042634775907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0.0018782042634775907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0.18912978214185963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0.49375259657720355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0.049375259657720355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0.54312785623492388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0.010342534490515365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0.010342534490515365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0.0051712672452576824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0.0077569008678865237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0.016806618547087468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0.012604963910315601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0.031027603471546095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0.029734786660231674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0.12378720968335578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77350.479298245613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100555.6230877193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A8848AB-3A17-41DB-8D03-80022C991C5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482</v>
      </c>
      <c r="I3" s="366">
        <v>2</v>
      </c>
      <c r="J3" s="367">
        <v>75</v>
      </c>
      <c r="K3" s="368">
        <f ref="K3:K10" t="shared" si="0">I3*J3</f>
        <v>150</v>
      </c>
      <c r="M3" s="369" t="s">
        <v>483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9" t="str">
        <f>IF((N6&gt;0),"OK","WAIT")</f>
        <v>OK</v>
      </c>
      <c r="P3" s="365"/>
      <c r="R3" s="340"/>
      <c r="S3" s="383" t="s">
        <v>450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484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483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485</v>
      </c>
      <c r="F4" s="331">
        <f>Sheet2!B43</f>
        <v>160</v>
      </c>
      <c r="H4" s="565" t="s">
        <v>486</v>
      </c>
      <c r="I4" s="366">
        <v>2</v>
      </c>
      <c r="J4" s="367"/>
      <c r="K4" s="368">
        <f t="shared" si="0"/>
        <v>0</v>
      </c>
      <c r="M4" s="369" t="s">
        <v>487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485</v>
      </c>
      <c r="W4" s="331">
        <f>Sheet2!B43</f>
        <v>160</v>
      </c>
      <c r="X4" s="323"/>
      <c r="Y4" s="339" t="s">
        <v>486</v>
      </c>
      <c r="Z4" s="375">
        <v>2</v>
      </c>
      <c r="AA4" s="331">
        <v>15</v>
      </c>
      <c r="AB4" s="331">
        <f t="shared" si="1"/>
        <v>30</v>
      </c>
      <c r="AD4" s="388" t="s">
        <v>487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488</v>
      </c>
      <c r="I5" s="366">
        <v>16</v>
      </c>
      <c r="J5" s="367">
        <v>10</v>
      </c>
      <c r="K5" s="368">
        <f t="shared" si="0"/>
        <v>160</v>
      </c>
      <c r="M5" s="369" t="s">
        <v>489</v>
      </c>
      <c r="N5" s="369">
        <f>IF((تسعير!AL8="خشبي"),'شماسي و كانتليفر'!F8,IF((تسعير!AL8="سادة"),'شماسي و كانتليفر'!F9,0))</f>
        <v>50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490</v>
      </c>
      <c r="Z5" s="375">
        <v>1</v>
      </c>
      <c r="AA5" s="331">
        <v>150</v>
      </c>
      <c r="AB5" s="331">
        <f t="shared" si="1"/>
        <v>150</v>
      </c>
      <c r="AD5" s="388" t="s">
        <v>489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491</v>
      </c>
      <c r="F6" s="331">
        <v>250</v>
      </c>
      <c r="H6" s="565" t="s">
        <v>492</v>
      </c>
      <c r="I6" s="366">
        <v>16</v>
      </c>
      <c r="J6" s="367">
        <v>1</v>
      </c>
      <c r="K6" s="368">
        <f t="shared" si="0"/>
        <v>16</v>
      </c>
      <c r="M6" s="369" t="s">
        <v>493</v>
      </c>
      <c r="N6" s="369">
        <f>(N5+'شماسي و كانتليفر'!F10)*(N4)</f>
        <v>3113.75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494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493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496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496</v>
      </c>
      <c r="B8" s="331">
        <v>2.5</v>
      </c>
      <c r="C8" s="331">
        <v>11.75</v>
      </c>
      <c r="E8" s="331" t="s">
        <v>177</v>
      </c>
      <c r="F8" s="331">
        <f>Table626[[#This Row],[Column2]]</f>
        <v>50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50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496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503</v>
      </c>
      <c r="I9" s="366">
        <v>7</v>
      </c>
      <c r="J9" s="367">
        <v>8</v>
      </c>
      <c r="K9" s="368">
        <f t="shared" si="0"/>
        <v>56</v>
      </c>
      <c r="M9" s="369" t="s">
        <v>504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496</v>
      </c>
      <c r="B10" s="331">
        <v>3.3</v>
      </c>
      <c r="C10" s="331">
        <v>16.5</v>
      </c>
      <c r="E10" s="331" t="s">
        <v>225</v>
      </c>
      <c r="F10" s="331">
        <f>W11</f>
        <v>215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4832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215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517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524</v>
      </c>
      <c r="H17" s="331" t="s">
        <v>525</v>
      </c>
      <c r="I17" s="331">
        <v>5.65</v>
      </c>
      <c r="J17" s="331" t="s">
        <v>526</v>
      </c>
      <c r="K17" s="331" t="s">
        <v>526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527</v>
      </c>
      <c r="F18" s="323" t="s">
        <v>214</v>
      </c>
      <c r="H18" s="331" t="s">
        <v>528</v>
      </c>
      <c r="I18" s="331">
        <v>6.1</v>
      </c>
      <c r="J18" s="331" t="s">
        <v>526</v>
      </c>
      <c r="K18" s="331" t="s">
        <v>526</v>
      </c>
      <c r="P18" s="365"/>
      <c r="R18" s="340"/>
      <c r="V18" s="331" t="s">
        <v>179</v>
      </c>
      <c r="W18" s="339" t="s">
        <v>524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201</v>
      </c>
      <c r="H19" s="331" t="s">
        <v>530</v>
      </c>
      <c r="I19" s="331">
        <v>6.5</v>
      </c>
      <c r="J19" s="331" t="s">
        <v>526</v>
      </c>
      <c r="K19" s="331" t="s">
        <v>526</v>
      </c>
      <c r="P19" s="365"/>
      <c r="R19" s="340"/>
      <c r="V19" s="331" t="s">
        <v>527</v>
      </c>
      <c r="W19" s="339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182</v>
      </c>
      <c r="H20" s="331" t="s">
        <v>531</v>
      </c>
      <c r="I20" s="331">
        <v>7.5</v>
      </c>
      <c r="J20" s="331" t="s">
        <v>526</v>
      </c>
      <c r="K20" s="331" t="s">
        <v>526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535</v>
      </c>
      <c r="E27" s="346" t="s">
        <v>448</v>
      </c>
      <c r="F27" s="345" t="s">
        <v>536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65</v>
      </c>
      <c r="E28" s="324">
        <f>Table12[[#This Row],[سعر]]*Table12[[#This Row],[ميزان]]*Table12[[#This Row],[عدد]]</f>
        <v>10140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65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65</v>
      </c>
      <c r="E30" s="324">
        <f>Table12[[#This Row],[سعر]]*Table12[[#This Row],[ميزان]]*Table12[[#This Row],[عدد]]</f>
        <v>3640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77</v>
      </c>
      <c r="E31" s="324">
        <f>Table12[[#This Row],[سعر]]*Table12[[#This Row],[ميزان]]*Table12[[#This Row],[عدد]]</f>
        <v>2310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77</v>
      </c>
      <c r="E32" s="324">
        <f>Table12[[#This Row],[سعر]]*Table12[[#This Row],[ميزان]]*Table12[[#This Row],[عدد]]</f>
        <v>7084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65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58318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65</v>
      </c>
      <c r="E50" s="350">
        <f>Table12[[#This Row],[سعر]]*Table12[[#This Row],[ميزان]]*Table12[[#This Row],[عدد]]</f>
        <v>2600</v>
      </c>
      <c r="J50" s="213" t="s">
        <v>155</v>
      </c>
      <c r="K50" s="214"/>
      <c r="L50" s="211"/>
      <c r="M50" s="290"/>
      <c r="N50" s="291">
        <f>N49+N48</f>
        <v>58318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75813.400000000009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65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39473</v>
      </c>
      <c r="F54" s="353">
        <f>Table12[[#Totals],[Column5]]/(تسعير!T54*تسعير!T55/10000)</f>
        <v>1578.92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535</v>
      </c>
      <c r="E60" s="346" t="s">
        <v>448</v>
      </c>
      <c r="F60" s="345" t="s">
        <v>536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65</v>
      </c>
      <c r="E61" s="324">
        <f>Table1257[[#This Row],[سعر]]*Table1257[[#This Row],[ميزان]]*Table1257[[#This Row],[عدد]]</f>
        <v>10140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65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65</v>
      </c>
      <c r="E63" s="324">
        <f>Table1257[[#This Row],[سعر]]*Table1257[[#This Row],[ميزان]]*Table1257[[#This Row],[عدد]]</f>
        <v>3640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77</v>
      </c>
      <c r="E64" s="324">
        <f>Table1257[[#This Row],[سعر]]*Table1257[[#This Row],[ميزان]]*Table1257[[#This Row],[عدد]]</f>
        <v>6930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77</v>
      </c>
      <c r="E65" s="324">
        <f>Table1257[[#This Row],[سعر]]*Table1257[[#This Row],[ميزان]]*Table1257[[#This Row],[عدد]]</f>
        <v>7084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65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70528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70528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65</v>
      </c>
      <c r="E84" s="350">
        <f>Table1257[[#This Row],[سعر]]*Table1257[[#This Row],[ميزان]]*Table1257[[#This Row],[عدد]]</f>
        <v>1950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95212.8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65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44878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79D9AC71-D398-4D67-83EE-DEE22D0D9E1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45381.772254097225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60950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45381.772254097225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4505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4505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3705</v>
      </c>
      <c r="V6" s="240">
        <f>M6*U6</f>
        <v>3705</v>
      </c>
      <c r="W6" s="241">
        <f>(V6)/$R$68</f>
        <v>0.016082718565447549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3705</v>
      </c>
      <c r="BQ6" s="240">
        <f>BH6*BP6</f>
        <v>3705</v>
      </c>
      <c r="BR6" s="241">
        <f>(BQ6)/$R$68</f>
        <v>0.016082718565447549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2405</v>
      </c>
      <c r="V7" s="240">
        <f>M7*U7</f>
        <v>9620</v>
      </c>
      <c r="W7" s="241">
        <f>(V7)/$R$68</f>
        <v>0.041758637678705919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2405</v>
      </c>
      <c r="BQ7" s="240">
        <f>BH7*BP7</f>
        <v>9620</v>
      </c>
      <c r="BR7" s="241">
        <f>(BQ7)/$R$68</f>
        <v>0.041758637678705919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325</v>
      </c>
      <c r="V8" s="240">
        <f>M8*U8</f>
        <v>1300</v>
      </c>
      <c r="W8" s="241">
        <f>(V8)/$R$68</f>
        <v>0.0056430591457710694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325</v>
      </c>
      <c r="BQ8" s="240">
        <f>BH8*BP8</f>
        <v>1300</v>
      </c>
      <c r="BR8" s="241">
        <f>(BQ8)/$R$68</f>
        <v>0.0056430591457710694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5460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5460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14625</v>
      </c>
      <c r="W11" s="244">
        <f>Table15880[[#Totals],[اجمالي]]/$R$68</f>
        <v>0.063484415389924539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14625</v>
      </c>
      <c r="BR11" s="244">
        <f>Table1588090[[#Totals],[اجمالي]]/$R$68</f>
        <v>0.063484415389924539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0.0034726517820129659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5130.4825</v>
      </c>
      <c r="AX14" s="194"/>
      <c r="AY14" s="194"/>
      <c r="AZ14" s="194"/>
      <c r="BA14" s="194">
        <f>SUBTOTAL(109,Table8091[price])</f>
        <v>93281.5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0.0034726517820129659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0.00073793850367775526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0.00073793850367775526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0.00032556110456371558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0.00032556110456371558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0.00208359106920778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0.00208359106920778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0.0066197424594622162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0.0066197424594622162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780</v>
      </c>
      <c r="V22" s="240">
        <f>M22*U22</f>
        <v>1560</v>
      </c>
      <c r="W22" s="249">
        <f>(V22)/$R$68</f>
        <v>0.0067716709749252833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780</v>
      </c>
      <c r="BQ22" s="240">
        <f>BH22*BP22</f>
        <v>1560</v>
      </c>
      <c r="BR22" s="249">
        <f>(BQ22)/$R$68</f>
        <v>0.0067716709749252833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455</v>
      </c>
      <c r="V23" s="240">
        <f>M23*U23</f>
        <v>910</v>
      </c>
      <c r="W23" s="241">
        <f>(V23)/$R$68</f>
        <v>0.0039501414020397486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455</v>
      </c>
      <c r="BQ23" s="240">
        <f>BH23*BP23</f>
        <v>910</v>
      </c>
      <c r="BR23" s="241">
        <f>(BQ23)/$R$68</f>
        <v>0.0039501414020397486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48.75</v>
      </c>
      <c r="V24" s="240">
        <f>M24*U24</f>
        <v>390</v>
      </c>
      <c r="W24" s="251">
        <f>(V24)/$R$68</f>
        <v>0.0016929177437313208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48.75</v>
      </c>
      <c r="BQ24" s="240">
        <f>BH24*BP24</f>
        <v>390</v>
      </c>
      <c r="BR24" s="251">
        <f>(BQ24)/$R$68</f>
        <v>0.0016929177437313208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2860</v>
      </c>
      <c r="W25" s="244">
        <f>Table166273[[#Totals],[اجمالي]]/$R$68</f>
        <v>0.012414730120696353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2860</v>
      </c>
      <c r="BR25" s="244">
        <f>Table16627383[[#Totals],[اجمالي]]/$R$68</f>
        <v>0.012414730120696353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0.0039240965136746525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0.0039240965136746525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0.00026044888365097247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0.0002344039952858752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0.00026044888365097247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0.0002344039952858752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0.00017363258910064829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0.00010852036818790518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0.00065112220912743116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0.00065112220912743116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0.00034726517820129658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0.00034726517820129658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0.01193724050066957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0.01193724050066957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0.0031904988247244124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0.0031904988247244124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0.01549670857723286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0.01549670857723286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0.021269992164829415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0.036124260162389878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0.057511454324862231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93281.5</v>
      </c>
      <c r="BQ46" s="252">
        <f>BH46*Table1613687787[[#This Row],[سعر الشبك ]]</f>
        <v>93281.5</v>
      </c>
      <c r="BR46" s="241">
        <f>(BQ46)/$R$68</f>
        <v>0.40491770900480312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0.65880545119513478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93281.5</v>
      </c>
      <c r="BQ47" s="240">
        <f>BH47*Table1613687787[[#This Row],[سعر الشبك ]]</f>
        <v>9328.15</v>
      </c>
      <c r="BR47" s="241">
        <f>(BQ47)/$R$68</f>
        <v>0.040491770900480312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0.1647013627987837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102609.65</v>
      </c>
      <c r="BR48" s="244">
        <f>Table1613687787[[#Totals],[اجمالي]]/$R$68</f>
        <v>0.4454094799052834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0.82350681399391856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0.0016061014491809968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0.0017363258910064829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0.0016061014491809968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0.0017363258910064829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0.0048183043475429907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0.0052089776730194493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0.010765220524240195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0.0069453035640259318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0.0080739153931801456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0.0052089776730194493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0.010765220524240195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0.0069453035640259318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0.011459750880642787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0.0097668331369114673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0.019967747746574553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0.0086816294550324143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0.0036462843711136143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0.082475479822807937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0.036462843711136145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148941.65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230371.5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193624.145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345557.25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65000</v>
      </c>
      <c r="T73" s="303">
        <f>Sheet2!B13</f>
        <v>75000</v>
      </c>
      <c r="U73" s="303">
        <f>Sheet2!B14</f>
        <v>215000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45381.772254143521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425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45381.772254143521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60950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4505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4505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5460</v>
      </c>
      <c r="BQ76" s="240">
        <f>BH76*BP76</f>
        <v>10920</v>
      </c>
      <c r="BR76" s="241">
        <f>(BQ76)/$R$68</f>
        <v>0.047401696824476987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5460</v>
      </c>
      <c r="V77" s="240">
        <f>M77*U77</f>
        <v>21840</v>
      </c>
      <c r="W77" s="241">
        <f>(V77)/$R$68</f>
        <v>0.094803393648953974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2405</v>
      </c>
      <c r="BQ77" s="240">
        <f>BH77*BP77</f>
        <v>9620</v>
      </c>
      <c r="BR77" s="241">
        <f>(BQ77)/$R$68</f>
        <v>0.041758637678705919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2405</v>
      </c>
      <c r="V78" s="240">
        <f>M78*U78</f>
        <v>9620</v>
      </c>
      <c r="W78" s="241">
        <f>(V78)/$R$68</f>
        <v>0.041758637678705919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325</v>
      </c>
      <c r="BQ78" s="240">
        <f>BH78*BP78</f>
        <v>1300</v>
      </c>
      <c r="BR78" s="241">
        <f>(BQ78)/$R$68</f>
        <v>0.0056430591457710694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325</v>
      </c>
      <c r="V79" s="240">
        <f>M79*U79</f>
        <v>1300</v>
      </c>
      <c r="W79" s="241">
        <f>(V79)/$R$68</f>
        <v>0.0056430591457710694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5460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5460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21840</v>
      </c>
      <c r="BR81" s="244">
        <f>Table15880101112[[#Totals],[اجمالي]]/$R$68</f>
        <v>0.094803393648953974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32760</v>
      </c>
      <c r="W82" s="244">
        <f>Table15880101[[#Totals],[اجمالي]]/$R$68</f>
        <v>0.14220509047343097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0.0052089776730194493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0.0034726517820129659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5130.4825</v>
      </c>
      <c r="AX85" s="310"/>
      <c r="AY85" s="310"/>
      <c r="AZ85" s="310"/>
      <c r="BA85" s="310">
        <f>SUBTOTAL(109,Table80102113[price])</f>
        <v>93281.5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0.00073793850367775526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0.00073793850367775526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0.00032556110456371558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0.00032556110456371558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0.00208359106920778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0.020835910692077797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0.0083560683504686987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0.025372062082332232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780</v>
      </c>
      <c r="BQ92" s="240">
        <f>BH92*BP92</f>
        <v>3120</v>
      </c>
      <c r="BR92" s="249">
        <f>(BQ92)/$R$68</f>
        <v>0.013543341949850567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780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455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455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48.75</v>
      </c>
      <c r="BQ94" s="240">
        <f>BH94*BP94</f>
        <v>780</v>
      </c>
      <c r="BR94" s="251">
        <f>(BQ94)/$R$68</f>
        <v>0.0033858354874626417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48.75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3900</v>
      </c>
      <c r="BR95" s="244">
        <f>Table16627394105[[#Totals],[اجمالي]]/$R$68</f>
        <v>0.01692917743731321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0.0044044800101864451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0.0057356631932914152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0.0002344039952858752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0.00026044888365097247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0.0002344039952858752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0.00026044888365097247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0.00010852036818790518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0.00017363258910064829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0.00065112220912743116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0.00065112220912743116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0.00034726517820129658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0.00034726517820129658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0.0054260184093952593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0.0054260184093952593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0.0027347132783352109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0.0027347132783352109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0.017710524088266125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0.022138155110332659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0.031851451532271424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0.037727467735085861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93281.5</v>
      </c>
      <c r="BQ117" s="252">
        <f>BH117*Table1613687798109[[#This Row],[سعر الشبك ]]</f>
        <v>93281.5</v>
      </c>
      <c r="BR117" s="241">
        <f>(BQ117)/$R$68</f>
        <v>0.40491770900480312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0.53631634121408245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93281.5</v>
      </c>
      <c r="BQ118" s="240">
        <f>BH118*Table1613687798109[[#This Row],[سعر الشبك ]]</f>
        <v>9328.15</v>
      </c>
      <c r="BR118" s="241">
        <f>(BQ118)/$R$68</f>
        <v>0.040491770900480312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0.053631634121408249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102609.65</v>
      </c>
      <c r="BR119" s="244">
        <f>Table1613687798109[[#Totals],[اجمالي]]/$R$68</f>
        <v>0.4454094799052834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0.58994797533549082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0.0016061014491809968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0.0017363258910064829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0.0016061014491809968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0.0017363258910064829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0.0048183043475429907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0.0052089776730194493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0.010765220524240195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0.011286118291542139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0.0080739153931801456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0.008464588718656605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0.010765220524240195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0.011286118291542139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0.011459750880642787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0.011459750880642787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0.0097668331369114673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0.0097668331369114673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0.019967747746574553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0.019967747746574553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0.0036462843711136143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0.0036462843711136143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0.082475479822807937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0.084559070892015725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156612.31666666665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202683.53333333336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203596.01166666666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263488.59333333338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90C0B94-E310-4584-85F9-E5F4EDB0E994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425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Φωτισμου'!B9</f>
        <v>5</v>
      </c>
    </row>
    <row r="19" ht="18" customHeight="1">
      <c r="A19" s="637" t="s">
        <v>432</v>
      </c>
      <c r="B19" s="638"/>
      <c r="C19" s="14">
        <f>'Format Φωτισμου'!B12</f>
        <v>15</v>
      </c>
    </row>
    <row r="20" ht="18" customHeight="1">
      <c r="A20" s="637" t="s">
        <v>433</v>
      </c>
      <c r="B20" s="638"/>
      <c r="C20" s="14">
        <f>C19/C18</f>
        <v>3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309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