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<sst xmlns="http://schemas.openxmlformats.org/spreadsheetml/2006/main" count="596" uniqueCount="596">
  <si>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</si>
  <si>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</si>
  <si>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</si>
  <si>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</si>
  <si>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</si>
  <si>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</si>
  <si>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</si>
  <si>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</si>
  <si>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</si>
  <si>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</si>
  <si>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</si>
  <si>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</si>
  <si>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</si>
  <si>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</si>
  <si>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</si>
  <si>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</si>
  <si>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</si>
  <si>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</si>
  <si>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</si>
  <si>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</si>
  <si>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</si>
  <si>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</si>
  <si>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</si>
  <si>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</si>
  <si>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</si>
  <si>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</si>
  <si>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</si>
  <si>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</si>
  <si>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</si>
  <si>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</si>
  <si>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</si>
  <si>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</si>
  <si>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</si>
  <si>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</si>
  <si>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</si>
  <si>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</si>
  <si>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</si>
  <si>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</si>
  <si>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</si>
  <si>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</si>
  <si>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</si>
  <si>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</si>
  <si>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</si>
  <si>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</si>
  <si>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</si>
  <si>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</si>
  <si>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</si>
  <si>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</si>
  <si>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</si>
  <si>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</si>
  <si>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</si>
  <si>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</si>
  <si>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</si>
  <si>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</si>
  <si>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</si>
  <si>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</si>
  <si>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</si>
  <si>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</si>
  <si>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</si>
  <si>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</si>
  <si>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</si>
  <si>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</si>
  <si>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</si>
  <si>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</si>
  <si>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</si>
  <si>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</si>
  <si>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</si>
  <si>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</si>
  <si>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</si>
  <si>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</si>
  <si>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</si>
  <si>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</si>
  <si>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</si>
  <si>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</si>
  <si>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</si>
  <si>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</si>
  <si>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</si>
  <si>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</si>
  <si>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</si>
  <si>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</si>
  <si>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</si>
  <si>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</si>
  <si>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</si>
  <si>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</si>
  <si>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</si>
  <si>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</si>
  <si>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</si>
  <si>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</si>
  <si>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</si>
  <si>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</si>
  <si>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</si>
  <si>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</si>
  <si>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</si>
  <si>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</si>
  <si>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</si>
  <si>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</si>
  <si>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</si>
  <si>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</si>
  <si>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</si>
  <si>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</si>
  <si>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</si>
  <si>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</si>
  <si>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</si>
  <si>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</si>
  <si>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</si>
  <si>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</si>
  <si>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</si>
  <si>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</si>
  <si>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</si>
  <si>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</si>
  <si>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</si>
  <si>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</si>
  <si>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</si>
  <si>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</si>
  <si>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</si>
  <si>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</si>
  <si>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</si>
  <si>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</si>
  <si>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</si>
  <si>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</si>
  <si>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</si>
  <si>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</si>
  <si>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</si>
  <si>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</si>
  <si>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</si>
  <si>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</si>
  <si>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</si>
  <si>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</si>
  <si>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</si>
  <si>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</si>
  <si>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</si>
  <si>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</si>
  <si>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</si>
  <si>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</si>
  <si>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</si>
  <si>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</si>
  <si>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</si>
  <si>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</si>
  <si>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</si>
  <si>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</si>
  <si>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</si>
  <si>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</si>
  <si>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</si>
  <si>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</si>
  <si>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</si>
  <si>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</si>
  <si>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</si>
  <si>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</si>
  <si>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</si>
  <si>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</si>
  <si>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</si>
  <si>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</si>
  <si>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</si>
  <si>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</si>
  <si>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</si>
  <si>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</si>
  <si>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</si>
  <si>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</si>
  <si>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</si>
  <si>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</si>
  <si>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</si>
  <si>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</si>
  <si>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</si>
  <si>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</si>
  <si>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</si>
  <si>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</si>
  <si>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</si>
  <si>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</si>
  <si>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</si>
  <si>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</si>
  <si>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</si>
  <si>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</si>
  <si>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</si>
  <si>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</si>
  <si>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</si>
  <si>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</si>
  <si>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</si>
  <si>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</si>
  <si>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</si>
  <si>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</si>
  <si>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</si>
  <si>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</si>
  <si>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</si>
  <si>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</si>
  <si>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</si>
  <si>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</si>
  <si>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</si>
  <si>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</si>
  <si>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</si>
  <si>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</si>
  <si>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</si>
  <si>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</si>
  <si>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</si>
  <si>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</si>
  <si>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</si>
  <si>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</si>
  <si>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</si>
  <si>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</si>
  <si>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</si>
  <si>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</si>
  <si>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</si>
  <si>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</si>
  <si>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</si>
  <si>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</si>
  <si>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</si>
  <si>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</si>
  <si>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</si>
  <si>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</si>
  <si>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</si>
  <si>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</si>
  <si>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</si>
  <si>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C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</si>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</sst>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219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220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221</v>
      </c>
      <c r="B10" s="568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50000</v>
      </c>
    </row>
    <row r="13">
      <c r="A13" s="233" t="s">
        <v>225</v>
      </c>
      <c r="B13" s="233">
        <v>55000</v>
      </c>
    </row>
    <row r="14">
      <c r="A14" s="558" t="s">
        <v>226</v>
      </c>
      <c r="B14" s="233">
        <v>215000</v>
      </c>
    </row>
    <row r="15">
      <c r="A15" s="233" t="s">
        <v>227</v>
      </c>
      <c r="B15" s="233">
        <v>55000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230</v>
      </c>
      <c r="B33" s="233">
        <v>11000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450</v>
      </c>
    </row>
    <row r="43" ht="18.75">
      <c r="A43" s="331" t="s">
        <v>240</v>
      </c>
      <c r="B43" s="233">
        <v>160</v>
      </c>
    </row>
    <row r="44" ht="18.75">
      <c r="A44" s="331" t="s">
        <v>241</v>
      </c>
      <c r="B44" s="233">
        <v>175</v>
      </c>
    </row>
    <row r="45">
      <c r="A45" s="558" t="s">
        <v>242</v>
      </c>
      <c r="B45" s="233">
        <v>4000</v>
      </c>
    </row>
    <row r="46">
      <c r="A46" s="558" t="s">
        <v>243</v>
      </c>
      <c r="B46" s="233">
        <v>3000</v>
      </c>
    </row>
    <row r="47">
      <c r="A47" s="233" t="s">
        <v>244</v>
      </c>
      <c r="B47" s="233">
        <v>160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58" t="s">
        <v>251</v>
      </c>
      <c r="B54" s="233">
        <v>1200</v>
      </c>
    </row>
    <row r="55">
      <c r="A55" s="537" t="s">
        <v>252</v>
      </c>
      <c r="B55" s="233">
        <v>23000</v>
      </c>
    </row>
    <row r="56">
      <c r="A56" s="537" t="s">
        <v>253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366</v>
      </c>
      <c r="O7" s="99">
        <f>AA41/K7</f>
        <v>2895.7462160158993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 (2)'!B9</f>
        <v>5</v>
      </c>
    </row>
    <row r="19" ht="18" customHeight="1">
      <c r="A19" s="637" t="s">
        <v>433</v>
      </c>
      <c r="B19" s="638"/>
      <c r="C19" s="14">
        <f>'Format Φωτισμου (2)'!B12</f>
        <v>35</v>
      </c>
    </row>
    <row r="20" ht="18" customHeight="1">
      <c r="A20" s="637" t="s">
        <v>434</v>
      </c>
      <c r="B20" s="638"/>
      <c r="C20" s="14">
        <f>C19/C18</f>
        <v>7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359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360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358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361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254</v>
      </c>
      <c r="B6" s="683"/>
      <c r="C6" s="684"/>
      <c r="D6" s="676" t="s">
        <v>362</v>
      </c>
      <c r="E6" s="745" t="s">
        <v>363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365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366</v>
      </c>
      <c r="O7" s="99">
        <f>AA41/K7</f>
        <v>2110.4132453090647</v>
      </c>
      <c r="S7" s="60" t="s">
        <v>127</v>
      </c>
      <c r="T7" s="61" t="s">
        <v>367</v>
      </c>
      <c r="Z7" s="151"/>
      <c r="AA7" s="60"/>
      <c r="AB7" s="60"/>
    </row>
    <row r="8">
      <c r="A8" s="685"/>
      <c r="B8" s="686"/>
      <c r="C8" s="687"/>
      <c r="D8" s="677"/>
      <c r="E8" s="722" t="s">
        <v>368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370</v>
      </c>
      <c r="B10" s="726"/>
      <c r="C10" s="726"/>
      <c r="D10" s="726"/>
      <c r="E10" s="726"/>
      <c r="F10" s="726"/>
      <c r="G10" s="727" t="s">
        <v>371</v>
      </c>
      <c r="H10" s="727"/>
      <c r="I10" s="727" t="s">
        <v>372</v>
      </c>
      <c r="J10" s="727"/>
      <c r="K10" s="104"/>
      <c r="L10" s="728" t="s">
        <v>307</v>
      </c>
      <c r="M10" s="728"/>
      <c r="N10" s="728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29" t="s">
        <v>378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379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380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281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381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382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383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384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385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386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310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387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371</v>
      </c>
      <c r="M20" s="715" t="s">
        <v>388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389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390</v>
      </c>
      <c r="B23" s="703"/>
      <c r="C23" s="703"/>
      <c r="D23" s="703"/>
      <c r="E23" s="704"/>
      <c r="F23" s="67" t="s">
        <v>391</v>
      </c>
      <c r="G23" s="68"/>
      <c r="H23" s="702" t="s">
        <v>392</v>
      </c>
      <c r="I23" s="703"/>
      <c r="J23" s="703"/>
      <c r="K23" s="703"/>
      <c r="L23" s="704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397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298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398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231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399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400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401</v>
      </c>
      <c r="C27" s="689"/>
      <c r="D27" s="689"/>
      <c r="E27" s="690"/>
      <c r="F27" s="73">
        <v>4</v>
      </c>
      <c r="G27" s="71"/>
      <c r="H27" s="72">
        <v>19</v>
      </c>
      <c r="I27" s="691" t="s">
        <v>402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403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404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405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232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406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233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407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408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409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410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411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412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413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234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414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235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415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416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417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418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236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419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420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291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292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6" t="s">
        <v>288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6" t="s">
        <v>288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59" t="s">
        <v>299</v>
      </c>
      <c r="K1" s="760"/>
      <c r="L1" s="760"/>
      <c r="M1" s="761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338</v>
      </c>
      <c r="D17" s="763"/>
      <c r="E17" s="763"/>
      <c r="F17" s="764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341</v>
      </c>
      <c r="B29" s="766"/>
      <c r="C29" s="766"/>
      <c r="D29" s="766"/>
      <c r="E29" s="766"/>
      <c r="F29" s="766"/>
      <c r="G29" s="766"/>
      <c r="H29" s="767"/>
      <c r="I29" s="765" t="s">
        <v>342</v>
      </c>
      <c r="J29" s="766"/>
      <c r="K29" s="766"/>
      <c r="L29" s="766"/>
      <c r="M29" s="766"/>
      <c r="N29" s="766"/>
      <c r="O29" s="766"/>
      <c r="P29" s="767"/>
      <c r="Q29" s="765" t="s">
        <v>343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344</v>
      </c>
      <c r="B31" s="754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3" t="s">
        <v>344</v>
      </c>
      <c r="J31" s="754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5" t="s">
        <v>344</v>
      </c>
      <c r="R31" s="756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7" t="s">
        <v>345</v>
      </c>
      <c r="B32" s="758"/>
      <c r="C32" s="758"/>
      <c r="D32" s="34"/>
      <c r="E32" s="34"/>
      <c r="F32" s="38"/>
      <c r="G32" s="34"/>
      <c r="H32" s="35"/>
      <c r="I32" s="757" t="s">
        <v>347</v>
      </c>
      <c r="J32" s="758"/>
      <c r="K32" s="758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264</v>
      </c>
      <c r="B1" s="769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0"/>
      <c r="B2" s="771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255</v>
      </c>
      <c r="L5" s="10" t="s">
        <v>273</v>
      </c>
    </row>
    <row r="6">
      <c r="A6" s="770"/>
      <c r="B6" s="771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277</v>
      </c>
      <c r="B10" s="775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6"/>
      <c r="B11" s="777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6"/>
      <c r="B14" s="777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78"/>
      <c r="B16" s="779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280</v>
      </c>
      <c r="B19" s="781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2"/>
      <c r="B20" s="783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2"/>
      <c r="B23" s="783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6" t="s">
        <v>288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6" t="s">
        <v>288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20561.875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199</v>
      </c>
      <c r="AH28" s="579" t="s">
        <v>200</v>
      </c>
      <c r="AI28" s="579" t="s">
        <v>169</v>
      </c>
      <c r="AJ28" s="579" t="s">
        <v>201</v>
      </c>
      <c r="AK28" s="579" t="s">
        <v>182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 t="e">
        <f>'بيرسا و لوفرز'!BM68</f>
        <v>#DIV/0!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 t="e">
        <f>AT42/(AT53*AT54/10000)</f>
        <v>#DIV/0!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211</v>
      </c>
      <c r="AZ45" s="493">
        <f>AT53</f>
        <v>600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250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192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600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250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 t="e">
        <f>('بيرسا و لوفرز'!BA14+'بيرسا و لوفرز'!BP62+'بيرسا و لوفرز'!BQ54)*1.35</f>
        <v>#DIV/0!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 t="e">
        <f>AS57/(AT53*AT54/10000)</f>
        <v>#DIV/0!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216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217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218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259</v>
      </c>
      <c r="I7" s="786"/>
      <c r="J7" s="786"/>
      <c r="K7" s="787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263</v>
      </c>
      <c r="I15" s="786"/>
      <c r="J15" s="786"/>
      <c r="K15" s="787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45427.832612175924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45427.832612175924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45427.832612175924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45427.832612175924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1" t="s">
        <v>468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471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476</v>
      </c>
      <c r="B2" s="324" t="s">
        <v>198</v>
      </c>
      <c r="C2" s="324" t="s">
        <v>477</v>
      </c>
      <c r="E2" s="324" t="s">
        <v>9</v>
      </c>
      <c r="F2" s="323" t="s">
        <v>30</v>
      </c>
      <c r="H2" s="329" t="s">
        <v>9</v>
      </c>
      <c r="I2" s="361" t="s">
        <v>478</v>
      </c>
      <c r="J2" s="362" t="s">
        <v>479</v>
      </c>
      <c r="K2" s="363" t="s">
        <v>480</v>
      </c>
      <c r="M2" s="364" t="s">
        <v>481</v>
      </c>
      <c r="N2" s="364" t="s">
        <v>482</v>
      </c>
      <c r="O2" s="0" t="s">
        <v>9</v>
      </c>
      <c r="P2" s="365"/>
      <c r="R2" s="340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5"/>
    </row>
    <row r="3" ht="22.5" customHeight="1">
      <c r="A3" s="330" t="s">
        <v>483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451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483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483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483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498</v>
      </c>
      <c r="I7" s="366">
        <v>2</v>
      </c>
      <c r="J7" s="367">
        <v>80</v>
      </c>
      <c r="K7" s="368">
        <f t="shared" si="0"/>
        <v>160</v>
      </c>
      <c r="M7" s="369" t="s">
        <v>499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500</v>
      </c>
      <c r="Z7" s="375">
        <v>1</v>
      </c>
      <c r="AA7" s="331">
        <v>150</v>
      </c>
      <c r="AB7" s="331">
        <f t="shared" si="1"/>
        <v>150</v>
      </c>
      <c r="AD7" s="388" t="s">
        <v>499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501</v>
      </c>
      <c r="I8" s="366">
        <v>2</v>
      </c>
      <c r="J8" s="367">
        <v>20</v>
      </c>
      <c r="K8" s="368">
        <f t="shared" si="0"/>
        <v>40</v>
      </c>
      <c r="M8" s="369" t="s">
        <v>502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503</v>
      </c>
      <c r="Z8" s="375">
        <v>2</v>
      </c>
      <c r="AA8" s="331">
        <v>50</v>
      </c>
      <c r="AB8" s="331">
        <f t="shared" si="1"/>
        <v>100</v>
      </c>
      <c r="AD8" s="388" t="s">
        <v>502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504</v>
      </c>
      <c r="I9" s="366">
        <v>7</v>
      </c>
      <c r="J9" s="367">
        <v>8</v>
      </c>
      <c r="K9" s="368">
        <f t="shared" si="0"/>
        <v>56</v>
      </c>
      <c r="M9" s="369" t="s">
        <v>505</v>
      </c>
      <c r="N9" s="369">
        <f>N8*N7</f>
        <v>7695.0000000000009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506</v>
      </c>
      <c r="Z9" s="375">
        <v>36</v>
      </c>
      <c r="AA9" s="331">
        <v>25</v>
      </c>
      <c r="AB9" s="331">
        <f t="shared" si="1"/>
        <v>900</v>
      </c>
      <c r="AD9" s="388" t="s">
        <v>505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226</v>
      </c>
      <c r="F10" s="331">
        <f>W11</f>
        <v>215</v>
      </c>
      <c r="H10" s="565" t="s">
        <v>507</v>
      </c>
      <c r="I10" s="366">
        <v>8</v>
      </c>
      <c r="J10" s="367">
        <v>50</v>
      </c>
      <c r="K10" s="368">
        <f t="shared" si="0"/>
        <v>400</v>
      </c>
      <c r="M10" s="369" t="s">
        <v>508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4382</v>
      </c>
      <c r="O10" s="369"/>
      <c r="P10" s="365"/>
      <c r="R10" s="340"/>
      <c r="S10" s="331"/>
      <c r="T10" s="331"/>
      <c r="U10" s="323"/>
      <c r="V10" s="331" t="s">
        <v>509</v>
      </c>
      <c r="W10" s="331">
        <v>90</v>
      </c>
      <c r="X10" s="323"/>
      <c r="Y10" s="339" t="s">
        <v>510</v>
      </c>
      <c r="Z10" s="375">
        <v>1</v>
      </c>
      <c r="AA10" s="331">
        <v>75</v>
      </c>
      <c r="AB10" s="331">
        <f t="shared" si="1"/>
        <v>75</v>
      </c>
      <c r="AD10" s="388" t="s">
        <v>508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511</v>
      </c>
      <c r="F11" s="333">
        <v>450</v>
      </c>
      <c r="H11" s="374" t="s">
        <v>512</v>
      </c>
      <c r="I11" s="370"/>
      <c r="J11" s="371"/>
      <c r="K11" s="372">
        <v>250</v>
      </c>
      <c r="M11" s="369" t="s">
        <v>513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215</v>
      </c>
      <c r="X11" s="323"/>
      <c r="Y11" s="339" t="s">
        <v>514</v>
      </c>
      <c r="Z11" s="375">
        <v>1</v>
      </c>
      <c r="AA11" s="331">
        <v>75</v>
      </c>
      <c r="AB11" s="331">
        <f t="shared" si="1"/>
        <v>75</v>
      </c>
      <c r="AD11" s="388" t="s">
        <v>513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515</v>
      </c>
      <c r="F12" s="335">
        <v>450</v>
      </c>
      <c r="H12" s="373" t="s">
        <v>516</v>
      </c>
      <c r="I12" s="366"/>
      <c r="J12" s="367"/>
      <c r="K12" s="373">
        <v>2700</v>
      </c>
      <c r="M12" s="369" t="s">
        <v>517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511</v>
      </c>
      <c r="W12" s="331">
        <v>500</v>
      </c>
      <c r="X12" s="323"/>
      <c r="Y12" s="388" t="s">
        <v>516</v>
      </c>
      <c r="Z12" s="375"/>
      <c r="AA12" s="331"/>
      <c r="AB12" s="217">
        <f>Sheet2!B45</f>
        <v>4000</v>
      </c>
      <c r="AD12" s="388" t="s">
        <v>518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519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518</v>
      </c>
      <c r="N13" s="369">
        <f>IF(تسعير!AI8="نصف جملة",((N6+N9+N10+N11+تسعير!AO8)*1.275),IF(تسعير!AI8="جملة",(((N6+N9+N10+N11+تسعير!AO8)*1.25)),((N6+N9+N10+N11+تسعير!AO8)*1.3)))</f>
        <v>20561.875</v>
      </c>
      <c r="O13" s="369"/>
      <c r="P13" s="365"/>
      <c r="R13" s="340"/>
      <c r="S13" s="323"/>
      <c r="T13" s="323"/>
      <c r="U13" s="323"/>
      <c r="V13" s="331" t="s">
        <v>515</v>
      </c>
      <c r="W13" s="331">
        <v>500</v>
      </c>
      <c r="X13" s="323"/>
      <c r="Y13" s="339" t="s">
        <v>520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519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16449.5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525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5"/>
    </row>
    <row r="18" ht="18.75">
      <c r="A18" s="340"/>
      <c r="E18" s="324" t="s">
        <v>179</v>
      </c>
      <c r="F18" s="323" t="s">
        <v>215</v>
      </c>
      <c r="H18" s="331" t="s">
        <v>528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525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179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182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477</v>
      </c>
      <c r="C27" s="345" t="s">
        <v>29</v>
      </c>
      <c r="D27" s="345" t="s">
        <v>536</v>
      </c>
      <c r="E27" s="346" t="s">
        <v>449</v>
      </c>
      <c r="F27" s="345" t="s">
        <v>537</v>
      </c>
      <c r="G27" s="345" t="s">
        <v>443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477</v>
      </c>
      <c r="C60" s="345" t="s">
        <v>29</v>
      </c>
      <c r="D60" s="345" t="s">
        <v>536</v>
      </c>
      <c r="E60" s="346" t="s">
        <v>449</v>
      </c>
      <c r="F60" s="345" t="s">
        <v>537</v>
      </c>
      <c r="G60" s="345" t="s">
        <v>443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426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15</v>
      </c>
      <c r="AX1" s="190" t="s">
        <v>426</v>
      </c>
      <c r="AY1" s="191">
        <f>تسعير!$AT$54</f>
        <v>250</v>
      </c>
      <c r="AZ1" s="190" t="s">
        <v>125</v>
      </c>
      <c r="BA1" s="191">
        <f>تسعير!$AT$53</f>
        <v>600</v>
      </c>
      <c r="BB1" s="192"/>
      <c r="BC1" s="192"/>
      <c r="BD1" s="192" t="str">
        <f>تسعير!AT52</f>
        <v>قواعد عادية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45427.832612361111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15</v>
      </c>
      <c r="AX3" s="197">
        <f>BA1-16.5</f>
        <v>583.5</v>
      </c>
      <c r="AY3" s="194" t="s">
        <v>564</v>
      </c>
      <c r="AZ3" s="194">
        <v>2</v>
      </c>
      <c r="BA3" s="194" t="e">
        <f>IF((تسعير!$AT$46="سادة"),(BE3*BC3*AZ3*(Sheet2!$B$14+12000)/1000),(BE3*BC3*AZ3*(Sheet2!$B$14+Sheet2!$B$15)/1000))</f>
        <v>#DIV/0!</v>
      </c>
      <c r="BC3" s="258">
        <f>IF(AND((AX3&gt;=150),(AX3&lt;201)),4,IF(AND((AX3&gt;=201),(AX3&lt;251)),5,IF(AND((AX3&gt;=251),(AX3&lt;401)),4,IF(AND((AX3&gt;=401),(AX3&lt;501)),5,0))))</f>
        <v>0</v>
      </c>
      <c r="BD3" s="259">
        <f>(BC3*100)/AX3</f>
        <v>0</v>
      </c>
      <c r="BE3" s="263" t="e">
        <f>AW3/(ROUNDDOWN(BD3,0))</f>
        <v>#DIV/0!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B12</v>
      </c>
      <c r="BJ3" s="207"/>
      <c r="BK3" s="207"/>
      <c r="BL3" s="234" t="s">
        <v>18</v>
      </c>
      <c r="BM3" s="630">
        <f>NOW()</f>
        <v>45427.832612361111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600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6426</v>
      </c>
      <c r="BC4" s="260">
        <f ref="BC4:BC5" t="shared" si="3">IF(AND((AX4&gt;=200),(AX4&lt;350)),5,IF(AND((AX4&gt;=350),(AX4&lt;400)),7,IF(AND((AX4&gt;=400),(AX4&lt;501)),5,IF(AND((AX4&gt;=501),(AX4&lt;701)),7,0))))</f>
        <v>7</v>
      </c>
      <c r="BD4" s="205">
        <f ref="BD4:BD5" t="shared" si="4">(BC4*100)/AX4</f>
        <v>1.1666666666666667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250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2295</v>
      </c>
      <c r="BC5" s="261">
        <f t="shared" si="3"/>
        <v>5</v>
      </c>
      <c r="BD5" s="262">
        <f t="shared" si="4"/>
        <v>2</v>
      </c>
      <c r="BE5" s="265">
        <f t="shared" si="5"/>
        <v>1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222.4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2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7.1999999999999993</v>
      </c>
      <c r="BM6" s="211"/>
      <c r="BN6" s="211">
        <v>57</v>
      </c>
      <c r="BO6" s="211">
        <f>Table1588090[[#This Row],[المسطح]]*Table1588090[[#This Row],[عدد]]</f>
        <v>14.399999999999999</v>
      </c>
      <c r="BP6" s="239">
        <f>BN6*$S$2/1000</f>
        <v>2850</v>
      </c>
      <c r="BQ6" s="240">
        <f>BH6*BP6</f>
        <v>5700</v>
      </c>
      <c r="BR6" s="241">
        <f>(BQ6)/$R$68</f>
        <v>0.025183741906409263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30</v>
      </c>
      <c r="AY7" s="194" t="s">
        <v>28</v>
      </c>
      <c r="AZ7" s="194">
        <v>17</v>
      </c>
      <c r="BA7" s="194">
        <f>AZ7*AX7</f>
        <v>510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3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7.2000000000000011</v>
      </c>
      <c r="BM7" s="211"/>
      <c r="BN7" s="211">
        <v>37</v>
      </c>
      <c r="BO7" s="211">
        <f>Table1588090[[#This Row],[المسطح]]*Table1588090[[#This Row],[عدد]]</f>
        <v>21.6</v>
      </c>
      <c r="BP7" s="239">
        <f>BN7*$S$2/1000</f>
        <v>1850</v>
      </c>
      <c r="BQ7" s="240">
        <f>BH7*BP7</f>
        <v>5550</v>
      </c>
      <c r="BR7" s="241">
        <f>(BQ7)/$R$68</f>
        <v>0.024521011856240598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30</v>
      </c>
      <c r="AY8" s="194" t="s">
        <v>28</v>
      </c>
      <c r="AZ8" s="194">
        <v>12</v>
      </c>
      <c r="BA8" s="194">
        <f>AZ8*AX8</f>
        <v>360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3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2.16</v>
      </c>
      <c r="BM8" s="211"/>
      <c r="BN8" s="211">
        <v>5</v>
      </c>
      <c r="BO8" s="211">
        <f>Table1588090[[#This Row],[المسطح]]*Table1588090[[#This Row],[عدد]]</f>
        <v>6.48</v>
      </c>
      <c r="BP8" s="239">
        <f>BN8*$S$2/1000</f>
        <v>250</v>
      </c>
      <c r="BQ8" s="240">
        <f>BH8*BP8</f>
        <v>750</v>
      </c>
      <c r="BR8" s="241">
        <f>(BQ8)/$R$68</f>
        <v>0.003313650250843324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3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2.16</v>
      </c>
      <c r="BM10" s="242" t="s">
        <v>43</v>
      </c>
      <c r="BN10" s="211"/>
      <c r="BO10" s="211">
        <f>Table1588090[[#This Row],[المسطح]]*Table1588090[[#This Row],[عدد]]</f>
        <v>6.48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30</v>
      </c>
      <c r="AY11" s="194" t="s">
        <v>28</v>
      </c>
      <c r="AZ11" s="194">
        <v>100</v>
      </c>
      <c r="BA11" s="194">
        <f>AX11*AZ11</f>
        <v>3000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18.720000000000002</v>
      </c>
      <c r="BM11" s="211"/>
      <c r="BN11" s="211">
        <f>(BN6*BH6)+(BN7*BG7)+(BN8*BG8)+(BN9*BG9)</f>
        <v>539</v>
      </c>
      <c r="BO11" s="211">
        <f>SUBTOTAL(109,Table1588090[اجمالي المسطح])</f>
        <v>48.960000000000008</v>
      </c>
      <c r="BP11" s="242"/>
      <c r="BQ11" s="240">
        <f>SUBTOTAL(109,Table1588090[اجمالي])</f>
        <v>12000</v>
      </c>
      <c r="BR11" s="244">
        <f>Table1588090[[#Totals],[اجمالي]]/$R$68</f>
        <v>0.053018404013493184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30</v>
      </c>
      <c r="AY12" s="194" t="s">
        <v>28</v>
      </c>
      <c r="AZ12" s="194">
        <v>100</v>
      </c>
      <c r="BA12" s="194">
        <f>AX12*AZ12</f>
        <v>3000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371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 t="e">
        <f>(Table8091[[#Totals],[price]]*1.1)/(BA1*AY1/10000)</f>
        <v>#DIV/0!</v>
      </c>
      <c r="AX14" s="194"/>
      <c r="AY14" s="194"/>
      <c r="AZ14" s="194"/>
      <c r="BA14" s="194" t="e">
        <f>SUBTOTAL(109,Table8091[price])</f>
        <v>#DIV/0!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8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240</v>
      </c>
      <c r="BR17" s="241">
        <f>(BQ17)/$R$68</f>
        <v>0.0010603680802698636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2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1285</v>
      </c>
      <c r="BR19" s="244">
        <f>Table15617282[[#Totals],[اجمالي]]/$R$68</f>
        <v>0.0056773874297782285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0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0</v>
      </c>
      <c r="BR22" s="249">
        <f>(BQ22)/$R$68</f>
        <v>0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0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0</v>
      </c>
      <c r="BR24" s="251">
        <f>(BQ24)/$R$68</f>
        <v>0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9.96</v>
      </c>
      <c r="BM25" s="211"/>
      <c r="BN25" s="211">
        <f>(BN23*BH23)+(BH24*BN24)</f>
        <v>14</v>
      </c>
      <c r="BO25" s="211"/>
      <c r="BP25" s="242"/>
      <c r="BQ25" s="240">
        <f>SUBTOTAL(109,Table16627383[اجمالي])</f>
        <v>700</v>
      </c>
      <c r="BR25" s="244">
        <f>Table16627383[[#Totals],[اجمالي]]/$R$68</f>
        <v>0.0030927402341204358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0</v>
      </c>
      <c r="BR28" s="241">
        <f ref="BR28:BR41" t="shared" si="12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0</v>
      </c>
      <c r="BR34" s="251">
        <f t="shared" si="12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420</v>
      </c>
      <c r="BR35" s="251">
        <f t="shared" si="12" ca="1"/>
        <v>0.0018556441404722615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0</v>
      </c>
      <c r="BR36" s="251">
        <f t="shared" si="12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783</v>
      </c>
      <c r="BR42" s="244">
        <f>Table13597166[[#Totals],[اجمالي]]/$R$68</f>
        <v>0.00345945086188043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 t="e">
        <f>Table8091[[#Totals],[price]]</f>
        <v>#DIV/0!</v>
      </c>
      <c r="BQ46" s="252" t="e">
        <f>BH46*Table1613687787[[#This Row],[سعر الشبك ]]</f>
        <v>#DIV/0!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 t="e">
        <f>BQ46</f>
        <v>#DIV/0!</v>
      </c>
      <c r="BQ47" s="240" t="e">
        <f>BH47*Table1613687787[[#This Row],[سعر الشبك ]]</f>
        <v>#DIV/0!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 t="e">
        <f>SUBTOTAL(109,Table1613687787[اجمالي])</f>
        <v>#DIV/0!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 t="e">
        <f>Table1612677686[[#Totals],[اجمالي]]+Table1613687787[[#Totals],[اجمالي]]+Table13597166[[#Totals],[اجمالي]]+Table16627383[[#Totals],[اجمالي]]+Table15617282[[#Totals],[اجمالي]]+Table1588090[[#Totals],[اجمالي]]</f>
        <v>#DIV/0!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 t="e">
        <f>BM67*(1+Table18707989[[#This Row],[Column3]])</f>
        <v>#DIV/0!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45427.832612361111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426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45427.832612361111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371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788"/>
      <c r="C92" s="788">
        <f>C91</f>
        <v>82</v>
      </c>
      <c r="D92" s="550" t="s">
        <v>564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421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359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422</v>
      </c>
      <c r="F3" s="648" t="s">
        <v>423</v>
      </c>
      <c r="G3" s="648"/>
    </row>
    <row r="4" ht="18" customHeight="1">
      <c r="A4" s="11" t="s">
        <v>291</v>
      </c>
      <c r="F4" s="652" t="s">
        <v>424</v>
      </c>
      <c r="G4" s="653"/>
      <c r="H4" s="653"/>
      <c r="I4" s="654"/>
      <c r="J4" s="10"/>
    </row>
    <row r="5" ht="18" customHeight="1">
      <c r="A5" s="11" t="s">
        <v>292</v>
      </c>
      <c r="F5" s="655" t="s">
        <v>425</v>
      </c>
      <c r="G5" s="646"/>
      <c r="H5" s="646"/>
      <c r="I5" s="647"/>
      <c r="J5" s="10"/>
    </row>
    <row r="6" ht="18" customHeight="1">
      <c r="A6" s="11" t="s">
        <v>363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5" t="s">
        <v>427</v>
      </c>
      <c r="C11" s="636"/>
      <c r="D11" s="646" t="s">
        <v>428</v>
      </c>
      <c r="E11" s="647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0"/>
      <c r="R15" s="640"/>
      <c r="S15" s="640"/>
    </row>
    <row r="16" ht="18" customHeight="1">
      <c r="C16" s="648" t="s">
        <v>430</v>
      </c>
      <c r="D16" s="648"/>
      <c r="E16" s="648"/>
      <c r="F16" s="1" t="s">
        <v>431</v>
      </c>
    </row>
    <row r="17" ht="18" customHeight="1">
      <c r="A17" s="648" t="s">
        <v>296</v>
      </c>
      <c r="B17" s="648"/>
      <c r="C17" s="648"/>
    </row>
    <row r="18" ht="18" customHeight="1">
      <c r="A18" s="637" t="s">
        <v>432</v>
      </c>
      <c r="B18" s="638"/>
      <c r="C18" s="14">
        <f>'Format Φωτισμου'!B9</f>
        <v>5</v>
      </c>
    </row>
    <row r="19" ht="18" customHeight="1">
      <c r="A19" s="637" t="s">
        <v>433</v>
      </c>
      <c r="B19" s="638"/>
      <c r="C19" s="14">
        <f>'Format Φωτισμου'!B12</f>
        <v>15</v>
      </c>
    </row>
    <row r="20" ht="18" customHeight="1">
      <c r="A20" s="637" t="s">
        <v>434</v>
      </c>
      <c r="B20" s="638"/>
      <c r="C20" s="14">
        <f>C19/C18</f>
        <v>3</v>
      </c>
    </row>
    <row r="21" ht="18" customHeight="1">
      <c r="A21" s="642" t="s">
        <v>435</v>
      </c>
      <c r="B21" s="643"/>
      <c r="C21" s="644">
        <v>20</v>
      </c>
      <c r="D21" s="645"/>
      <c r="E21" s="635" t="s">
        <v>436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437</v>
      </c>
      <c r="B22" s="638"/>
      <c r="C22" s="179">
        <v>50</v>
      </c>
      <c r="D22" s="184" t="s">
        <v>438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439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