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4865" yWindow="-165" windowWidth="13860" windowHeight="12960" tabRatio="927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<sst xmlns="http://schemas.openxmlformats.org/spreadsheetml/2006/main" count="596" uniqueCount="596">
  <si>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</si>
  <si>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</si>
  <si>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</si>
  <si>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</si>
  <si>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</si>
  <si>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</si>
  <si>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</si>
  <si>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</si>
  <si>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</si>
  <si>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</si>
  <si>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</si>
  <si>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</si>
  <si>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</si>
  <si>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</si>
  <si>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</si>
  <si>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</si>
  <si>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</si>
  <si>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</si>
  <si>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</si>
  <si>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</si>
  <si>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</si>
  <si>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</si>
  <si>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</si>
  <si>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</si>
  <si>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</si>
  <si>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</si>
  <si>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</si>
  <si>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</si>
  <si>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</si>
  <si>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</si>
  <si>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</si>
  <si>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</si>
  <si>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</si>
  <si>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</si>
  <si>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</si>
  <si>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</si>
  <si>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</si>
  <si>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</si>
  <si>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</si>
  <si>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</si>
  <si>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</si>
  <si>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</si>
  <si>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</si>
  <si>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</si>
  <si>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</si>
  <si>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</si>
  <si>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</si>
  <si>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</si>
  <si>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</si>
  <si>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</si>
  <si>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</si>
  <si>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</si>
  <si>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</si>
  <si>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</si>
  <si>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</si>
  <si>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</si>
  <si>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</si>
  <si>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</si>
  <si>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</si>
  <si>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</si>
  <si>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</si>
  <si>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</si>
  <si>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</si>
  <si>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</si>
  <si>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</si>
  <si>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</si>
  <si>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</si>
  <si>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</si>
  <si>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</si>
  <si>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</si>
  <si>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</si>
  <si>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</si>
  <si>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</si>
  <si>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</si>
  <si>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</si>
  <si>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</si>
  <si>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</si>
  <si>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</si>
  <si>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</si>
  <si>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</si>
  <si>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</si>
  <si>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</si>
  <si>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</si>
  <si>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</si>
  <si>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</si>
  <si>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</si>
  <si>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</si>
  <si>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</si>
  <si>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</si>
  <si>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</si>
  <si>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</si>
  <si>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</si>
  <si>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</si>
  <si>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</si>
  <si>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</si>
  <si>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</si>
  <si>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</si>
  <si>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</si>
  <si>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</si>
  <si>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</si>
  <si>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</si>
  <si>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</si>
  <si>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</si>
  <si>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</si>
  <si>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</si>
  <si>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</si>
  <si>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</si>
  <si>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</si>
  <si>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</si>
  <si>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</si>
  <si>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</si>
  <si>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</si>
  <si>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</si>
  <si>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</si>
  <si>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</si>
  <si>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</si>
  <si>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</si>
  <si>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</si>
  <si>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</si>
  <si>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</si>
  <si>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</si>
  <si>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</si>
  <si>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</si>
  <si>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</si>
  <si>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</si>
  <si>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</si>
  <si>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</si>
  <si>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</si>
  <si>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</si>
  <si>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</si>
  <si>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</si>
  <si>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</si>
  <si>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</si>
  <si>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</si>
  <si>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</si>
  <si>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</si>
  <si>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</si>
  <si>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</si>
  <si>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</si>
  <si>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</si>
  <si>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</si>
  <si>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</si>
  <si>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</si>
  <si>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</si>
  <si>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</si>
  <si>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</si>
  <si>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</si>
  <si>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</si>
  <si>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</si>
  <si>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</si>
  <si>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</si>
  <si>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</si>
  <si>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</si>
  <si>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</si>
  <si>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</si>
  <si>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</si>
  <si>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</si>
  <si>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</si>
  <si>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</si>
  <si>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</si>
  <si>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</si>
  <si>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</si>
  <si>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</si>
  <si>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</si>
  <si>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</si>
  <si>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</si>
  <si>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</si>
  <si>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</si>
  <si>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</si>
  <si>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</si>
  <si>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</si>
  <si>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</si>
  <si>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</si>
  <si>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</si>
  <si>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</si>
  <si>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</si>
  <si>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</si>
  <si>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</si>
  <si>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</si>
  <si>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نصف جملة</t>
  </si>
  <si>
    <t>دائرية</t>
  </si>
  <si>
    <t>اسباني</t>
  </si>
  <si>
    <t>no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</si>
  <si>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</si>
  <si>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</si>
  <si>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</si>
  <si>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</si>
  <si>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</si>
  <si>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</si>
  <si>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</si>
  <si>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</si>
  <si>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</si>
  <si>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</si>
  <si>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</si>
  <si>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</si>
  <si>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</si>
  <si>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</si>
  <si>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</si>
  <si>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</si>
  <si>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</si>
  <si>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</si>
  <si>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</si>
  <si>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</si>
  <si>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</si>
  <si>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</si>
  <si>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</si>
  <si>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</si>
  <si>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</si>
  <si>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</si>
  <si>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</si>
  <si>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</si>
  <si>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</si>
  <si>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</si>
  <si>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</si>
  <si>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</si>
  <si>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</si>
  <si>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</si>
  <si>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</si>
  <si>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</si>
  <si>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</si>
  <si>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</si>
  <si>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</si>
  <si>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</si>
  <si>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</si>
  <si>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</si>
  <si>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</si>
  <si>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</si>
  <si>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</si>
  <si>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</si>
  <si>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</si>
  <si>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</si>
  <si>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</si>
  <si>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</si>
  <si>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</si>
  <si>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</si>
  <si>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</si>
  <si>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</si>
  <si>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</si>
  <si>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</si>
  <si>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</si>
  <si>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</si>
  <si>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</si>
  <si>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</si>
  <si>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</si>
  <si>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</si>
  <si>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</si>
  <si>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</si>
  <si>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</si>
  <si>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</si>
  <si>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</si>
  <si>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</si>
  <si>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</si>
  <si>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</si>
  <si>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</si>
  <si>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</si>
  <si>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</si>
  <si>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</si>
  <si>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</si>
  <si>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</si>
  <si>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</si>
  <si>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</si>
  <si>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</si>
  <si>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</si>
  <si>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</si>
  <si>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</si>
  <si>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</si>
  <si>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</si>
  <si>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</si>
  <si>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</si>
  <si>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</si>
  <si>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</si>
  <si>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</si>
  <si>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</si>
  <si>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</si>
  <si>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</si>
  <si>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</si>
  <si>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</si>
  <si>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</si>
  <si>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</si>
  <si>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</si>
  <si>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</si>
  <si>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</si>
  <si>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</si>
  <si>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</si>
  <si>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</si>
  <si>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</si>
  <si>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</si>
  <si>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</si>
  <si>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</si>
  <si>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</si>
  <si>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</si>
  <si>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</si>
  <si>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</si>
  <si>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</si>
  <si>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</si>
  <si>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</si>
  <si>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</si>
  <si>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</si>
  <si>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</si>
  <si>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</si>
  <si>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</si>
  <si>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</si>
  <si>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</si>
  <si>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</si>
  <si>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</si>
  <si>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</si>
  <si>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</si>
  <si>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</si>
  <si>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</si>
  <si>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</si>
  <si>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</si>
  <si>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</si>
  <si>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</si>
  <si>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</si>
  <si>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</si>
  <si>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</si>
  <si>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</si>
  <si>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</si>
  <si>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</si>
  <si>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</si>
  <si>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</si>
  <si>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</si>
  <si>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</si>
  <si>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</si>
  <si>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</si>
  <si>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</si>
  <si>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</si>
  <si>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</si>
  <si>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</si>
  <si>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</si>
  <si>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</si>
  <si>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</si>
  <si>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</si>
  <si>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</si>
  <si>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</si>
  <si>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</si>
  <si>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</si>
  <si>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</si>
  <si>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</si>
  <si>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</si>
  <si>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</si>
  <si>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</si>
  <si>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</si>
  <si>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</si>
  <si>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</si>
  <si>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</si>
  <si>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</si>
  <si>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</si>
  <si>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</si>
  <si>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</si>
  <si>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</si>
  <si>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</si>
  <si>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</si>
  <si>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</si>
  <si>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</si>
  <si>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</si>
  <si>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</si>
  <si>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</si>
  <si>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</si>
  <si>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</si>
  <si>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</si>
  <si>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</si>
  <si>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</si>
  <si>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</si>
  <si>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</si>
  <si>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</si>
  <si>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</si>
  <si>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</si>
  <si>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</si>
  <si>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</si>
  <si>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</si>
  <si>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</si>
  <si>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</si>
  <si>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</si>
  <si>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</si>
  <si>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</si>
  <si>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</si>
  <si>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</si>
  <si>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</si>
  <si>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</si>
  <si>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</si>
  <si>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</si>
  <si>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</si>
  <si>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</si>
  <si>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</si>
  <si>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</si>
  <si>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</si>
  <si>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</si>
  <si>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</si>
  <si>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</si>
  <si>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</si>
  <si>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</si>
  <si>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</si>
  <si>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</si>
  <si>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</si>
  <si>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</si>
  <si>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</si>
  <si>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</si>
  <si>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</si>
  <si>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</si>
  <si>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</si>
  <si>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</si>
  <si>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</si>
  <si>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</si>
  <si>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</si>
  <si>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</si>
  <si>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</si>
  <si>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</si>
  <si>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</si>
  <si>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</si>
  <si>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</si>
  <si>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</si>
  <si>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</si>
  <si>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</si>
  <si>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</si>
  <si>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</si>
  <si>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</si>
  <si>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</si>
  <si>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</si>
  <si>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</si>
  <si>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</si>
  <si>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</si>
  <si>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</si>
  <si>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</si>
  <si>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</si>
  <si>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</si>
  <si>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</si>
  <si>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</si>
  <si>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</si>
  <si>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</si>
  <si>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</si>
  <si>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</si>
  <si>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</si>
  <si>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</si>
  <si>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</si>
  <si>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</si>
  <si>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</si>
  <si>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</si>
  <si>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</si>
  <si>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</si>
  <si>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</si>
  <si>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</si>
  <si>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</si>
  <si>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</si>
  <si>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</si>
  <si>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</si>
  <si>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</si>
  <si>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</si>
  <si>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</si>
  <si>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</si>
  <si>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</si>
  <si>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</si>
  <si>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</si>
  <si>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</si>
  <si>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</si>
  <si>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</si>
  <si>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</si>
  <si>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</si>
  <si>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</si>
  <si>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</si>
  <si>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</si>
  <si>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</si>
  <si>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</si>
  <si>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</si>
  <si>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</si>
  <si>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</si>
  <si>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</si>
  <si>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</si>
  <si>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</si>
  <si>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</si>
  <si>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</si>
  <si>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</si>
  <si>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</si>
  <si>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</si>
  <si>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</si>
  <si>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</si>
  <si>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</si>
  <si>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</si>
  <si>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</si>
  <si>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</si>
  <si>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</si>
  <si>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</si>
  <si>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</si>
  <si>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</si>
  <si>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</si>
  <si>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</si>
  <si>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</si>
  <si>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</si>
  <si>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</si>
  <si>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</si>
  <si>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</si>
  <si>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</si>
  <si>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</si>
  <si>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</si>
  <si>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</si>
  <si>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</si>
  <si>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</si>
  <si>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</si>
  <si>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</si>
  <si>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</si>
  <si>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</si>
  <si>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</si>
  <si>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</si>
  <si>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</si>
  <si>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</si>
  <si>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</si>
  <si>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</si>
  <si>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</si>
  <si>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</si>
  <si>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</si>
  <si>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</si>
  <si>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</si>
  <si>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</si>
  <si>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</si>
  <si>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</si>
  <si>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</si>
  <si>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</si>
  <si>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</si>
  <si>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</si>
  <si>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</si>
  <si>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</si>
  <si>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</si>
  <si>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</si>
  <si>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</si>
  <si>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</si>
  <si>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</si>
  <si>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</si>
  <si>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v</t>
  </si>
  <si>
    <t>جملة</t>
  </si>
  <si>
    <t>مدور 2.7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</si>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</sst>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791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164" applyNumberFormat="1" fontId="0" fillId="0" borderId="0" xfId="1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8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12"/>
    <tableColumn id="3" name="الوحدة" dataDxfId="1258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248" totalsRowDxfId="1249"/>
    <tableColumn id="2" name="عدد" dataDxfId="1250" totalsRowDxfId="124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BP28</calculatedColumnFormula>
    </tableColumn>
    <tableColumn id="8" name="اجمالي" totalsRowFunction="sum" dataDxfId="1252" totalsRowDxfId="1254">
      <calculatedColumnFormula>BH98*BP99</calculatedColumnFormula>
    </tableColumn>
    <tableColumn id="9" name="%" totalsRowFunction="custom" totalsRowDxfId="1255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248" totalsRowDxfId="1249"/>
    <tableColumn id="2" name="عدد" dataDxfId="1250" totalsRowDxfId="1249">
      <calculatedColumnFormula>IF((#REF!="بالتات"),0,4)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65" totalsRowDxfId="1253">
      <calculatedColumnFormula>Sheet2!AW26</calculatedColumnFormula>
    </tableColumn>
    <tableColumn id="8" name="اجمالي" totalsRowFunction="sum" dataDxfId="1252" totalsRowDxfId="1254">
      <calculatedColumnFormula>BH84*BP84</calculatedColumnFormula>
    </tableColumn>
    <tableColumn id="9" name="%" totalsRowFunction="custom" totalsRowDxfId="1255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248"/>
    <tableColumn id="2" name="عدد" totalsRowFunction="sum" dataDxfId="1248">
      <calculatedColumnFormula>BH90*4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(Table16627394105[[#This Row],[Column1]]*Table16627394105[[#This Row],[Column2]])*Table16627394105[[#This Row],[عدد]]</calculatedColumnFormula>
    </tableColumn>
    <tableColumn id="4" name="الوحده" dataDxfId="1248"/>
    <tableColumn id="5" name="الوزن" totalsRowFunction="custom">
      <totalsRowFormula>(BN93*BH93)+(BH94*BN94)</totalsRowFormula>
    </tableColumn>
    <tableColumn id="6" name="سعر الكيلو" dataDxfId="1250"/>
    <tableColumn id="7" name="سعر الشبك " dataDxfId="1251">
      <calculatedColumnFormula>BN92*$S$2/1000</calculatedColumnFormula>
    </tableColumn>
    <tableColumn id="8" name="اجمالي" totalsRowFunction="sum" dataDxfId="1252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248"/>
    <tableColumn id="2" name="عدد" dataDxfId="1263">
      <calculatedColumnFormula>IF((تسعير!$AU$14="بالتات"),0,BH119-2)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تسعير!$BE$44</calculatedColumnFormula>
    </tableColumn>
    <tableColumn id="10" name="شيفت العمل" dataDxfId="1248"/>
    <tableColumn id="12" name="Column12" totalsRowFunction="sum" dataDxfId="1256">
      <calculatedColumnFormula>SUMIF(Table17697899110[Column1],Table1612677697108[[#This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Table1612677697108[[#This Row],[Column12]]</calculatedColumnFormula>
    </tableColumn>
    <tableColumn id="8" name="اجمالي" totalsRowFunction="sum" dataDxfId="1252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59"/>
    <tableColumn id="2" name="عدد" dataDxfId="1263">
      <calculatedColumnFormula>IF((BL133="الاسكندرية"),0.25,0.1)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BQ116</calculatedColumnFormula>
    </tableColumn>
    <tableColumn id="8" name="اجمالي" totalsRowFunction="sum" dataDxfId="1252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IF((BL133="المقطم"),0.3,IF((BL133="التجمع"),0.3,IF((BL133="الشيخ زايد"),0.3,IF((BL133="الاسكندرية"),0.5,0.35))))</calculatedColumnFormula>
    </tableColumn>
    <tableColumn id="2" name="Column2" dataDxfId="1263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248"/>
    <tableColumn id="2" name="عدد" dataDxfId="1248">
      <calculatedColumnFormula>IF(OR((BI69="B11"),(BI69="B12"),(BI69="B21"),(BI69="B22"),(BI69="B31"),(BI69="B32")),3,0)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(Table15880101112[[#This Row],[Column1]]+Table15880101112[[#This Row],[Column2]])*12*Table15880101112[[#This Row],[عدد]]</calculatedColumnFormula>
    </tableColumn>
    <tableColumn id="4" name="الوحده" dataDxfId="1248"/>
    <tableColumn id="5" name="الوزن" totalsRowFunction="custom">
      <totalsRowFormula>(BN76*BH76)+(BN77*BH77)+(BN78*BH78)+(BN79*BH79)</totalsRowFormula>
    </tableColumn>
    <tableColumn id="6" name="اجمالي المسطح" totalsRowFunction="sum" dataDxfId="1250">
      <calculatedColumnFormula>Table15880101112[[#This Row],[المسطح]]*Table15880101112[[#This Row],[عدد]]</calculatedColumnFormula>
    </tableColumn>
    <tableColumn id="7" name="سعر الشبك " dataDxfId="1274">
      <calculatedColumnFormula>BN76*$S$2/1000</calculatedColumnFormula>
    </tableColumn>
    <tableColumn id="8" name="اجمالي" totalsRowFunction="sum" dataDxfId="1252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248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13"/>
    <tableColumn id="10" name="Column1" dataDxfId="67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64">
      <calculatedColumnFormula>Sheet2!B31</calculatedColumnFormula>
    </tableColumn>
    <tableColumn id="8" name="اجمالي" totalsRowFunction="sum" dataDxfId="1252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75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275" totalsRowDxfId="1276"/>
    <tableColumn id="4" name="Column2" dataDxfId="1275" totalsRowDxfId="1276"/>
    <tableColumn id="5" name="wt/m" dataDxfId="1275" totalsRowDxfId="1276"/>
    <tableColumn id="6" name="price" totalsRowFunction="sum" dataDxfId="1275" totalsRowDxfId="127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245" totalsRowDxfId="1277"/>
    <tableColumn id="2" name="عدد" totalsRowFunction="custom" dataDxfId="1278" totalsRowDxfId="1279">
      <totalsRowFormula>(Table80102114[[#Totals],[price]]*1.1)/(F1*D1/10000)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278" totalsRowDxfId="12">
  <autoFilter ref="A75:F96"/>
  <tableColumns count="6">
    <tableColumn id="1" name="Column1" totalsRowLabel="Total" dataDxfId="1278" totalsRowDxfId="1277"/>
    <tableColumn id="2" name="عدد" totalsRowFunction="custom" dataDxfId="1278" totalsRowDxfId="1279">
      <totalsRowFormula>(Table80102114115[[#Totals],[price]]*1.1)/(F74*D74/10000)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248"/>
    <tableColumn id="2" name="عدد" dataDxfId="1248">
      <calculatedColumnFormula>IF((F74="الاسكندرية"),0.25,0.1)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80"/>
    <tableColumn id="7" name="سعر البرجولا كاملة" dataDxfId="1251">
      <calculatedColumnFormula>(K57)</calculatedColumnFormula>
    </tableColumn>
    <tableColumn id="8" name="اجمالي" totalsRowFunction="sum" dataDxfId="125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248" totalsRowDxfId="1249"/>
    <tableColumn id="2" name="عدد" dataDxfId="51" totalsRowDxfId="1249">
      <calculatedColumnFormula>B60</calculatedColumnFormula>
    </tableColumn>
    <tableColumn id="3" name="بيان" totalsRowLabel="Total" dataDxfId="81" totalsRowDxfId="1249"/>
    <tableColumn id="5" name="اليومية / الاجرة" dataDxfId="1215" totalsRowDxfId="1249"/>
    <tableColumn id="6" name="بدل الوجبة" dataDxfId="1216" totalsRowDxfId="1249"/>
    <tableColumn id="11" name="موقع العمل" dataDxfId="1259" totalsRowDxfId="1249">
      <calculatedColumnFormula>تسعير!$T$4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SUMIF(Table17[Column1],Table1612[[#This Row],[موقع العمل]],$T$2:$T$20)</calculatedColumnFormula>
    </tableColumn>
    <tableColumn id="4" name="عدد الايام" dataDxfId="76" totalsRowDxfId="1249"/>
    <tableColumn id="7" name="اجمالي التكلفة للعامل" dataDxfId="75" totalsRowDxfId="1253">
      <calculatedColumnFormula>Table1612[[#This Row],[Column12]]</calculatedColumnFormula>
    </tableColumn>
    <tableColumn id="8" name="اجمالي" totalsRowFunction="sum" dataDxfId="1252" totalsRowDxfId="1254">
      <calculatedColumnFormula>B63*J63</calculatedColumnFormula>
    </tableColumn>
    <tableColumn id="9" name="%" totalsRowFunction="custom" totalsRowDxfId="125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17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59"/>
    <tableColumn id="4" name="Column22" dataDxfId="1259"/>
    <tableColumn id="5" name="Column23" dataDxfId="1259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1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248"/>
    <tableColumn id="2" name="عدد" dataDxfId="124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(Table118[[#This Row],[Column1]]+Table118[[#This Row],[Column2]])*12*Table118[[#This Row],[عدد]]</calculatedColumnFormula>
    </tableColumn>
    <tableColumn id="4" name="الوحده" dataDxfId="1248"/>
    <tableColumn id="5" name="الوزن" dataDxfId="1248"/>
    <tableColumn id="6" name="اجمالي الميزان" totalsRowFunction="sum" dataDxfId="1250">
      <calculatedColumnFormula>Table118[[#This Row],[الوزن]]*Table118[[#This Row],[عدد]]</calculatedColumnFormula>
    </tableColumn>
    <tableColumn id="7" name="سعر الشبك " dataDxfId="1251">
      <calculatedColumnFormula>H6*$H$2/1000</calculatedColumnFormula>
    </tableColumn>
    <tableColumn id="8" name="اجمالي" totalsRowFunction="sum" dataDxfId="1252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248"/>
    <tableColumn id="2" name="عدد" dataDxfId="125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48"/>
    <tableColumn id="4" name="الوحده" totalsRowLabel="total" dataDxfId="1248"/>
    <tableColumn id="5" name="الوزن" dataDxfId="125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248">
      <calculatedColumnFormula>Sheet2!B7</calculatedColumnFormula>
    </tableColumn>
    <tableColumn id="7" name="سعر الشبك " dataDxfId="1251"/>
    <tableColumn id="8" name="اجمالي" totalsRowFunction="sum" dataDxfId="1252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248"/>
    <tableColumn id="2" name="عدد" dataDxfId="1248">
      <calculatedColumnFormula>IF((تسعير!X30&lt;800),0,IF(AND((تسعير!X30&gt;800),(600&gt;=تسعير!AA32)),1,0))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(Table1421[[#This Row],[Column1]]+Table1421[[#This Row],[Column2]])*12*Table1421[[#This Row],[عدد]]</calculatedColumnFormula>
    </tableColumn>
    <tableColumn id="4" name="الوحده" dataDxfId="1248"/>
    <tableColumn id="5" name="الوزن" dataDxfId="1248"/>
    <tableColumn id="6" name="سعر الكيلو" totalsRowFunction="sum" dataDxfId="1250">
      <calculatedColumnFormula>Table1421[[#This Row],[الوزن]]*Table1421[[#This Row],[عدد]]</calculatedColumnFormula>
    </tableColumn>
    <tableColumn id="7" name="سعر الشبك " dataDxfId="1251">
      <calculatedColumnFormula>H13*$I$2/1000</calculatedColumnFormula>
    </tableColumn>
    <tableColumn id="8" name="اجمالي" totalsRowFunction="sum" dataDxfId="125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248"/>
    <tableColumn id="2" name="عدد" dataDxfId="125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Sheet2!B22</calculatedColumnFormula>
    </tableColumn>
    <tableColumn id="8" name="اجمالي" totalsRowFunction="sum" dataDxfId="1252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248"/>
    <tableColumn id="2" name="عدد" totalsRowFunction="count" dataDxfId="1250">
      <calculatedColumnFormula>B30*4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(Table1624[[#This Row],[Column1]]*Table1624[[#This Row],[Column2]])*Table1624[[#This Row],[عدد]]</calculatedColumnFormula>
    </tableColumn>
    <tableColumn id="4" name="الوحده" dataDxfId="1248"/>
    <tableColumn id="5" name="الوزن" totalsRowFunction="custom">
      <totalsRowFormula>H31*B31+H32*B32</totalsRowFormula>
    </tableColumn>
    <tableColumn id="6" name="سعر الكيلو" dataDxfId="1250">
      <calculatedColumnFormula>$H$2/1000</calculatedColumnFormula>
    </tableColumn>
    <tableColumn id="7" name="سعر الشبك " dataDxfId="1251">
      <calculatedColumnFormula>H31*$H$2/1000</calculatedColumnFormula>
    </tableColumn>
    <tableColumn id="8" name="اجمالي" totalsRowFunction="sum" dataDxfId="125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58"/>
    <tableColumn id="2" name="المعدل" dataDxfId="1258"/>
    <tableColumn id="3" name="الوحدة" dataDxfId="1258"/>
    <tableColumn id="4" name="Column4" dataDxfId="121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248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59"/>
    <tableColumn id="11" name="Column2" dataDxfId="1259"/>
    <tableColumn id="10" name="Column1" dataDxfId="1260"/>
    <tableColumn id="12" name="Column12" totalsRowFunction="sum" dataDxfId="963"/>
    <tableColumn id="4" name="الوحده" dataDxfId="1221"/>
    <tableColumn id="5" name="الوزن" dataDxfId="1222"/>
    <tableColumn id="6" name="سعر الكيلو" dataDxfId="1260"/>
    <tableColumn id="7" name="سعر الشبك " dataDxfId="1223">
      <calculatedColumnFormula>Sheet2!B31</calculatedColumnFormula>
    </tableColumn>
    <tableColumn id="8" name="اجمالي" totalsRowFunction="sum" dataDxfId="1252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248"/>
    <tableColumn id="2" name="عدد" dataDxfId="1248">
      <calculatedColumnFormula>IF((F79="الاسكندرية"),0.25,0.1)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1262"/>
    <tableColumn id="7" name="سعر البرجولا كاملة" dataDxfId="1251">
      <calculatedColumnFormula>K58</calculatedColumnFormula>
    </tableColumn>
    <tableColumn id="8" name="اجمالي" totalsRowFunction="sum" dataDxfId="1252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248" totalsRowDxfId="1249"/>
    <tableColumn id="2" name="عدد" dataDxfId="1263" totalsRowDxfId="1249">
      <calculatedColumnFormula>B65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SUMIF(Table1731[Column1],Table161229[[#This Row],[موقع العمل]],$T$2:$T$26)</calculatedColumnFormula>
    </tableColumn>
    <tableColumn id="4" name="عدد الايام" dataDxfId="1224" totalsRowDxfId="1249"/>
    <tableColumn id="7" name="اجمالي التكلفة للعامل" dataDxfId="1225" totalsRowDxfId="1253">
      <calculatedColumnFormula>Table161229[[#This Row],[Column12]]</calculatedColumnFormula>
    </tableColumn>
    <tableColumn id="8" name="اجمالي" totalsRowFunction="sum" dataDxfId="1252" totalsRowDxfId="1254">
      <calculatedColumnFormula>B68*J68</calculatedColumnFormula>
    </tableColumn>
    <tableColumn id="9" name="%" totalsRowFunction="custom" totalsRowDxfId="12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59" totalsRowDxfId="1249"/>
    <tableColumn id="2" name="عدد" dataDxfId="1263" totalsRowDxfId="1249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68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/>
    <tableColumn id="8" name="اجمالي" totalsRowFunction="sum" dataDxfId="1252" totalsRowDxfId="1254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59"/>
    <tableColumn id="4" name="Column22" dataDxfId="1259"/>
    <tableColumn id="5" name="Column23" dataDxfId="1259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6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61" totalsRowDxfId="742"/>
    <tableColumn id="6" name="الطول بالمتر" dataDxfId="1261" totalsRowDxfId="1227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Table8[[#Totals],[اجمالي التكلفة]]/B1</totalsRowFormula>
    </tableColumn>
    <tableColumn id="2" name="اجمالي التكلفة" totalsRowFunction="sum" dataDxfId="751" totalsRowDxfId="750">
      <calculatedColumnFormula>B3*D3</calculatedColumnFormula>
    </tableColumn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(Table1662[[#This Row],[Column1]]*Table1662[[#This Row],[Column2]])*Table1662[[#This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SUMIF(Table1769[Column1],Table161267[[#This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28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IF((N2="A1"),2,IF((N2="A2"),3,IF((N2="B1"),2.5,IF((N2="B2"),3,0))))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(Table158[[#This Row],[Column1]]+Table158[[#This Row],[Column2]])*12*Table158[[#This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totalsRowFunction="sum" dataDxfId="1250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61" totalsRowDxfId="1266"/>
    <tableColumn id="6" name="الطول بالمتر" dataDxfId="1261" totalsRowDxfId="1266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(Table166241[[#This Row],[Column1]]*Table166241[[#This Row],[Column2]])*Table166241[[#This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IF((تسعير!$BF$14="بالتات"),0,M52-2)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تسعير!$BE$4</calculatedColumnFormula>
    </tableColumn>
    <tableColumn id="10" name="شيفت العمل" dataDxfId="1248" totalsRowDxfId="1249"/>
    <tableColumn id="12" name="Column12" totalsRowFunction="sum" dataDxfId="1256" totalsRowDxfId="1257"/>
    <tableColumn id="4" name="عدد الايام" dataDxfId="1268" totalsRowDxfId="1249"/>
    <tableColumn id="7" name="اجمالي التكلفة للعامل" dataDxfId="1269" totalsRowDxfId="1253">
      <calculatedColumnFormula>Table16126744[[#This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61"/>
    <tableColumn id="2" name="خارجي" dataDxfId="1261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IF((N2="c1"),3,IF((N2="c2"),4,IF((N2="d1"),4,IF((N2="d2"),5,0))))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(Table15855[[#This Row],[Column1]]+Table15855[[#This Row],[Column2]])*12*Table15855[[#This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dataDxfId="1250"/>
    <tableColumn id="7" name="سعر الشبك " dataDxfId="1231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261"/>
    <tableColumn id="2" name="المقاس" dataDxfId="1261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248" totalsRowDxfId="1249"/>
    <tableColumn id="5" name="الوزن" totalsRowFunction="custom" totalsRowDxfId="1249">
      <totalsRowFormula>(H6*B6)+(H8*B8)+(H7*B7)</totalsRowFormula>
    </tableColumn>
    <tableColumn id="6" name="مسطح" dataDxfId="43" totalsRowDxfId="1249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61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61" totalsRowDxfId="630"/>
    <tableColumn id="2" name="عدد/الشمسية" dataDxfId="629" totalsRowDxfId="626"/>
    <tableColumn id="3" name="سعر الوحدة" dataDxfId="1261" totalsRowDxfId="1232"/>
    <tableColumn id="4" name="قيمة" totalsRowFunction="sum" dataDxfId="1261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61"/>
    <tableColumn id="2" name="Column2" dataDxfId="1261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1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261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61" totalsRowDxfId="1257"/>
    <tableColumn id="2" name="عدد/الشمسية" dataDxfId="606" totalsRowDxfId="1257"/>
    <tableColumn id="3" name="سعر الوحدة" dataDxfId="1261" totalsRowDxfId="1257"/>
    <tableColumn id="4" name="قيمة" totalsRowFunction="sum" dataDxfId="1261" totalsRowDxfId="125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248" totalsRowDxfId="1249"/>
    <tableColumn id="2" name="عدد" dataDxfId="1202" totalsRowDxfId="124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61"/>
    <tableColumn id="2" name="Column2" dataDxfId="1261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72"/>
    <tableColumn id="2" name="الناتج" dataDxfId="591"/>
    <tableColumn id="3" name="Column1" dataDxfId="127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40">
      <calculatedColumnFormula>Table12[[#This Row],[سعر]]*Table12[[#This Row],[ميزان]]*Table12[[#This Row],[عدد]]</calculatedColumnFormula>
    </tableColumn>
    <tableColumn id="6" name="Column6" totalsRowFunction="custom" totalsRowDxfId="1273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63" totalsRowDxfId="1249">
      <calculatedColumnFormula>I28</calculatedColumnFormula>
    </tableColumn>
    <tableColumn id="3" name="بيان" totalsRowLabel="Total" dataDxfId="535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تسعير!$T$45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Table161243[[#This Row],[Column12]]</calculatedColumnFormula>
    </tableColumn>
    <tableColumn id="8" name="اجمالي" totalsRowFunction="sum" dataDxfId="1252" totalsRowDxfId="1254">
      <calculatedColumnFormula>I31*Q31</calculatedColumnFormula>
    </tableColumn>
    <tableColumn id="9" name="%" totalsRowFunction="custom" totalsRowDxfId="125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63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50" totalsRowDxfId="54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73">
      <calculatedColumnFormula>Table1257[[#This Row],[سعر]]*Table1257[[#This Row],[ميزان]]*Table1257[[#This Row],[عدد]]</calculatedColumnFormula>
    </tableColumn>
    <tableColumn id="6" name="Column6" totalsRowFunction="custom" totalsRowDxfId="127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63" totalsRowDxfId="1249">
      <calculatedColumnFormula>I61</calculatedColumnFormula>
    </tableColumn>
    <tableColumn id="3" name="بيان" totalsRowLabel="Total" dataDxfId="1240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تسعير!$T$63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SUMIF(Table17[Column1],Table16124360[[#This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Table16124360[[#This Row],[Column12]]</calculatedColumnFormula>
    </tableColumn>
    <tableColumn id="8" name="اجمالي" totalsRowFunction="sum" dataDxfId="1252" totalsRowDxfId="1254">
      <calculatedColumnFormula>I64*Q64</calculatedColumnFormula>
    </tableColumn>
    <tableColumn id="9" name="%" totalsRowFunction="custom" totalsRowDxfId="1255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6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M28*U28</calculatedColumnFormula>
    </tableColumn>
    <tableColumn id="9" name="%" totalsRowFunction="custom" totalsRowDxfId="1255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248"/>
    <tableColumn id="2" name="عدد" dataDxfId="1248">
      <calculatedColumnFormula>IF((تسعير!X7&lt;800),0,IF(AND((تسعير!X7&gt;800),(600&gt;=تسعير!AA9)),1,0))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(Table14[[#This Row],[Column1]]+Table14[[#This Row],[Column2]])*12*Table14[[#This Row],[عدد]]</calculatedColumnFormula>
    </tableColumn>
    <tableColumn id="4" name="الوحده" dataDxfId="1248"/>
    <tableColumn id="5" name="الوزن" totalsRowFunction="custom">
      <totalsRowFormula>H12*B12+H13*B13</totalsRowFormula>
    </tableColumn>
    <tableColumn id="6" name="مسطح" dataDxfId="1250">
      <calculatedColumnFormula>Table14[[#This Row],[Column12]]*Table14[[#This Row],[عدد]]</calculatedColumnFormula>
    </tableColumn>
    <tableColumn id="7" name="سعر الشبك " dataDxfId="1251">
      <calculatedColumnFormula>H12*$I$2/1000</calculatedColumnFormula>
    </tableColumn>
    <tableColumn id="8" name="اجمالي" totalsRowFunction="sum" dataDxfId="125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(Table166273[[#This Row],[Column1]]*Table166273[[#This Row],[Column2]])*Table166273[[#This Row],[عدد]]</calculatedColumnFormula>
    </tableColumn>
    <tableColumn id="4" name="الوحده" dataDxfId="1248"/>
    <tableColumn id="5" name="الوزن" totalsRowFunction="custom">
      <totalsRowFormula>(S23*M23)+(M24*S24)</totalsRowFormula>
    </tableColumn>
    <tableColumn id="6" name="سعر الكيلو" dataDxfId="1250"/>
    <tableColumn id="7" name="سعر الشبك " dataDxfId="1251">
      <calculatedColumnFormula>S22*$S$2/1000</calculatedColumnFormula>
    </tableColumn>
    <tableColumn id="8" name="اجمالي" totalsRowFunction="sum" dataDxfId="1252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IF((تسعير!$AU$14="بالتات"),0,M49-2)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SUMIF(Table176978[Column1],Table16126776[[#This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Table16126776[[#This Row],[Column12]]</calculatedColumnFormula>
    </tableColumn>
    <tableColumn id="8" name="اجمالي" totalsRowFunction="sum" dataDxfId="1252" totalsRowDxfId="1254">
      <calculatedColumnFormula>M52*U52</calculatedColumnFormula>
    </tableColumn>
    <tableColumn id="9" name="%" totalsRowFunction="custom" totalsRowDxfId="1255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59" totalsRowDxfId="1249"/>
    <tableColumn id="2" name="عدد" dataDxfId="1263" totalsRowDxfId="1249">
      <calculatedColumnFormula>IF((Q63="الاسكندرية"),0.25,0.1)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Table80102114[[#Totals],[price]]</calculatedColumnFormula>
    </tableColumn>
    <tableColumn id="8" name="اجمالي" totalsRowFunction="sum" dataDxfId="1252" totalsRowDxfId="1254">
      <calculatedColumnFormula>M47*Table16136877[[#This Row],[سعر الشبك ]]</calculatedColumnFormula>
    </tableColumn>
    <tableColumn id="9" name="%" totalsRowFunction="custom" totalsRowDxfId="1255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IF((Q63="المقطم"),0.3,IF((Q63="التجمع"),0.3,IF((Q63="الشيخ زايد"),0.3,IF((Q63="الاسكندرية"),0.5,0.35))))</calculatedColumnFormula>
    </tableColumn>
    <tableColumn id="2" name="Column2" dataDxfId="1263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(Table15880[[#This Row],[Column1]]+Table15880[[#This Row],[Column2]])*12*Table15880[[#This Row],[عدد]]</calculatedColumnFormula>
    </tableColumn>
    <tableColumn id="4" name="الوحده" dataDxfId="1248"/>
    <tableColumn id="5" name="الوزن" totalsRowFunction="custom">
      <totalsRowFormula>(S6*M6)+(S7*M7)+(M8*S8)+(S9*M9)</totalsRowFormula>
    </tableColumn>
    <tableColumn id="6" name="اجمالي المسطح" totalsRowFunction="sum" dataDxfId="1250">
      <calculatedColumnFormula>Table15880[[#This Row],[المسطح]]*Table15880[[#This Row],[عدد]]</calculatedColumnFormula>
    </tableColumn>
    <tableColumn id="7" name="سعر الشبك " dataDxfId="1274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248" totalsRowDxfId="1249"/>
    <tableColumn id="2" name="عدد" dataDxfId="1250" totalsRowDxfId="124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M99*U100</calculatedColumnFormula>
    </tableColumn>
    <tableColumn id="9" name="%" totalsRowFunction="custom" totalsRowDxfId="1255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10" totalsRowDxfId="1211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Sheet2!B22</calculatedColumnFormula>
    </tableColumn>
    <tableColumn id="8" name="اجمالي" totalsRowFunction="sum" dataDxfId="1252" totalsRowDxfId="1254">
      <calculatedColumnFormula>B17*J17</calculatedColumnFormula>
    </tableColumn>
    <tableColumn id="9" name="%" totalsRowFunction="custom" totalsRowDxfId="125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248"/>
    <tableColumn id="2" name="عدد" dataDxfId="1250">
      <calculatedColumnFormula>IF((I70="بالتات"),0,4)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248"/>
    <tableColumn id="2" name="عدد" totalsRowFunction="sum" dataDxfId="1248">
      <calculatedColumnFormula>M91*4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(Table16627394[[#This Row],[Column1]]*Table16627394[[#This Row],[Column2]])*Table16627394[[#This Row],[عدد]]</calculatedColumnFormula>
    </tableColumn>
    <tableColumn id="4" name="الوحده" dataDxfId="1248"/>
    <tableColumn id="5" name="الوزن" totalsRowFunction="custom">
      <totalsRowFormula>(S94*M94)+(M95*S95)</totalsRowFormula>
    </tableColumn>
    <tableColumn id="6" name="سعر الكيلو" dataDxfId="1250"/>
    <tableColumn id="7" name="سعر الشبك " dataDxfId="1251">
      <calculatedColumnFormula>S93*$S$2/1000</calculatedColumnFormula>
    </tableColumn>
    <tableColumn id="8" name="اجمالي" totalsRowFunction="sum" dataDxfId="1252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IF((تسعير!$AU$14="بالتات"),0,M120-2)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SUMIF(Table17697899[Column1],Table1612677697[[#This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Table1612677697[[#This Row],[Column12]]</calculatedColumnFormula>
    </tableColumn>
    <tableColumn id="8" name="اجمالي" totalsRowFunction="sum" dataDxfId="1252" totalsRowDxfId="1254">
      <calculatedColumnFormula>M123*U123</calculatedColumnFormula>
    </tableColumn>
    <tableColumn id="9" name="%" totalsRowFunction="custom" totalsRowDxfId="1255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59" totalsRowDxfId="1249"/>
    <tableColumn id="2" name="عدد" dataDxfId="1263" totalsRowDxfId="1249">
      <calculatedColumnFormula>IF((Q134="الاسكندرية"),0.25,0.1)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F96</calculatedColumnFormula>
    </tableColumn>
    <tableColumn id="8" name="اجمالي" totalsRowFunction="sum" dataDxfId="1252" totalsRowDxfId="1254">
      <calculatedColumnFormula>M118*Table1613687798[[#This Row],[سعر الشبك ]]</calculatedColumnFormula>
    </tableColumn>
    <tableColumn id="9" name="%" totalsRowFunction="custom" totalsRowDxfId="1255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IF((Q134="المقطم"),0.3,IF((Q134="التجمع"),0.3,IF((Q134="الشيخ زايد"),0.3,IF((Q134="الاسكندرية"),0.5,0.35))))</calculatedColumnFormula>
    </tableColumn>
    <tableColumn id="2" name="Column2" dataDxfId="1263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248"/>
    <tableColumn id="2" name="عدد" dataDxfId="1248">
      <calculatedColumnFormula>IF(OR((N70="B11"),(N70="B12"),(N70="B21"),(N70="B22"),(N70="B31"),(N70="B32")),3,0)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(Table15880101[[#This Row],[Column1]]+Table15880101[[#This Row],[Column2]])*12*Table15880101[[#This Row],[عدد]]</calculatedColumnFormula>
    </tableColumn>
    <tableColumn id="4" name="الوحده" dataDxfId="1248"/>
    <tableColumn id="5" name="الوزن" totalsRowFunction="custom">
      <totalsRowFormula>(S77*M77)+(S78*M78)+(M79*S79)+(S80*M80)</totalsRowFormula>
    </tableColumn>
    <tableColumn id="6" name="اجمالي المسطح" totalsRowFunction="sum" dataDxfId="1250">
      <calculatedColumnFormula>Table15880101[[#This Row],[المسطح]]*Table15880101[[#This Row],[عدد]]</calculatedColumnFormula>
    </tableColumn>
    <tableColumn id="7" name="سعر الشبك " dataDxfId="1274">
      <calculatedColumnFormula>S77*$S$2/1000</calculatedColumnFormula>
    </tableColumn>
    <tableColumn id="8" name="اجمالي" totalsRowFunction="sum" dataDxfId="1252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Sheet2!AW6</calculatedColumnFormula>
    </tableColumn>
    <tableColumn id="8" name="اجمالي" totalsRowFunction="sum" dataDxfId="1252" totalsRowDxfId="1254">
      <calculatedColumnFormula>BH28*BP28</calculatedColumnFormula>
    </tableColumn>
    <tableColumn id="9" name="%" totalsRowFunction="custom" totalsRowDxfId="1255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248" totalsRowDxfId="1249"/>
    <tableColumn id="2" name="عدد" totalsRowFunction="count" dataDxfId="1248" totalsRowDxfId="1249">
      <calculatedColumnFormula>B29*4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totalsRowFunction="sum" dataDxfId="1256" totalsRowDxfId="1257">
      <calculatedColumnFormula>(Table16[[#This Row],[Column1]]*Table16[[#This Row],[Column2]])*Table16[[#This Row],[عدد]]</calculatedColumnFormula>
    </tableColumn>
    <tableColumn id="4" name="الوحده" dataDxfId="1248" totalsRowDxfId="1249"/>
    <tableColumn id="5" name="الوزن" totalsRowFunction="custom" totalsRowDxfId="1249">
      <totalsRowFormula>H30*B30+H31*B31</totalsRowFormula>
    </tableColumn>
    <tableColumn id="6" name="Column3" dataDxfId="1250" totalsRowDxfId="1249"/>
    <tableColumn id="7" name="سعر الشبك " dataDxfId="1251" totalsRowDxfId="1253">
      <calculatedColumnFormula>H30*$H$2/1000</calculatedColumnFormula>
    </tableColumn>
    <tableColumn id="8" name="اجمالي" totalsRowFunction="sum" dataDxfId="1252" totalsRowDxfId="1254">
      <calculatedColumnFormula>B30*J30</calculatedColumnFormula>
    </tableColumn>
    <tableColumn id="9" name="%" totalsRowFunction="custom" totalsRowDxfId="125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Sheet2!AW26</calculatedColumnFormula>
    </tableColumn>
    <tableColumn id="8" name="اجمالي" totalsRowFunction="sum" dataDxfId="1252" totalsRowDxfId="1254">
      <calculatedColumnFormula>BH14*BP14</calculatedColumnFormula>
    </tableColumn>
    <tableColumn id="9" name="%" totalsRowFunction="custom" totalsRowDxfId="1255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248"/>
    <tableColumn id="2" name="عدد" totalsRowFunction="count" dataDxfId="1248">
      <calculatedColumnFormula>BH20*4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(Table16627383[[#This Row],[Column1]]*Table16627383[[#This Row],[Column2]])*Table16627383[[#This Row],[عدد]]</calculatedColumnFormula>
    </tableColumn>
    <tableColumn id="4" name="الوحده" dataDxfId="1248"/>
    <tableColumn id="5" name="الوزن" totalsRowFunction="custom">
      <totalsRowFormula>(BN23*BH23)+(BH24*BN24)</totalsRowFormula>
    </tableColumn>
    <tableColumn id="6" name="سعر الكيلو" dataDxfId="1250"/>
    <tableColumn id="7" name="سعر الشبك " dataDxfId="1251">
      <calculatedColumnFormula>BN22*$S$2/1000</calculatedColumnFormula>
    </tableColumn>
    <tableColumn id="8" name="اجمالي" totalsRowFunction="sum" dataDxfId="1252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248"/>
    <tableColumn id="2" name="عدد" dataDxfId="1263">
      <calculatedColumnFormula>IF((تسعير!$AU$14="بالتات"),0,BH48-2)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تسعير!$AT$44</calculatedColumnFormula>
    </tableColumn>
    <tableColumn id="10" name="شيفت العمل" dataDxfId="1248"/>
    <tableColumn id="12" name="Column12" totalsRowFunction="sum" dataDxfId="1256">
      <calculatedColumnFormula>SUMIF(Table17697888[Column1],Table1612677686[[#This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Table1612677686[[#This Row],[Column12]]</calculatedColumnFormula>
    </tableColumn>
    <tableColumn id="8" name="اجمالي" totalsRowFunction="sum" dataDxfId="1252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59"/>
    <tableColumn id="2" name="عدد" dataDxfId="1263">
      <calculatedColumnFormula>IF((BL62="الاسكندرية"),0.25,0.1)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BQ45</calculatedColumnFormula>
    </tableColumn>
    <tableColumn id="8" name="اجمالي" totalsRowFunction="sum" dataDxfId="1252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IF((BL62="المقطم"),0.3,IF((BL62="التجمع"),0.3,IF((BL62="الشيخ زايد"),0.3,IF((BL62="الاسكندرية"),0.5,0.35))))</calculatedColumnFormula>
    </tableColumn>
    <tableColumn id="2" name="Column2" dataDxfId="1263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(Table1588090[[#This Row],[Column1]]+Table1588090[[#This Row],[Column2]])*12*Table1588090[[#This Row],[عدد]]</calculatedColumnFormula>
    </tableColumn>
    <tableColumn id="4" name="الوحده" dataDxfId="1248"/>
    <tableColumn id="5" name="الوزن" totalsRowFunction="custom">
      <totalsRowFormula>(BN6*BH6)+(BN7*BG7)+(BN8*BG8)+(BN9*BG9)</totalsRowFormula>
    </tableColumn>
    <tableColumn id="6" name="اجمالي المسطح" totalsRowFunction="sum" dataDxfId="1250">
      <calculatedColumnFormula>Table1588090[[#This Row],[المسطح]]*Table1588090[[#This Row],[عدد]]</calculatedColumnFormula>
    </tableColumn>
    <tableColumn id="7" name="سعر الشبك " dataDxfId="1274">
      <calculatedColumnFormula>BN6*$S$2/1000</calculatedColumnFormula>
    </tableColumn>
    <tableColumn id="8" name="اجمالي" totalsRowFunction="sum" dataDxfId="1252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41" totalsRowDxfId="0"/>
    <tableColumn id="4" name="Column2" dataDxfId="1275" totalsRowDxfId="1242"/>
    <tableColumn id="5" name="wt/m" dataDxfId="1275" totalsRowDxfId="1276"/>
    <tableColumn id="6" name="price" totalsRowFunction="sum" dataDxfId="1275" totalsRowDxfId="127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tabSelected="1" zoomScale="85" zoomScaleNormal="85" zoomScaleSheetLayoutView="70" workbookViewId="0">
      <selection activeCell="A24" sqref="A2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8" t="s">
        <v>219</v>
      </c>
      <c r="H1" s="568"/>
      <c r="I1" s="568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32786.25</v>
      </c>
      <c r="J3" s="515"/>
    </row>
    <row r="4" ht="21">
      <c r="A4" s="509"/>
      <c r="B4" s="510"/>
      <c r="C4" s="510"/>
      <c r="D4" s="511"/>
      <c r="E4" s="500"/>
      <c r="F4" s="505"/>
      <c r="G4" s="569" t="s">
        <v>220</v>
      </c>
      <c r="H4" s="569"/>
      <c r="I4" s="569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206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118555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0" t="s">
        <v>221</v>
      </c>
      <c r="B10" s="570"/>
    </row>
    <row r="11">
      <c r="A11" s="233" t="s">
        <v>222</v>
      </c>
      <c r="B11" s="233" t="s">
        <v>223</v>
      </c>
    </row>
    <row r="12">
      <c r="A12" s="233" t="s">
        <v>224</v>
      </c>
      <c r="B12" s="790">
        <v>50000</v>
      </c>
    </row>
    <row r="13">
      <c r="A13" s="233" t="s">
        <v>225</v>
      </c>
      <c r="B13" s="790">
        <v>55000</v>
      </c>
    </row>
    <row r="14">
      <c r="A14" s="558" t="s">
        <v>226</v>
      </c>
      <c r="B14" s="790">
        <v>230000</v>
      </c>
    </row>
    <row r="15">
      <c r="A15" s="233" t="s">
        <v>227</v>
      </c>
      <c r="B15" s="790">
        <v>60000</v>
      </c>
    </row>
    <row r="16">
      <c r="A16" s="233" t="s">
        <v>228</v>
      </c>
      <c r="B16" s="790">
        <v>275</v>
      </c>
    </row>
    <row r="17">
      <c r="A17" s="233" t="s">
        <v>229</v>
      </c>
      <c r="B17" s="790">
        <v>200</v>
      </c>
    </row>
    <row r="18">
      <c r="A18" s="233" t="s">
        <v>62</v>
      </c>
      <c r="B18" s="790">
        <v>450</v>
      </c>
    </row>
    <row r="19">
      <c r="A19" s="233" t="s">
        <v>66</v>
      </c>
      <c r="B19" s="790">
        <v>250</v>
      </c>
    </row>
    <row r="20">
      <c r="A20" s="233" t="s">
        <v>70</v>
      </c>
      <c r="B20" s="790">
        <v>550</v>
      </c>
    </row>
    <row r="21">
      <c r="A21" s="233" t="s">
        <v>73</v>
      </c>
      <c r="B21" s="790">
        <v>600</v>
      </c>
    </row>
    <row r="22">
      <c r="A22" s="233" t="s">
        <v>78</v>
      </c>
      <c r="B22" s="790">
        <v>160</v>
      </c>
    </row>
    <row r="23">
      <c r="A23" s="233" t="s">
        <v>80</v>
      </c>
      <c r="B23" s="790">
        <v>160</v>
      </c>
    </row>
    <row r="24">
      <c r="A24" s="233" t="s">
        <v>103</v>
      </c>
      <c r="B24" s="790">
        <v>400</v>
      </c>
    </row>
    <row r="25">
      <c r="A25" s="233" t="s">
        <v>45</v>
      </c>
      <c r="B25" s="790">
        <v>105</v>
      </c>
    </row>
    <row r="26">
      <c r="A26" s="233" t="s">
        <v>106</v>
      </c>
      <c r="B26" s="790">
        <v>250</v>
      </c>
    </row>
    <row r="27">
      <c r="A27" s="233" t="s">
        <v>107</v>
      </c>
      <c r="B27" s="790">
        <v>510</v>
      </c>
    </row>
    <row r="28">
      <c r="A28" s="233" t="s">
        <v>81</v>
      </c>
      <c r="B28" s="790">
        <v>400</v>
      </c>
    </row>
    <row r="29">
      <c r="A29" s="233" t="s">
        <v>94</v>
      </c>
      <c r="B29" s="790">
        <v>1000</v>
      </c>
    </row>
    <row r="30">
      <c r="A30" s="233" t="s">
        <v>97</v>
      </c>
      <c r="B30" s="790">
        <v>1200</v>
      </c>
    </row>
    <row r="31">
      <c r="A31" s="233" t="s">
        <v>98</v>
      </c>
      <c r="B31" s="790">
        <v>450</v>
      </c>
    </row>
    <row r="32">
      <c r="A32" s="233" t="s">
        <v>121</v>
      </c>
      <c r="B32" s="790">
        <v>7000</v>
      </c>
    </row>
    <row r="33">
      <c r="A33" s="537" t="s">
        <v>230</v>
      </c>
      <c r="B33" s="790">
        <v>11000</v>
      </c>
    </row>
    <row r="34">
      <c r="A34" s="233" t="s">
        <v>231</v>
      </c>
      <c r="B34" s="790">
        <v>2000</v>
      </c>
    </row>
    <row r="35">
      <c r="A35" s="233" t="s">
        <v>232</v>
      </c>
      <c r="B35" s="790">
        <v>1500</v>
      </c>
    </row>
    <row r="36">
      <c r="A36" s="233" t="s">
        <v>233</v>
      </c>
      <c r="B36" s="790">
        <v>1500</v>
      </c>
    </row>
    <row r="37">
      <c r="A37" s="233" t="s">
        <v>234</v>
      </c>
      <c r="B37" s="790">
        <v>5000</v>
      </c>
    </row>
    <row r="38">
      <c r="A38" s="233" t="s">
        <v>235</v>
      </c>
      <c r="B38" s="790">
        <v>800</v>
      </c>
    </row>
    <row r="39">
      <c r="A39" s="233" t="s">
        <v>236</v>
      </c>
      <c r="B39" s="790">
        <v>150</v>
      </c>
    </row>
    <row r="40">
      <c r="A40" s="233" t="s">
        <v>237</v>
      </c>
      <c r="B40" s="790">
        <v>90</v>
      </c>
    </row>
    <row r="41">
      <c r="A41" s="233" t="s">
        <v>238</v>
      </c>
      <c r="B41" s="790">
        <v>25</v>
      </c>
    </row>
    <row r="42" ht="18.75">
      <c r="A42" s="331" t="s">
        <v>239</v>
      </c>
      <c r="B42" s="790">
        <v>450</v>
      </c>
    </row>
    <row r="43" ht="18.75">
      <c r="A43" s="331" t="s">
        <v>240</v>
      </c>
      <c r="B43" s="790">
        <v>160</v>
      </c>
    </row>
    <row r="44" ht="18.75">
      <c r="A44" s="331" t="s">
        <v>241</v>
      </c>
      <c r="B44" s="790">
        <v>175</v>
      </c>
    </row>
    <row r="45">
      <c r="A45" s="558" t="s">
        <v>242</v>
      </c>
      <c r="B45" s="790">
        <v>4000</v>
      </c>
    </row>
    <row r="46">
      <c r="A46" s="558" t="s">
        <v>243</v>
      </c>
      <c r="B46" s="790">
        <v>3000</v>
      </c>
    </row>
    <row r="47">
      <c r="A47" s="233" t="s">
        <v>244</v>
      </c>
      <c r="B47" s="790">
        <v>160</v>
      </c>
    </row>
    <row r="48">
      <c r="A48" s="233" t="s">
        <v>245</v>
      </c>
      <c r="B48" s="790">
        <v>20</v>
      </c>
    </row>
    <row r="49">
      <c r="A49" s="233" t="s">
        <v>246</v>
      </c>
      <c r="B49" s="790">
        <v>1200</v>
      </c>
    </row>
    <row r="50">
      <c r="A50" s="233" t="s">
        <v>247</v>
      </c>
      <c r="B50" s="790">
        <v>150</v>
      </c>
    </row>
    <row r="51">
      <c r="A51" s="233" t="s">
        <v>248</v>
      </c>
      <c r="B51" s="790">
        <v>150</v>
      </c>
    </row>
    <row r="52">
      <c r="A52" s="233" t="s">
        <v>249</v>
      </c>
      <c r="B52" s="790">
        <v>250</v>
      </c>
    </row>
    <row r="53">
      <c r="A53" s="233" t="s">
        <v>250</v>
      </c>
      <c r="B53" s="790">
        <v>100</v>
      </c>
    </row>
    <row r="54">
      <c r="A54" s="558" t="s">
        <v>251</v>
      </c>
      <c r="B54" s="790">
        <v>1200</v>
      </c>
    </row>
    <row r="55">
      <c r="A55" s="537" t="s">
        <v>252</v>
      </c>
      <c r="B55" s="790">
        <v>23000</v>
      </c>
    </row>
    <row r="56">
      <c r="A56" s="537" t="s">
        <v>253</v>
      </c>
      <c r="B56" s="790">
        <v>8000</v>
      </c>
    </row>
    <row r="57">
      <c r="A57" s="567" t="s">
        <v>254</v>
      </c>
      <c r="B57" s="790">
        <v>12000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595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360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361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359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362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255</v>
      </c>
      <c r="B6" s="744"/>
      <c r="C6" s="745"/>
      <c r="D6" s="737" t="s">
        <v>363</v>
      </c>
      <c r="E6" s="670" t="s">
        <v>364</v>
      </c>
      <c r="F6" s="671"/>
      <c r="G6" s="672"/>
      <c r="H6" s="672"/>
      <c r="I6" s="671"/>
      <c r="J6" s="673"/>
      <c r="K6" s="674">
        <f>تسجيل1!C7</f>
        <v>500</v>
      </c>
      <c r="L6" s="674"/>
      <c r="M6" s="94" t="s">
        <v>365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366</v>
      </c>
      <c r="F7" s="672"/>
      <c r="G7" s="672"/>
      <c r="H7" s="672"/>
      <c r="I7" s="672"/>
      <c r="J7" s="680"/>
      <c r="K7" s="681">
        <f>K6*N6/10000</f>
        <v>40</v>
      </c>
      <c r="L7" s="681"/>
      <c r="M7" s="681"/>
      <c r="N7" s="98" t="s">
        <v>367</v>
      </c>
      <c r="O7" s="99">
        <f>AA41/K7</f>
        <v>2995.7472659743612</v>
      </c>
      <c r="S7" s="60" t="s">
        <v>127</v>
      </c>
      <c r="T7" s="61" t="s">
        <v>368</v>
      </c>
      <c r="Z7" s="151"/>
      <c r="AA7" s="60"/>
      <c r="AB7" s="60"/>
    </row>
    <row r="8">
      <c r="A8" s="746"/>
      <c r="B8" s="747"/>
      <c r="C8" s="748"/>
      <c r="D8" s="738"/>
      <c r="E8" s="682" t="s">
        <v>369</v>
      </c>
      <c r="F8" s="683"/>
      <c r="G8" s="683"/>
      <c r="H8" s="683"/>
      <c r="I8" s="683"/>
      <c r="J8" s="684"/>
      <c r="K8" s="685">
        <f>K6-1</f>
        <v>499</v>
      </c>
      <c r="L8" s="685"/>
      <c r="M8" s="100" t="s">
        <v>370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119829.89063897445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371</v>
      </c>
      <c r="B10" s="686"/>
      <c r="C10" s="686"/>
      <c r="D10" s="686"/>
      <c r="E10" s="686"/>
      <c r="F10" s="686"/>
      <c r="G10" s="687" t="s">
        <v>372</v>
      </c>
      <c r="H10" s="687"/>
      <c r="I10" s="687" t="s">
        <v>373</v>
      </c>
      <c r="J10" s="687"/>
      <c r="K10" s="104"/>
      <c r="L10" s="688" t="s">
        <v>308</v>
      </c>
      <c r="M10" s="688"/>
      <c r="N10" s="688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689" t="s">
        <v>379</v>
      </c>
      <c r="B11" s="690"/>
      <c r="C11" s="690"/>
      <c r="D11" s="690"/>
      <c r="E11" s="690"/>
      <c r="F11" s="691"/>
      <c r="G11" s="692">
        <f>L11</f>
        <v>3</v>
      </c>
      <c r="H11" s="692"/>
      <c r="I11" s="693">
        <f>'Format διαστασης οδηγου'!F8</f>
        <v>765</v>
      </c>
      <c r="J11" s="693"/>
      <c r="K11" s="106"/>
      <c r="L11" s="688">
        <f>IF(Format!A7=1,تسجيل1!H27,IF(Format!A7=2,تسجيل1!H27,IF(Format!A7=3,تسجيل1!H27,IF(Format!A7=4,تسجيل1!H27,IF(Format!A7=5,تسجيل1!H27,"-------")))))</f>
        <v>3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694" t="s">
        <v>380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6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694" t="s">
        <v>381</v>
      </c>
      <c r="B13" s="694"/>
      <c r="C13" s="694"/>
      <c r="D13" s="694"/>
      <c r="E13" s="694"/>
      <c r="F13" s="694"/>
      <c r="G13" s="695" t="str">
        <f>IF(L11&lt;=3,"0",(L11-3)*2)</f>
        <v>0</v>
      </c>
      <c r="H13" s="695"/>
      <c r="I13" s="696">
        <f>IF(G13="-------","-------",L17-5)</f>
        <v>240.5</v>
      </c>
      <c r="J13" s="696"/>
      <c r="K13" s="106"/>
      <c r="L13" s="697" t="s">
        <v>282</v>
      </c>
      <c r="M13" s="697"/>
      <c r="N13" s="69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694" t="s">
        <v>382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247</v>
      </c>
      <c r="J14" s="696"/>
      <c r="K14" s="106"/>
      <c r="L14" s="109">
        <f>تسجيل1!H28</f>
        <v>12</v>
      </c>
      <c r="M14" s="110" t="s">
        <v>286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694" t="s">
        <v>383</v>
      </c>
      <c r="B15" s="694"/>
      <c r="C15" s="694"/>
      <c r="D15" s="694"/>
      <c r="E15" s="694"/>
      <c r="F15" s="694"/>
      <c r="G15" s="695" t="str">
        <f>IF(L11&lt;=3,"0",(L11-3)*L14)</f>
        <v>0</v>
      </c>
      <c r="H15" s="695"/>
      <c r="I15" s="696">
        <f>IF(G15="-------","---------",I13)</f>
        <v>240.5</v>
      </c>
      <c r="J15" s="696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694" t="s">
        <v>384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6"/>
      <c r="K16" s="106"/>
      <c r="L16" s="698" t="s">
        <v>385</v>
      </c>
      <c r="M16" s="698"/>
      <c r="N16" s="698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694" t="s">
        <v>386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249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245.5</v>
      </c>
      <c r="M17" s="699"/>
      <c r="N17" s="69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694" t="s">
        <v>387</v>
      </c>
      <c r="B18" s="694"/>
      <c r="C18" s="694"/>
      <c r="D18" s="694"/>
      <c r="E18" s="694"/>
      <c r="F18" s="694"/>
      <c r="G18" s="695" t="str">
        <f>IF(L11&lt;=3,"0",(L11-3))</f>
        <v>0</v>
      </c>
      <c r="H18" s="695"/>
      <c r="I18" s="696">
        <f>IF(G18="-------","-------",L17)</f>
        <v>245.5</v>
      </c>
      <c r="J18" s="696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497.5</v>
      </c>
      <c r="J19" s="696"/>
      <c r="K19" s="106"/>
      <c r="L19" s="700" t="s">
        <v>311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388</v>
      </c>
      <c r="B20" s="704"/>
      <c r="C20" s="704"/>
      <c r="D20" s="704"/>
      <c r="E20" s="704"/>
      <c r="F20" s="705"/>
      <c r="G20" s="703">
        <f>(G12+G13)/2</f>
        <v>2</v>
      </c>
      <c r="H20" s="704"/>
      <c r="I20" s="696">
        <f>L17-7</f>
        <v>238.5</v>
      </c>
      <c r="J20" s="696"/>
      <c r="K20" s="106"/>
      <c r="L20" s="114" t="s">
        <v>372</v>
      </c>
      <c r="M20" s="706" t="s">
        <v>389</v>
      </c>
      <c r="N20" s="70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7" t="s">
        <v>390</v>
      </c>
      <c r="B21" s="707"/>
      <c r="C21" s="707"/>
      <c r="D21" s="707"/>
      <c r="E21" s="707"/>
      <c r="F21" s="707"/>
      <c r="G21" s="708">
        <f>L11</f>
        <v>3</v>
      </c>
      <c r="H21" s="708"/>
      <c r="I21" s="709">
        <f>(I11*2)+45</f>
        <v>1575</v>
      </c>
      <c r="J21" s="709"/>
      <c r="K21" s="106"/>
      <c r="L21" s="112">
        <f>IF(Format!E7=1,"-------",IF(Format!E7=5,"-------",تسجيل1!H30))</f>
        <v>3</v>
      </c>
      <c r="M21" s="698" t="str">
        <f>IF(L21="-------","-------",تسجيل1!D11)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10" t="s">
        <v>391</v>
      </c>
      <c r="B23" s="711"/>
      <c r="C23" s="711"/>
      <c r="D23" s="711"/>
      <c r="E23" s="712"/>
      <c r="F23" s="67" t="s">
        <v>392</v>
      </c>
      <c r="G23" s="68"/>
      <c r="H23" s="710" t="s">
        <v>393</v>
      </c>
      <c r="I23" s="711"/>
      <c r="J23" s="711"/>
      <c r="K23" s="711"/>
      <c r="L23" s="712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398</v>
      </c>
      <c r="C24" s="713"/>
      <c r="D24" s="713"/>
      <c r="E24" s="713"/>
      <c r="F24" s="70">
        <f>L11</f>
        <v>3</v>
      </c>
      <c r="G24" s="71"/>
      <c r="H24" s="69">
        <v>16</v>
      </c>
      <c r="I24" s="713" t="s">
        <v>299</v>
      </c>
      <c r="J24" s="713"/>
      <c r="K24" s="713"/>
      <c r="L24" s="713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714" t="s">
        <v>399</v>
      </c>
      <c r="C25" s="714"/>
      <c r="D25" s="714"/>
      <c r="E25" s="714"/>
      <c r="F25" s="73">
        <f>L11</f>
        <v>3</v>
      </c>
      <c r="G25" s="71"/>
      <c r="H25" s="72">
        <v>17</v>
      </c>
      <c r="I25" s="714" t="s">
        <v>231</v>
      </c>
      <c r="J25" s="714"/>
      <c r="K25" s="714"/>
      <c r="L25" s="71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14" t="s">
        <v>400</v>
      </c>
      <c r="C26" s="714"/>
      <c r="D26" s="714"/>
      <c r="E26" s="714"/>
      <c r="F26" s="73">
        <f>M24</f>
        <v>1</v>
      </c>
      <c r="G26" s="71"/>
      <c r="H26" s="72">
        <v>18</v>
      </c>
      <c r="I26" s="714" t="s">
        <v>401</v>
      </c>
      <c r="J26" s="714"/>
      <c r="K26" s="714"/>
      <c r="L26" s="714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15" t="s">
        <v>402</v>
      </c>
      <c r="C27" s="716"/>
      <c r="D27" s="716"/>
      <c r="E27" s="717"/>
      <c r="F27" s="73">
        <v>4</v>
      </c>
      <c r="G27" s="71"/>
      <c r="H27" s="72">
        <v>19</v>
      </c>
      <c r="I27" s="714" t="s">
        <v>403</v>
      </c>
      <c r="J27" s="714"/>
      <c r="K27" s="714"/>
      <c r="L27" s="71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15" t="s">
        <v>404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405</v>
      </c>
      <c r="J28" s="714"/>
      <c r="K28" s="714"/>
      <c r="L28" s="714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715" t="s">
        <v>406</v>
      </c>
      <c r="C29" s="716"/>
      <c r="D29" s="716"/>
      <c r="E29" s="717"/>
      <c r="F29" s="73">
        <f>L11*2</f>
        <v>6</v>
      </c>
      <c r="G29" s="71"/>
      <c r="H29" s="72">
        <v>21</v>
      </c>
      <c r="I29" s="714" t="s">
        <v>232</v>
      </c>
      <c r="J29" s="714"/>
      <c r="K29" s="714"/>
      <c r="L29" s="714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715" t="s">
        <v>407</v>
      </c>
      <c r="C30" s="716"/>
      <c r="D30" s="716"/>
      <c r="E30" s="717"/>
      <c r="F30" s="73">
        <f>L14*L11</f>
        <v>36</v>
      </c>
      <c r="G30" s="71"/>
      <c r="H30" s="72">
        <v>22</v>
      </c>
      <c r="I30" s="714" t="s">
        <v>233</v>
      </c>
      <c r="J30" s="714"/>
      <c r="K30" s="714"/>
      <c r="L30" s="714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715" t="s">
        <v>408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409</v>
      </c>
      <c r="J31" s="714"/>
      <c r="K31" s="714"/>
      <c r="L31" s="714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715" t="s">
        <v>410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411</v>
      </c>
      <c r="J32" s="714"/>
      <c r="K32" s="714"/>
      <c r="L32" s="714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715" t="s">
        <v>412</v>
      </c>
      <c r="C33" s="716"/>
      <c r="D33" s="716"/>
      <c r="E33" s="717"/>
      <c r="F33" s="73">
        <f>L11*3</f>
        <v>9</v>
      </c>
      <c r="G33" s="71"/>
      <c r="H33" s="72">
        <v>25</v>
      </c>
      <c r="I33" s="714" t="s">
        <v>413</v>
      </c>
      <c r="J33" s="714"/>
      <c r="K33" s="714"/>
      <c r="L33" s="714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15" t="s">
        <v>414</v>
      </c>
      <c r="C34" s="716"/>
      <c r="D34" s="716"/>
      <c r="E34" s="717"/>
      <c r="F34" s="73">
        <f>L11*3</f>
        <v>9</v>
      </c>
      <c r="G34" s="71"/>
      <c r="H34" s="72">
        <v>26</v>
      </c>
      <c r="I34" s="714" t="s">
        <v>234</v>
      </c>
      <c r="J34" s="714"/>
      <c r="K34" s="714"/>
      <c r="L34" s="71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15" t="s">
        <v>415</v>
      </c>
      <c r="C35" s="716"/>
      <c r="D35" s="716"/>
      <c r="E35" s="717"/>
      <c r="F35" s="73">
        <f>IF(L11&gt;2,(L11-2)*2,"0")</f>
        <v>2</v>
      </c>
      <c r="G35" s="74"/>
      <c r="H35" s="72">
        <v>27</v>
      </c>
      <c r="I35" s="714" t="s">
        <v>235</v>
      </c>
      <c r="J35" s="714"/>
      <c r="K35" s="714"/>
      <c r="L35" s="71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15" t="s">
        <v>416</v>
      </c>
      <c r="C36" s="716"/>
      <c r="D36" s="716"/>
      <c r="E36" s="717"/>
      <c r="F36" s="73">
        <f>IF(L11&gt;2,(L11-2)*L14,"0")</f>
        <v>12</v>
      </c>
      <c r="G36" s="74"/>
      <c r="H36" s="72">
        <v>28</v>
      </c>
      <c r="I36" s="714" t="s">
        <v>417</v>
      </c>
      <c r="J36" s="714"/>
      <c r="K36" s="714"/>
      <c r="L36" s="714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715" t="s">
        <v>418</v>
      </c>
      <c r="C37" s="716"/>
      <c r="D37" s="716"/>
      <c r="E37" s="717"/>
      <c r="F37" s="73">
        <f>M24</f>
        <v>1</v>
      </c>
      <c r="G37" s="74"/>
      <c r="H37" s="72">
        <v>29</v>
      </c>
      <c r="I37" s="714" t="s">
        <v>419</v>
      </c>
      <c r="J37" s="714"/>
      <c r="K37" s="714"/>
      <c r="L37" s="714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14" t="s">
        <v>236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420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306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44315</v>
      </c>
      <c r="AB39" s="739"/>
    </row>
    <row r="40" ht="20.45" customHeight="1" s="58" customFormat="1">
      <c r="A40" s="749" t="s">
        <v>421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292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119829.89063897445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293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422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360</v>
      </c>
      <c r="B2" s="637">
        <f>Royal!C3</f>
        <v>0</v>
      </c>
      <c r="C2" s="638"/>
      <c r="D2" s="638"/>
      <c r="E2" s="638"/>
      <c r="F2" s="639"/>
      <c r="G2" s="1">
        <v>2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423</v>
      </c>
      <c r="F3" s="640" t="s">
        <v>424</v>
      </c>
      <c r="G3" s="640"/>
    </row>
    <row r="4" ht="18" customHeight="1">
      <c r="A4" s="11" t="s">
        <v>292</v>
      </c>
      <c r="F4" s="641" t="s">
        <v>425</v>
      </c>
      <c r="G4" s="642"/>
      <c r="H4" s="642"/>
      <c r="I4" s="643"/>
      <c r="J4" s="10"/>
    </row>
    <row r="5" ht="18" customHeight="1">
      <c r="A5" s="11" t="s">
        <v>293</v>
      </c>
      <c r="F5" s="644" t="s">
        <v>426</v>
      </c>
      <c r="G5" s="645"/>
      <c r="H5" s="645"/>
      <c r="I5" s="646"/>
      <c r="J5" s="10"/>
    </row>
    <row r="6" ht="18" customHeight="1">
      <c r="A6" s="11" t="s">
        <v>364</v>
      </c>
      <c r="Q6" s="647"/>
      <c r="R6" s="647"/>
      <c r="S6" s="647"/>
    </row>
    <row r="7" ht="18" customHeight="1">
      <c r="B7" s="180" t="s">
        <v>125</v>
      </c>
      <c r="C7" s="181">
        <f>تسعير!AA33</f>
        <v>1200</v>
      </c>
      <c r="D7" s="182" t="s">
        <v>427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9" t="s">
        <v>428</v>
      </c>
      <c r="C11" s="650"/>
      <c r="D11" s="645" t="s">
        <v>429</v>
      </c>
      <c r="E11" s="646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7"/>
      <c r="R15" s="647"/>
      <c r="S15" s="647"/>
    </row>
    <row r="16" ht="18" customHeight="1">
      <c r="C16" s="640" t="s">
        <v>431</v>
      </c>
      <c r="D16" s="640"/>
      <c r="E16" s="640"/>
      <c r="F16" s="1" t="s">
        <v>432</v>
      </c>
    </row>
    <row r="17" ht="18" customHeight="1">
      <c r="A17" s="640" t="s">
        <v>297</v>
      </c>
      <c r="B17" s="640"/>
      <c r="C17" s="640"/>
    </row>
    <row r="18" ht="18" customHeight="1">
      <c r="A18" s="651" t="s">
        <v>433</v>
      </c>
      <c r="B18" s="652"/>
      <c r="C18" s="14">
        <f>'Format Φωτισμου (2)'!B9</f>
        <v>5</v>
      </c>
    </row>
    <row r="19" ht="18" customHeight="1">
      <c r="A19" s="651" t="s">
        <v>434</v>
      </c>
      <c r="B19" s="652"/>
      <c r="C19" s="14">
        <f>'Format Φωτισμου (2)'!B12</f>
        <v>35</v>
      </c>
    </row>
    <row r="20" ht="18" customHeight="1">
      <c r="A20" s="651" t="s">
        <v>435</v>
      </c>
      <c r="B20" s="652"/>
      <c r="C20" s="14">
        <f>C19/C18</f>
        <v>7</v>
      </c>
    </row>
    <row r="21" ht="18" customHeight="1">
      <c r="A21" s="653" t="s">
        <v>436</v>
      </c>
      <c r="B21" s="654"/>
      <c r="C21" s="655">
        <v>20</v>
      </c>
      <c r="D21" s="656"/>
      <c r="E21" s="649" t="s">
        <v>437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438</v>
      </c>
      <c r="B22" s="652"/>
      <c r="C22" s="179">
        <v>50</v>
      </c>
      <c r="D22" s="184" t="s">
        <v>439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440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309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311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357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360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361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359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362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255</v>
      </c>
      <c r="B6" s="744"/>
      <c r="C6" s="745"/>
      <c r="D6" s="737" t="s">
        <v>363</v>
      </c>
      <c r="E6" s="670" t="s">
        <v>364</v>
      </c>
      <c r="F6" s="671"/>
      <c r="G6" s="672"/>
      <c r="H6" s="672"/>
      <c r="I6" s="671"/>
      <c r="J6" s="673"/>
      <c r="K6" s="674">
        <f>تسجيل2!C7</f>
        <v>1200</v>
      </c>
      <c r="L6" s="674"/>
      <c r="M6" s="94" t="s">
        <v>365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366</v>
      </c>
      <c r="F7" s="672"/>
      <c r="G7" s="672"/>
      <c r="H7" s="672"/>
      <c r="I7" s="672"/>
      <c r="J7" s="680"/>
      <c r="K7" s="681">
        <f>K6*N6/10000</f>
        <v>96</v>
      </c>
      <c r="L7" s="681"/>
      <c r="M7" s="681"/>
      <c r="N7" s="98" t="s">
        <v>367</v>
      </c>
      <c r="O7" s="99">
        <f>AA41/K7</f>
        <v>2172.21301096709</v>
      </c>
      <c r="S7" s="60" t="s">
        <v>127</v>
      </c>
      <c r="T7" s="61" t="s">
        <v>368</v>
      </c>
      <c r="Z7" s="151"/>
      <c r="AA7" s="60"/>
      <c r="AB7" s="60"/>
    </row>
    <row r="8">
      <c r="A8" s="746"/>
      <c r="B8" s="747"/>
      <c r="C8" s="748"/>
      <c r="D8" s="738"/>
      <c r="E8" s="682" t="s">
        <v>369</v>
      </c>
      <c r="F8" s="683"/>
      <c r="G8" s="683"/>
      <c r="H8" s="683"/>
      <c r="I8" s="683"/>
      <c r="J8" s="684"/>
      <c r="K8" s="685">
        <f>K6-1</f>
        <v>1199</v>
      </c>
      <c r="L8" s="685"/>
      <c r="M8" s="100" t="s">
        <v>370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208532.44905284065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371</v>
      </c>
      <c r="B10" s="686"/>
      <c r="C10" s="686"/>
      <c r="D10" s="686"/>
      <c r="E10" s="686"/>
      <c r="F10" s="686"/>
      <c r="G10" s="687" t="s">
        <v>372</v>
      </c>
      <c r="H10" s="687"/>
      <c r="I10" s="687" t="s">
        <v>373</v>
      </c>
      <c r="J10" s="687"/>
      <c r="K10" s="104"/>
      <c r="L10" s="688" t="s">
        <v>308</v>
      </c>
      <c r="M10" s="688"/>
      <c r="N10" s="688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689" t="s">
        <v>379</v>
      </c>
      <c r="B11" s="690"/>
      <c r="C11" s="690"/>
      <c r="D11" s="690"/>
      <c r="E11" s="690"/>
      <c r="F11" s="691"/>
      <c r="G11" s="692">
        <f>L11</f>
        <v>4</v>
      </c>
      <c r="H11" s="692"/>
      <c r="I11" s="693">
        <f>'Format διαστασης οδηγου (2)'!F8</f>
        <v>765</v>
      </c>
      <c r="J11" s="693"/>
      <c r="K11" s="106"/>
      <c r="L11" s="688">
        <f>IF(Format!A7=1,تسجيل2!H27,IF(Format!A7=2,تسجيل2!H27,IF(Format!A7=3,تسجيل2!H27,IF(Format!A7=4,تسجيل2!H27,IF(Format!A7=5,تسجيل2!H27,"-------")))))</f>
        <v>4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694" t="s">
        <v>380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696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694" t="s">
        <v>381</v>
      </c>
      <c r="B13" s="694"/>
      <c r="C13" s="694"/>
      <c r="D13" s="694"/>
      <c r="E13" s="694"/>
      <c r="F13" s="694"/>
      <c r="G13" s="695">
        <f>IF(L11&lt;=3,"0",(L11-3)*2)</f>
        <v>2</v>
      </c>
      <c r="H13" s="695"/>
      <c r="I13" s="696">
        <f>IF(G13="-------","-------",L17-5)</f>
        <v>392</v>
      </c>
      <c r="J13" s="696"/>
      <c r="K13" s="106"/>
      <c r="L13" s="697" t="s">
        <v>282</v>
      </c>
      <c r="M13" s="697"/>
      <c r="N13" s="69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694" t="s">
        <v>382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398.5</v>
      </c>
      <c r="J14" s="696"/>
      <c r="K14" s="106"/>
      <c r="L14" s="109">
        <f>تسجيل2!H28</f>
        <v>12</v>
      </c>
      <c r="M14" s="110" t="s">
        <v>286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694" t="s">
        <v>383</v>
      </c>
      <c r="B15" s="694"/>
      <c r="C15" s="694"/>
      <c r="D15" s="694"/>
      <c r="E15" s="694"/>
      <c r="F15" s="694"/>
      <c r="G15" s="695">
        <f>IF(L11&lt;=3,"0",(L11-3)*L14)</f>
        <v>12</v>
      </c>
      <c r="H15" s="695"/>
      <c r="I15" s="696">
        <f>IF(G15="-------","---------",I13)</f>
        <v>392</v>
      </c>
      <c r="J15" s="696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694" t="s">
        <v>384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696"/>
      <c r="K16" s="106"/>
      <c r="L16" s="698" t="s">
        <v>385</v>
      </c>
      <c r="M16" s="698"/>
      <c r="N16" s="698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694" t="s">
        <v>386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400.5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397</v>
      </c>
      <c r="M17" s="699"/>
      <c r="N17" s="69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694" t="s">
        <v>387</v>
      </c>
      <c r="B18" s="694"/>
      <c r="C18" s="694"/>
      <c r="D18" s="694"/>
      <c r="E18" s="694"/>
      <c r="F18" s="694"/>
      <c r="G18" s="695">
        <f>IF(L11&lt;=3,"0",(L11-3))</f>
        <v>1</v>
      </c>
      <c r="H18" s="695"/>
      <c r="I18" s="696">
        <f>IF(G18="-------","-------",L17)</f>
        <v>397</v>
      </c>
      <c r="J18" s="696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1197.5</v>
      </c>
      <c r="J19" s="696"/>
      <c r="K19" s="106"/>
      <c r="L19" s="700" t="s">
        <v>311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388</v>
      </c>
      <c r="B20" s="704"/>
      <c r="C20" s="704"/>
      <c r="D20" s="704"/>
      <c r="E20" s="704"/>
      <c r="F20" s="705"/>
      <c r="G20" s="703">
        <f>(G12+G13)/2</f>
        <v>3</v>
      </c>
      <c r="H20" s="704"/>
      <c r="I20" s="696">
        <f>L17-7</f>
        <v>390</v>
      </c>
      <c r="J20" s="696"/>
      <c r="K20" s="106"/>
      <c r="L20" s="114" t="s">
        <v>372</v>
      </c>
      <c r="M20" s="706" t="s">
        <v>389</v>
      </c>
      <c r="N20" s="70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7" t="s">
        <v>390</v>
      </c>
      <c r="B21" s="707"/>
      <c r="C21" s="707"/>
      <c r="D21" s="707"/>
      <c r="E21" s="707"/>
      <c r="F21" s="707"/>
      <c r="G21" s="708">
        <f>L11</f>
        <v>4</v>
      </c>
      <c r="H21" s="708"/>
      <c r="I21" s="709">
        <f>(I11*2)+45</f>
        <v>1575</v>
      </c>
      <c r="J21" s="709"/>
      <c r="K21" s="106"/>
      <c r="L21" s="112">
        <f>IF(Format!E7=1,"-------",IF(Format!E7=5,"-------",تسجيل2!H30))</f>
        <v>4</v>
      </c>
      <c r="M21" s="698" t="str">
        <f>IF(L21="-------","-------",تسجيل2!D11)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10" t="s">
        <v>391</v>
      </c>
      <c r="B23" s="711"/>
      <c r="C23" s="711"/>
      <c r="D23" s="711"/>
      <c r="E23" s="712"/>
      <c r="F23" s="67" t="s">
        <v>392</v>
      </c>
      <c r="G23" s="68"/>
      <c r="H23" s="710" t="s">
        <v>393</v>
      </c>
      <c r="I23" s="711"/>
      <c r="J23" s="711"/>
      <c r="K23" s="711"/>
      <c r="L23" s="712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398</v>
      </c>
      <c r="C24" s="713"/>
      <c r="D24" s="713"/>
      <c r="E24" s="713"/>
      <c r="F24" s="70">
        <f>L11</f>
        <v>4</v>
      </c>
      <c r="G24" s="71"/>
      <c r="H24" s="69">
        <v>16</v>
      </c>
      <c r="I24" s="713" t="s">
        <v>299</v>
      </c>
      <c r="J24" s="713"/>
      <c r="K24" s="713"/>
      <c r="L24" s="713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14" t="s">
        <v>399</v>
      </c>
      <c r="C25" s="714"/>
      <c r="D25" s="714"/>
      <c r="E25" s="714"/>
      <c r="F25" s="73">
        <f>L11</f>
        <v>4</v>
      </c>
      <c r="G25" s="71"/>
      <c r="H25" s="72">
        <v>17</v>
      </c>
      <c r="I25" s="714" t="s">
        <v>231</v>
      </c>
      <c r="J25" s="714"/>
      <c r="K25" s="714"/>
      <c r="L25" s="71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14" t="s">
        <v>400</v>
      </c>
      <c r="C26" s="714"/>
      <c r="D26" s="714"/>
      <c r="E26" s="714"/>
      <c r="F26" s="73">
        <f>M24</f>
        <v>2</v>
      </c>
      <c r="G26" s="71"/>
      <c r="H26" s="72">
        <v>18</v>
      </c>
      <c r="I26" s="714" t="s">
        <v>401</v>
      </c>
      <c r="J26" s="714"/>
      <c r="K26" s="714"/>
      <c r="L26" s="71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15" t="s">
        <v>402</v>
      </c>
      <c r="C27" s="716"/>
      <c r="D27" s="716"/>
      <c r="E27" s="717"/>
      <c r="F27" s="73">
        <v>4</v>
      </c>
      <c r="G27" s="71"/>
      <c r="H27" s="72">
        <v>19</v>
      </c>
      <c r="I27" s="714" t="s">
        <v>403</v>
      </c>
      <c r="J27" s="714"/>
      <c r="K27" s="714"/>
      <c r="L27" s="71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15" t="s">
        <v>404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405</v>
      </c>
      <c r="J28" s="714"/>
      <c r="K28" s="714"/>
      <c r="L28" s="71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15" t="s">
        <v>406</v>
      </c>
      <c r="C29" s="716"/>
      <c r="D29" s="716"/>
      <c r="E29" s="717"/>
      <c r="F29" s="73">
        <f>L11*2</f>
        <v>8</v>
      </c>
      <c r="G29" s="71"/>
      <c r="H29" s="72">
        <v>21</v>
      </c>
      <c r="I29" s="714" t="s">
        <v>232</v>
      </c>
      <c r="J29" s="714"/>
      <c r="K29" s="714"/>
      <c r="L29" s="71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15" t="s">
        <v>407</v>
      </c>
      <c r="C30" s="716"/>
      <c r="D30" s="716"/>
      <c r="E30" s="717"/>
      <c r="F30" s="73">
        <f>L14*L11</f>
        <v>48</v>
      </c>
      <c r="G30" s="71"/>
      <c r="H30" s="72">
        <v>22</v>
      </c>
      <c r="I30" s="714" t="s">
        <v>233</v>
      </c>
      <c r="J30" s="714"/>
      <c r="K30" s="714"/>
      <c r="L30" s="71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15" t="s">
        <v>408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409</v>
      </c>
      <c r="J31" s="714"/>
      <c r="K31" s="714"/>
      <c r="L31" s="71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15" t="s">
        <v>410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411</v>
      </c>
      <c r="J32" s="714"/>
      <c r="K32" s="714"/>
      <c r="L32" s="71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15" t="s">
        <v>412</v>
      </c>
      <c r="C33" s="716"/>
      <c r="D33" s="716"/>
      <c r="E33" s="717"/>
      <c r="F33" s="73">
        <f>L11*3</f>
        <v>12</v>
      </c>
      <c r="G33" s="71"/>
      <c r="H33" s="72">
        <v>25</v>
      </c>
      <c r="I33" s="714" t="s">
        <v>413</v>
      </c>
      <c r="J33" s="714"/>
      <c r="K33" s="714"/>
      <c r="L33" s="71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15" t="s">
        <v>414</v>
      </c>
      <c r="C34" s="716"/>
      <c r="D34" s="716"/>
      <c r="E34" s="717"/>
      <c r="F34" s="73">
        <f>L11*3</f>
        <v>12</v>
      </c>
      <c r="G34" s="71"/>
      <c r="H34" s="72">
        <v>26</v>
      </c>
      <c r="I34" s="714" t="s">
        <v>234</v>
      </c>
      <c r="J34" s="714"/>
      <c r="K34" s="714"/>
      <c r="L34" s="71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15" t="s">
        <v>415</v>
      </c>
      <c r="C35" s="716"/>
      <c r="D35" s="716"/>
      <c r="E35" s="717"/>
      <c r="F35" s="73">
        <f>IF(L11&gt;2,(L11-2)*2,"0")</f>
        <v>4</v>
      </c>
      <c r="G35" s="74"/>
      <c r="H35" s="72">
        <v>27</v>
      </c>
      <c r="I35" s="714" t="s">
        <v>235</v>
      </c>
      <c r="J35" s="714"/>
      <c r="K35" s="714"/>
      <c r="L35" s="71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15" t="s">
        <v>416</v>
      </c>
      <c r="C36" s="716"/>
      <c r="D36" s="716"/>
      <c r="E36" s="717"/>
      <c r="F36" s="73">
        <f>IF(L11&gt;2,(L11-2)*L14,"0")</f>
        <v>24</v>
      </c>
      <c r="G36" s="74"/>
      <c r="H36" s="72">
        <v>28</v>
      </c>
      <c r="I36" s="714" t="s">
        <v>417</v>
      </c>
      <c r="J36" s="714"/>
      <c r="K36" s="714"/>
      <c r="L36" s="71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15" t="s">
        <v>418</v>
      </c>
      <c r="C37" s="716"/>
      <c r="D37" s="716"/>
      <c r="E37" s="717"/>
      <c r="F37" s="73">
        <f>M24</f>
        <v>2</v>
      </c>
      <c r="G37" s="74"/>
      <c r="H37" s="72">
        <v>29</v>
      </c>
      <c r="I37" s="714" t="s">
        <v>419</v>
      </c>
      <c r="J37" s="714"/>
      <c r="K37" s="714"/>
      <c r="L37" s="71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14" t="s">
        <v>236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420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76507.1</v>
      </c>
      <c r="AB39" s="739"/>
    </row>
    <row r="40" ht="20.45" customHeight="1" s="58" customFormat="1">
      <c r="A40" s="749" t="s">
        <v>421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292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208532.44905284065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293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5" t="s">
        <v>300</v>
      </c>
      <c r="K1" s="756"/>
      <c r="L1" s="756"/>
      <c r="M1" s="757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339</v>
      </c>
      <c r="D17" s="759"/>
      <c r="E17" s="759"/>
      <c r="F17" s="760"/>
      <c r="G17" s="1"/>
      <c r="H17" s="1"/>
      <c r="I17" s="1"/>
    </row>
    <row r="18">
      <c r="A18" s="26" t="s">
        <v>340</v>
      </c>
      <c r="B18" s="27">
        <f>تسجيل2!C7</f>
        <v>1200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342</v>
      </c>
      <c r="B29" s="762"/>
      <c r="C29" s="762"/>
      <c r="D29" s="762"/>
      <c r="E29" s="762"/>
      <c r="F29" s="762"/>
      <c r="G29" s="762"/>
      <c r="H29" s="763"/>
      <c r="I29" s="761" t="s">
        <v>343</v>
      </c>
      <c r="J29" s="762"/>
      <c r="K29" s="762"/>
      <c r="L29" s="762"/>
      <c r="M29" s="762"/>
      <c r="N29" s="762"/>
      <c r="O29" s="762"/>
      <c r="P29" s="763"/>
      <c r="Q29" s="761" t="s">
        <v>344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265</v>
      </c>
      <c r="B1" s="771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2"/>
      <c r="B2" s="773"/>
      <c r="C2" s="10" t="s">
        <v>271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256</v>
      </c>
      <c r="L5" s="10" t="s">
        <v>274</v>
      </c>
    </row>
    <row r="6">
      <c r="A6" s="772"/>
      <c r="B6" s="773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278</v>
      </c>
      <c r="B10" s="777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8"/>
      <c r="B11" s="779"/>
      <c r="C11" s="10" t="s">
        <v>271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256</v>
      </c>
      <c r="L13" s="10" t="s">
        <v>274</v>
      </c>
    </row>
    <row r="14">
      <c r="A14" s="778"/>
      <c r="B14" s="779"/>
      <c r="H14" s="18"/>
      <c r="J14" s="10" t="s">
        <v>276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0"/>
      <c r="B16" s="781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281</v>
      </c>
      <c r="B19" s="783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4"/>
      <c r="B20" s="785"/>
      <c r="C20" s="10" t="s">
        <v>271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256</v>
      </c>
      <c r="L22" s="10" t="s">
        <v>274</v>
      </c>
    </row>
    <row r="23">
      <c r="A23" s="784"/>
      <c r="B23" s="785"/>
      <c r="H23" s="18"/>
      <c r="J23" s="10" t="s">
        <v>276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تسجيل2!C7</f>
        <v>1200</v>
      </c>
      <c r="J4" s="15">
        <v>4</v>
      </c>
      <c r="K4" s="15">
        <v>2</v>
      </c>
    </row>
    <row r="5">
      <c r="A5" s="1" t="s">
        <v>256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Ro-2'!L14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(((B4-(تسجيل2!C22*2))/200)+1)*B9</f>
        <v>32.5</v>
      </c>
      <c r="C10" s="650" t="s">
        <v>289</v>
      </c>
      <c r="D10" s="650"/>
      <c r="E10" s="14">
        <f>ROUND(B10,0)</f>
        <v>33</v>
      </c>
      <c r="J10" s="15">
        <v>10</v>
      </c>
      <c r="K10" s="15">
        <v>4</v>
      </c>
    </row>
    <row r="11">
      <c r="A11" s="12" t="s">
        <v>290</v>
      </c>
      <c r="B11" s="13">
        <f>E10/B9</f>
        <v>6.6</v>
      </c>
      <c r="C11" s="650" t="s">
        <v>289</v>
      </c>
      <c r="D11" s="650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260</v>
      </c>
      <c r="I7" s="788"/>
      <c r="J7" s="788"/>
      <c r="K7" s="789"/>
    </row>
    <row r="8">
      <c r="A8" s="4" t="s">
        <v>261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262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264</v>
      </c>
      <c r="I15" s="788"/>
      <c r="J15" s="788"/>
      <c r="K15" s="789"/>
    </row>
    <row r="16">
      <c r="A16" s="4" t="s">
        <v>261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262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5" t="s">
        <v>300</v>
      </c>
      <c r="K1" s="756"/>
      <c r="L1" s="756"/>
      <c r="M1" s="757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339</v>
      </c>
      <c r="D17" s="759"/>
      <c r="E17" s="759"/>
      <c r="F17" s="760"/>
      <c r="G17" s="1"/>
      <c r="H17" s="1"/>
      <c r="I17" s="1"/>
    </row>
    <row r="18">
      <c r="A18" s="26" t="s">
        <v>340</v>
      </c>
      <c r="B18" s="27">
        <f>تسجيل1!C7</f>
        <v>500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342</v>
      </c>
      <c r="B29" s="762"/>
      <c r="C29" s="762"/>
      <c r="D29" s="762"/>
      <c r="E29" s="762"/>
      <c r="F29" s="762"/>
      <c r="G29" s="762"/>
      <c r="H29" s="763"/>
      <c r="I29" s="761" t="s">
        <v>343</v>
      </c>
      <c r="J29" s="762"/>
      <c r="K29" s="762"/>
      <c r="L29" s="762"/>
      <c r="M29" s="762"/>
      <c r="N29" s="762"/>
      <c r="O29" s="762"/>
      <c r="P29" s="763"/>
      <c r="Q29" s="761" t="s">
        <v>344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265</v>
      </c>
      <c r="B1" s="771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2"/>
      <c r="B2" s="773"/>
      <c r="C2" s="10" t="s">
        <v>271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256</v>
      </c>
      <c r="L5" s="10" t="s">
        <v>274</v>
      </c>
    </row>
    <row r="6">
      <c r="A6" s="772"/>
      <c r="B6" s="773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278</v>
      </c>
      <c r="B10" s="777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8"/>
      <c r="B11" s="779"/>
      <c r="C11" s="10" t="s">
        <v>271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256</v>
      </c>
      <c r="L13" s="10" t="s">
        <v>274</v>
      </c>
    </row>
    <row r="14">
      <c r="A14" s="778"/>
      <c r="B14" s="779"/>
      <c r="H14" s="18"/>
      <c r="J14" s="10" t="s">
        <v>276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0"/>
      <c r="B16" s="781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281</v>
      </c>
      <c r="B19" s="783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4"/>
      <c r="B20" s="785"/>
      <c r="C20" s="10" t="s">
        <v>271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256</v>
      </c>
      <c r="L22" s="10" t="s">
        <v>274</v>
      </c>
    </row>
    <row r="23">
      <c r="A23" s="784"/>
      <c r="B23" s="785"/>
      <c r="H23" s="18"/>
      <c r="J23" s="10" t="s">
        <v>276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تسجيل1!C7</f>
        <v>500</v>
      </c>
      <c r="J4" s="15">
        <v>4</v>
      </c>
      <c r="K4" s="15">
        <v>2</v>
      </c>
    </row>
    <row r="5">
      <c r="A5" s="1" t="s">
        <v>256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Ro-1'!L14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(((B4-(تسجيل1!C22*2))/200)+1)*B9</f>
        <v>15</v>
      </c>
      <c r="C10" s="650" t="s">
        <v>289</v>
      </c>
      <c r="D10" s="650"/>
      <c r="E10" s="14">
        <f>ROUND(B10,0)</f>
        <v>15</v>
      </c>
      <c r="J10" s="15">
        <v>10</v>
      </c>
      <c r="K10" s="15">
        <v>4</v>
      </c>
    </row>
    <row r="11">
      <c r="A11" s="12" t="s">
        <v>290</v>
      </c>
      <c r="B11" s="13">
        <f>E10/B9</f>
        <v>3</v>
      </c>
      <c r="C11" s="650" t="s">
        <v>289</v>
      </c>
      <c r="D11" s="65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04"/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592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73"/>
      <c r="BG1" s="573"/>
      <c r="BH1" s="573"/>
      <c r="BI1" s="573"/>
      <c r="BJ1" s="573"/>
      <c r="BK1" s="573"/>
      <c r="BL1" s="573"/>
      <c r="BM1" s="573"/>
      <c r="BN1" s="573"/>
    </row>
    <row r="2" ht="45" customHeight="1">
      <c r="A2" s="604"/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592"/>
      <c r="S2" s="418" t="s">
        <v>163</v>
      </c>
      <c r="T2" s="419">
        <f>IF((V14="ok"),Royal!G80,"R")</f>
        <v>270464.97475408437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593" t="s">
        <v>163</v>
      </c>
      <c r="AG2" s="57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72"/>
      <c r="AI2" s="422"/>
      <c r="AJ2" s="422"/>
      <c r="AK2" s="422"/>
      <c r="AR2" s="414"/>
      <c r="AS2" s="472" t="s">
        <v>163</v>
      </c>
      <c r="AT2" s="473">
        <f>IF((AV14="OK"),wavy1!R72,"R")</f>
        <v>76569.905921052632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99980.0480877193</v>
      </c>
      <c r="BF2" s="573"/>
      <c r="BG2" s="573"/>
      <c r="BH2" s="573"/>
      <c r="BI2" s="573"/>
      <c r="BJ2" s="573"/>
      <c r="BK2" s="573"/>
      <c r="BL2" s="573"/>
      <c r="BM2" s="573"/>
      <c r="BN2" s="573"/>
    </row>
    <row r="3" ht="54.75" customHeight="1">
      <c r="A3" s="604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592"/>
      <c r="S3" s="528" t="s">
        <v>127</v>
      </c>
      <c r="T3" s="421">
        <f>T2/(AA10*X8)*10000</f>
        <v>6761.624368852109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593"/>
      <c r="AG3" s="572"/>
      <c r="AH3" s="572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6125.5924736842107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2856.5728025062658</v>
      </c>
      <c r="BF3" s="573"/>
      <c r="BG3" s="573"/>
      <c r="BH3" s="573"/>
      <c r="BI3" s="573"/>
      <c r="BJ3" s="573"/>
      <c r="BK3" s="573"/>
      <c r="BL3" s="573"/>
      <c r="BM3" s="573"/>
      <c r="BN3" s="573"/>
    </row>
    <row r="4" ht="55.5" customHeight="1">
      <c r="A4" s="604"/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592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593"/>
      <c r="AG4" s="572"/>
      <c r="AH4" s="572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74"/>
      <c r="BG4" s="575"/>
      <c r="BH4" s="575"/>
      <c r="BI4" s="575"/>
      <c r="BJ4" s="575"/>
      <c r="BK4" s="575"/>
      <c r="BL4" s="575"/>
      <c r="BM4" s="575"/>
      <c r="BN4" s="571"/>
    </row>
    <row r="5" ht="55.5" customHeight="1">
      <c r="A5" s="604"/>
      <c r="B5" s="604"/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592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574"/>
      <c r="BG5" s="575"/>
      <c r="BH5" s="575"/>
      <c r="BI5" s="575"/>
      <c r="BJ5" s="575"/>
      <c r="BK5" s="575"/>
      <c r="BL5" s="575"/>
      <c r="BM5" s="575"/>
      <c r="BN5" s="571"/>
    </row>
    <row r="6" ht="55.5" customHeight="1">
      <c r="A6" s="604"/>
      <c r="B6" s="604"/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592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578" t="s">
        <v>176</v>
      </c>
      <c r="AP6" s="579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571"/>
    </row>
    <row r="7" ht="18.75" customHeight="1">
      <c r="A7" s="604"/>
      <c r="B7" s="604"/>
      <c r="C7" s="604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592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71"/>
    </row>
    <row r="8" ht="55.5" customHeight="1">
      <c r="A8" s="415"/>
      <c r="B8" s="612" t="s">
        <v>178</v>
      </c>
      <c r="C8" s="612"/>
      <c r="D8" s="612"/>
      <c r="E8" s="415"/>
      <c r="F8" s="614"/>
      <c r="G8" s="614"/>
      <c r="H8" s="614"/>
      <c r="I8" s="604"/>
      <c r="J8" s="611"/>
      <c r="K8" s="611"/>
      <c r="L8" s="611"/>
      <c r="M8" s="604"/>
      <c r="N8" s="613"/>
      <c r="O8" s="613"/>
      <c r="P8" s="613"/>
      <c r="Q8" s="415"/>
      <c r="R8" s="592"/>
      <c r="S8" s="616"/>
      <c r="T8" s="616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3.3</v>
      </c>
      <c r="AL8" s="470" t="s">
        <v>169</v>
      </c>
      <c r="AM8" s="470" t="s">
        <v>181</v>
      </c>
      <c r="AN8" s="471" t="s">
        <v>182</v>
      </c>
      <c r="AO8" s="580"/>
      <c r="AP8" s="581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71"/>
    </row>
    <row r="9" ht="55.5" customHeight="1">
      <c r="A9" s="415"/>
      <c r="B9" s="612"/>
      <c r="C9" s="612"/>
      <c r="D9" s="612"/>
      <c r="E9" s="415"/>
      <c r="F9" s="614"/>
      <c r="G9" s="614"/>
      <c r="H9" s="614"/>
      <c r="I9" s="604"/>
      <c r="J9" s="611"/>
      <c r="K9" s="611"/>
      <c r="L9" s="611"/>
      <c r="M9" s="604"/>
      <c r="N9" s="613"/>
      <c r="O9" s="613"/>
      <c r="P9" s="613"/>
      <c r="Q9" s="415"/>
      <c r="R9" s="592"/>
      <c r="S9" s="617"/>
      <c r="T9" s="617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571"/>
    </row>
    <row r="10" ht="55.5" customHeight="1">
      <c r="A10" s="415"/>
      <c r="B10" s="612"/>
      <c r="C10" s="612"/>
      <c r="D10" s="612"/>
      <c r="E10" s="415"/>
      <c r="F10" s="614"/>
      <c r="G10" s="614"/>
      <c r="H10" s="614"/>
      <c r="I10" s="604"/>
      <c r="J10" s="611"/>
      <c r="K10" s="611"/>
      <c r="L10" s="611"/>
      <c r="M10" s="604"/>
      <c r="N10" s="613"/>
      <c r="O10" s="613"/>
      <c r="P10" s="613"/>
      <c r="Q10" s="415"/>
      <c r="R10" s="592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618" t="s">
        <v>187</v>
      </c>
      <c r="AF10" s="618"/>
      <c r="AG10" s="618"/>
      <c r="AH10" s="618"/>
      <c r="AI10" s="618"/>
      <c r="AJ10" s="618"/>
      <c r="AK10" s="618"/>
      <c r="AL10" s="618"/>
      <c r="AM10" s="618"/>
      <c r="AN10" s="618"/>
      <c r="AO10" s="618"/>
      <c r="AP10" s="618"/>
      <c r="AQ10" s="618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71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592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18"/>
      <c r="AF11" s="618"/>
      <c r="AG11" s="618"/>
      <c r="AH11" s="618"/>
      <c r="AI11" s="618"/>
      <c r="AJ11" s="618"/>
      <c r="AK11" s="618"/>
      <c r="AL11" s="618"/>
      <c r="AM11" s="618"/>
      <c r="AN11" s="618"/>
      <c r="AO11" s="618"/>
      <c r="AP11" s="618"/>
      <c r="AQ11" s="618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71"/>
    </row>
    <row r="12" ht="55.5" customHeight="1" s="413" customFormat="1">
      <c r="A12" s="415"/>
      <c r="B12" s="611"/>
      <c r="C12" s="611"/>
      <c r="D12" s="611"/>
      <c r="E12" s="415"/>
      <c r="F12" s="619"/>
      <c r="G12" s="619"/>
      <c r="H12" s="619"/>
      <c r="I12" s="604"/>
      <c r="J12" s="611"/>
      <c r="K12" s="611"/>
      <c r="L12" s="611"/>
      <c r="M12" s="604"/>
      <c r="N12" s="605"/>
      <c r="O12" s="605"/>
      <c r="P12" s="605"/>
      <c r="Q12" s="415"/>
      <c r="R12" s="592"/>
      <c r="S12" s="530" t="s">
        <v>188</v>
      </c>
      <c r="T12" s="533"/>
      <c r="AC12" s="415"/>
      <c r="AD12" s="414"/>
      <c r="AE12" s="618"/>
      <c r="AF12" s="618"/>
      <c r="AG12" s="618"/>
      <c r="AH12" s="618"/>
      <c r="AI12" s="618"/>
      <c r="AJ12" s="618"/>
      <c r="AK12" s="618"/>
      <c r="AL12" s="618"/>
      <c r="AM12" s="618"/>
      <c r="AN12" s="618"/>
      <c r="AO12" s="618"/>
      <c r="AP12" s="618"/>
      <c r="AQ12" s="618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71"/>
    </row>
    <row r="13" ht="55.5" customHeight="1" s="413" customFormat="1">
      <c r="A13" s="415"/>
      <c r="B13" s="611"/>
      <c r="C13" s="611"/>
      <c r="D13" s="611"/>
      <c r="E13" s="415"/>
      <c r="F13" s="619"/>
      <c r="G13" s="619"/>
      <c r="H13" s="619"/>
      <c r="I13" s="604"/>
      <c r="J13" s="611"/>
      <c r="K13" s="611"/>
      <c r="L13" s="611"/>
      <c r="M13" s="604"/>
      <c r="N13" s="605"/>
      <c r="O13" s="605"/>
      <c r="P13" s="605"/>
      <c r="Q13" s="415"/>
      <c r="R13" s="592"/>
      <c r="S13" s="535" t="s">
        <v>189</v>
      </c>
      <c r="T13" s="496"/>
      <c r="AC13" s="415"/>
      <c r="AD13" s="414"/>
      <c r="AE13" s="618"/>
      <c r="AF13" s="618"/>
      <c r="AG13" s="618"/>
      <c r="AH13" s="618"/>
      <c r="AI13" s="618"/>
      <c r="AJ13" s="618"/>
      <c r="AK13" s="618"/>
      <c r="AL13" s="618"/>
      <c r="AM13" s="618"/>
      <c r="AN13" s="618"/>
      <c r="AO13" s="618"/>
      <c r="AP13" s="618"/>
      <c r="AQ13" s="618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71"/>
    </row>
    <row r="14" ht="55.5" customHeight="1" s="413" customFormat="1">
      <c r="A14" s="415"/>
      <c r="B14" s="611"/>
      <c r="C14" s="611"/>
      <c r="D14" s="611"/>
      <c r="E14" s="415"/>
      <c r="F14" s="619"/>
      <c r="G14" s="619"/>
      <c r="H14" s="619"/>
      <c r="I14" s="604"/>
      <c r="J14" s="611"/>
      <c r="K14" s="611"/>
      <c r="L14" s="611"/>
      <c r="M14" s="604"/>
      <c r="N14" s="605"/>
      <c r="O14" s="605"/>
      <c r="P14" s="605"/>
      <c r="Q14" s="415"/>
      <c r="R14" s="592"/>
      <c r="S14" s="536" t="s">
        <v>191</v>
      </c>
      <c r="T14" s="534"/>
      <c r="U14" s="497" t="s">
        <v>192</v>
      </c>
      <c r="V14" s="57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77"/>
      <c r="X14" s="577"/>
      <c r="Y14" s="577"/>
      <c r="Z14" s="577"/>
      <c r="AA14" s="577"/>
      <c r="AB14" s="577"/>
      <c r="AC14" s="577"/>
      <c r="AD14" s="414"/>
      <c r="AE14" s="618"/>
      <c r="AF14" s="618"/>
      <c r="AG14" s="618"/>
      <c r="AH14" s="618"/>
      <c r="AI14" s="618"/>
      <c r="AJ14" s="618"/>
      <c r="AK14" s="618"/>
      <c r="AL14" s="618"/>
      <c r="AM14" s="618"/>
      <c r="AN14" s="618"/>
      <c r="AO14" s="618"/>
      <c r="AP14" s="618"/>
      <c r="AQ14" s="618"/>
      <c r="AR14" s="414"/>
      <c r="AS14" s="438" t="s">
        <v>191</v>
      </c>
      <c r="AT14" s="438"/>
      <c r="AU14" s="434" t="s">
        <v>192</v>
      </c>
      <c r="AV14" s="57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77"/>
      <c r="AX14" s="577"/>
      <c r="AY14" s="577"/>
      <c r="AZ14" s="577"/>
      <c r="BA14" s="577"/>
      <c r="BB14" s="577"/>
      <c r="BC14" s="414"/>
      <c r="BD14" s="492" t="s">
        <v>191</v>
      </c>
      <c r="BE14" s="492"/>
      <c r="BF14" s="497" t="s">
        <v>193</v>
      </c>
      <c r="BG14" s="57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77"/>
      <c r="BI14" s="577"/>
      <c r="BJ14" s="577"/>
      <c r="BK14" s="577"/>
      <c r="BL14" s="577"/>
      <c r="BM14" s="577"/>
      <c r="BN14" s="541"/>
    </row>
    <row r="15" ht="18.75" customHeight="1" s="413" customFormat="1">
      <c r="A15" s="415"/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604"/>
      <c r="O15" s="604"/>
      <c r="P15" s="604"/>
      <c r="Q15" s="415"/>
      <c r="R15" s="592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18"/>
      <c r="AF15" s="618"/>
      <c r="AG15" s="618"/>
      <c r="AH15" s="618"/>
      <c r="AI15" s="618"/>
      <c r="AJ15" s="618"/>
      <c r="AK15" s="618"/>
      <c r="AL15" s="618"/>
      <c r="AM15" s="618"/>
      <c r="AN15" s="618"/>
      <c r="AO15" s="618"/>
      <c r="AP15" s="618"/>
      <c r="AQ15" s="618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04"/>
      <c r="B16" s="604"/>
      <c r="C16" s="604"/>
      <c r="D16" s="604"/>
      <c r="E16" s="604"/>
      <c r="F16" s="604"/>
      <c r="G16" s="604"/>
      <c r="H16" s="604"/>
      <c r="I16" s="604"/>
      <c r="J16" s="604"/>
      <c r="K16" s="604"/>
      <c r="L16" s="604"/>
      <c r="M16" s="604"/>
      <c r="N16" s="604"/>
      <c r="O16" s="604"/>
      <c r="P16" s="604"/>
      <c r="Q16" s="604"/>
      <c r="R16" s="592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18"/>
      <c r="AF16" s="618"/>
      <c r="AG16" s="618"/>
      <c r="AH16" s="618"/>
      <c r="AI16" s="618"/>
      <c r="AJ16" s="618"/>
      <c r="AK16" s="618"/>
      <c r="AL16" s="618"/>
      <c r="AM16" s="618"/>
      <c r="AN16" s="618"/>
      <c r="AO16" s="618"/>
      <c r="AP16" s="618"/>
      <c r="AQ16" s="618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04"/>
      <c r="B17" s="604"/>
      <c r="C17" s="604"/>
      <c r="D17" s="604"/>
      <c r="E17" s="604"/>
      <c r="F17" s="604"/>
      <c r="G17" s="604"/>
      <c r="H17" s="604"/>
      <c r="I17" s="604"/>
      <c r="J17" s="604"/>
      <c r="K17" s="604"/>
      <c r="L17" s="604"/>
      <c r="M17" s="604"/>
      <c r="N17" s="604"/>
      <c r="O17" s="604"/>
      <c r="P17" s="604"/>
      <c r="Q17" s="604"/>
      <c r="R17" s="592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04"/>
      <c r="B18" s="604"/>
      <c r="C18" s="604"/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604"/>
      <c r="P18" s="604"/>
      <c r="Q18" s="604"/>
      <c r="R18" s="592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04"/>
      <c r="B19" s="604"/>
      <c r="C19" s="604"/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592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04"/>
      <c r="B20" s="604"/>
      <c r="C20" s="604"/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592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03" t="s">
        <v>194</v>
      </c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592"/>
      <c r="S21" s="590" t="s">
        <v>195</v>
      </c>
      <c r="T21" s="591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603"/>
      <c r="B22" s="603"/>
      <c r="C22" s="603"/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592"/>
      <c r="S22" s="442" t="s">
        <v>163</v>
      </c>
      <c r="T22" s="443">
        <f>Royal2!G85</f>
        <v>492752.90214556217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10" t="s">
        <v>163</v>
      </c>
      <c r="AF22" s="610"/>
      <c r="AG22" s="572">
        <f>'شماسي و كانتليفر'!AE12</f>
        <v>23414.625</v>
      </c>
      <c r="AH22" s="572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351024.75</v>
      </c>
      <c r="AU22" s="480"/>
      <c r="BC22" s="414"/>
      <c r="BD22" s="472" t="s">
        <v>163</v>
      </c>
      <c r="BE22" s="473">
        <f>'بيرسا و لوفرز'!R140</f>
        <v>260670.45333333334</v>
      </c>
      <c r="BF22" s="480"/>
      <c r="BN22" s="415"/>
    </row>
    <row r="23" ht="39.75" customHeight="1" s="413" customFormat="1">
      <c r="A23" s="603"/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592"/>
      <c r="S23" s="444" t="s">
        <v>127</v>
      </c>
      <c r="T23" s="443">
        <f>T22/(AA33*X31)*10000</f>
        <v>5132.842730682939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10"/>
      <c r="AF23" s="610"/>
      <c r="AG23" s="572"/>
      <c r="AH23" s="572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17551.2375</v>
      </c>
      <c r="AU23" s="480"/>
      <c r="AV23" s="481"/>
      <c r="BC23" s="414"/>
      <c r="BD23" s="472" t="s">
        <v>127</v>
      </c>
      <c r="BE23" s="474">
        <f>BE22/(BE33*BE34/10000)</f>
        <v>19461.7331143298</v>
      </c>
      <c r="BF23" s="480"/>
      <c r="BG23" s="481"/>
      <c r="BN23" s="415"/>
    </row>
    <row r="24" ht="39.75" customHeight="1" s="413" customFormat="1">
      <c r="A24" s="603"/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592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603"/>
      <c r="B25" s="603"/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592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603"/>
      <c r="B26" s="603"/>
      <c r="C26" s="603"/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592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94" t="s">
        <v>170</v>
      </c>
      <c r="AH26" s="598" t="s">
        <v>198</v>
      </c>
      <c r="AI26" s="594" t="s">
        <v>173</v>
      </c>
      <c r="AJ26" s="594" t="s">
        <v>174</v>
      </c>
      <c r="AK26" s="594" t="s">
        <v>175</v>
      </c>
      <c r="AL26" s="608" t="s">
        <v>176</v>
      </c>
      <c r="AM26" s="608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603"/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592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95"/>
      <c r="AH27" s="599"/>
      <c r="AI27" s="595"/>
      <c r="AJ27" s="595"/>
      <c r="AK27" s="595"/>
      <c r="AL27" s="609"/>
      <c r="AM27" s="609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03"/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592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96" t="s">
        <v>199</v>
      </c>
      <c r="AH28" s="596" t="s">
        <v>200</v>
      </c>
      <c r="AI28" s="596" t="s">
        <v>169</v>
      </c>
      <c r="AJ28" s="596" t="s">
        <v>201</v>
      </c>
      <c r="AK28" s="596" t="s">
        <v>202</v>
      </c>
      <c r="AL28" s="606"/>
      <c r="AM28" s="606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03"/>
      <c r="B29" s="603"/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592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97"/>
      <c r="AH29" s="597"/>
      <c r="AI29" s="597"/>
      <c r="AJ29" s="597"/>
      <c r="AK29" s="597"/>
      <c r="AL29" s="607"/>
      <c r="AM29" s="607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603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592"/>
      <c r="S30" s="440" t="s">
        <v>203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603"/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592"/>
      <c r="S31" s="440" t="s">
        <v>204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20" t="s">
        <v>205</v>
      </c>
      <c r="AF31" s="620"/>
      <c r="AG31" s="620"/>
      <c r="AH31" s="620"/>
      <c r="AI31" s="620"/>
      <c r="AJ31" s="620"/>
      <c r="AK31" s="620"/>
      <c r="AL31" s="620"/>
      <c r="AM31" s="620"/>
      <c r="AN31" s="620"/>
      <c r="AO31" s="620"/>
      <c r="AP31" s="62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03"/>
      <c r="B32" s="603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592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603"/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592"/>
      <c r="S33" s="440" t="s">
        <v>189</v>
      </c>
      <c r="T33" s="455"/>
      <c r="U33" s="454"/>
      <c r="V33" s="621"/>
      <c r="W33" s="621"/>
      <c r="X33" s="456"/>
      <c r="Y33" s="454"/>
      <c r="Z33" s="454"/>
      <c r="AA33" s="453">
        <v>1200</v>
      </c>
      <c r="AB33" s="454"/>
      <c r="AC33" s="454"/>
      <c r="AD33" s="414"/>
      <c r="AE33" s="605"/>
      <c r="AF33" s="605"/>
      <c r="AG33" s="605"/>
      <c r="AH33" s="605"/>
      <c r="AI33" s="605"/>
      <c r="AJ33" s="605"/>
      <c r="AK33" s="605"/>
      <c r="AL33" s="605"/>
      <c r="AM33" s="605"/>
      <c r="AN33" s="605"/>
      <c r="AO33" s="605"/>
      <c r="AP33" s="605"/>
      <c r="AQ33" s="60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603"/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592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05"/>
      <c r="AF34" s="605"/>
      <c r="AG34" s="605"/>
      <c r="AH34" s="605"/>
      <c r="AI34" s="605"/>
      <c r="AJ34" s="605"/>
      <c r="AK34" s="605"/>
      <c r="AL34" s="605"/>
      <c r="AM34" s="605"/>
      <c r="AN34" s="605"/>
      <c r="AO34" s="605"/>
      <c r="AP34" s="605"/>
      <c r="AQ34" s="605"/>
      <c r="AR34" s="414"/>
      <c r="AS34" s="438" t="s">
        <v>191</v>
      </c>
      <c r="AT34" s="438">
        <v>500</v>
      </c>
      <c r="AU34" s="486"/>
      <c r="AZ34" s="582"/>
      <c r="BA34" s="582"/>
      <c r="BB34" s="582"/>
      <c r="BD34" s="438" t="s">
        <v>191</v>
      </c>
      <c r="BE34" s="438">
        <v>362</v>
      </c>
      <c r="BF34" s="486"/>
      <c r="BK34" s="582"/>
      <c r="BL34" s="582"/>
      <c r="BM34" s="582"/>
      <c r="BN34" s="415"/>
    </row>
    <row r="35" ht="41.25" customHeight="1">
      <c r="A35" s="603"/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592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05"/>
      <c r="AF35" s="605"/>
      <c r="AG35" s="605"/>
      <c r="AH35" s="605"/>
      <c r="AI35" s="605"/>
      <c r="AJ35" s="605"/>
      <c r="AK35" s="605"/>
      <c r="AL35" s="605"/>
      <c r="AM35" s="605"/>
      <c r="AN35" s="605"/>
      <c r="AO35" s="605"/>
      <c r="AP35" s="605"/>
      <c r="AQ35" s="605"/>
      <c r="AR35" s="414"/>
      <c r="AS35" s="415"/>
      <c r="AT35" s="415"/>
      <c r="BD35" s="415"/>
      <c r="BE35" s="415"/>
      <c r="BN35" s="415"/>
    </row>
    <row r="36" ht="41.25" customHeight="1">
      <c r="A36" s="603"/>
      <c r="B36" s="603"/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592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206</v>
      </c>
      <c r="AD36" s="414"/>
      <c r="AE36" s="605"/>
      <c r="AF36" s="605"/>
      <c r="AG36" s="605"/>
      <c r="AH36" s="605"/>
      <c r="AI36" s="605"/>
      <c r="AJ36" s="605"/>
      <c r="AK36" s="605"/>
      <c r="AL36" s="605"/>
      <c r="AM36" s="605"/>
      <c r="AN36" s="605"/>
      <c r="AO36" s="605"/>
      <c r="AP36" s="605"/>
      <c r="AQ36" s="60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603"/>
      <c r="B37" s="603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592"/>
      <c r="S37" s="415"/>
      <c r="T37" s="415"/>
      <c r="U37" s="615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15"/>
      <c r="W37" s="615"/>
      <c r="X37" s="615"/>
      <c r="Y37" s="615"/>
      <c r="Z37" s="615"/>
      <c r="AA37" s="615"/>
      <c r="AB37" s="615"/>
      <c r="AC37" s="615"/>
      <c r="AD37" s="414"/>
      <c r="AE37" s="605"/>
      <c r="AF37" s="605"/>
      <c r="AG37" s="605"/>
      <c r="AH37" s="605"/>
      <c r="AI37" s="605"/>
      <c r="AJ37" s="605"/>
      <c r="AK37" s="605"/>
      <c r="AL37" s="605"/>
      <c r="AM37" s="605"/>
      <c r="AN37" s="605"/>
      <c r="AO37" s="605"/>
      <c r="AP37" s="605"/>
      <c r="AQ37" s="605"/>
      <c r="AR37" s="414"/>
      <c r="AS37" s="585">
        <f>('بيرسا و لوفرز'!F24+'بيرسا و لوفرز'!V55+'بيرسا و لوفرز'!V63)*1.35</f>
        <v>217503.90000000002</v>
      </c>
      <c r="AT37" s="586"/>
      <c r="BD37" s="585">
        <f>('بيرسا و لوفرز'!F97+'بيرسا و لوفرز'!V126+'بيرسا و لوفرز'!V134)*1.35</f>
        <v>181242.90000000002</v>
      </c>
      <c r="BE37" s="586"/>
      <c r="BN37" s="415"/>
    </row>
    <row r="38" ht="41.25" customHeight="1">
      <c r="A38" s="604"/>
      <c r="B38" s="604"/>
      <c r="C38" s="604"/>
      <c r="D38" s="604"/>
      <c r="E38" s="604"/>
      <c r="F38" s="604"/>
      <c r="G38" s="604"/>
      <c r="H38" s="604"/>
      <c r="I38" s="604"/>
      <c r="J38" s="604"/>
      <c r="K38" s="604"/>
      <c r="L38" s="604"/>
      <c r="M38" s="604"/>
      <c r="N38" s="604"/>
      <c r="O38" s="604"/>
      <c r="P38" s="604"/>
      <c r="Q38" s="604"/>
      <c r="R38" s="592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05"/>
      <c r="AF38" s="605"/>
      <c r="AG38" s="605"/>
      <c r="AH38" s="605"/>
      <c r="AI38" s="605"/>
      <c r="AJ38" s="605"/>
      <c r="AK38" s="605"/>
      <c r="AL38" s="605"/>
      <c r="AM38" s="605"/>
      <c r="AN38" s="605"/>
      <c r="AO38" s="605"/>
      <c r="AP38" s="605"/>
      <c r="AQ38" s="605"/>
      <c r="AR38" s="414"/>
      <c r="AS38" s="585">
        <f>AS37/(AT34*AT33/10000)</f>
        <v>10875.195000000002</v>
      </c>
      <c r="AT38" s="586"/>
      <c r="BD38" s="585">
        <f>BD37/(BE33*BE34/10000)</f>
        <v>13531.648499328059</v>
      </c>
      <c r="BE38" s="586"/>
      <c r="BK38" s="493">
        <f>BE33</f>
        <v>370</v>
      </c>
      <c r="BN38" s="415"/>
    </row>
    <row r="39" ht="41.25" customHeight="1">
      <c r="A39" s="604"/>
      <c r="B39" s="604"/>
      <c r="C39" s="604"/>
      <c r="D39" s="604"/>
      <c r="E39" s="604"/>
      <c r="F39" s="604"/>
      <c r="G39" s="604"/>
      <c r="H39" s="604"/>
      <c r="I39" s="604"/>
      <c r="J39" s="604"/>
      <c r="K39" s="604"/>
      <c r="L39" s="604"/>
      <c r="M39" s="604"/>
      <c r="N39" s="604"/>
      <c r="O39" s="604"/>
      <c r="P39" s="604"/>
      <c r="Q39" s="604"/>
      <c r="R39" s="592"/>
      <c r="S39" s="604"/>
      <c r="T39" s="604"/>
      <c r="U39" s="604"/>
      <c r="V39" s="604"/>
      <c r="W39" s="604"/>
      <c r="X39" s="604"/>
      <c r="Y39" s="604"/>
      <c r="Z39" s="604"/>
      <c r="AA39" s="604"/>
      <c r="AB39" s="604"/>
      <c r="AC39" s="604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04"/>
      <c r="B40" s="604"/>
      <c r="C40" s="604"/>
      <c r="D40" s="604"/>
      <c r="E40" s="604"/>
      <c r="F40" s="604"/>
      <c r="G40" s="604"/>
      <c r="H40" s="604"/>
      <c r="I40" s="604"/>
      <c r="J40" s="604"/>
      <c r="K40" s="604"/>
      <c r="L40" s="604"/>
      <c r="M40" s="604"/>
      <c r="N40" s="604"/>
      <c r="O40" s="604"/>
      <c r="P40" s="604"/>
      <c r="Q40" s="604"/>
      <c r="R40" s="592"/>
      <c r="S40" s="604"/>
      <c r="T40" s="604"/>
      <c r="U40" s="604"/>
      <c r="V40" s="604"/>
      <c r="W40" s="604"/>
      <c r="X40" s="604"/>
      <c r="Y40" s="604"/>
      <c r="Z40" s="604"/>
      <c r="AA40" s="604"/>
      <c r="AB40" s="604"/>
      <c r="AC40" s="604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04"/>
      <c r="B41" s="604"/>
      <c r="C41" s="604"/>
      <c r="D41" s="604"/>
      <c r="E41" s="604"/>
      <c r="F41" s="604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592"/>
      <c r="S41" s="604"/>
      <c r="T41" s="604"/>
      <c r="U41" s="604"/>
      <c r="V41" s="604"/>
      <c r="W41" s="604"/>
      <c r="X41" s="604"/>
      <c r="Y41" s="604"/>
      <c r="Z41" s="604"/>
      <c r="AA41" s="604"/>
      <c r="AB41" s="604"/>
      <c r="AC41" s="604"/>
      <c r="AD41" s="414"/>
      <c r="AE41" s="601" t="s">
        <v>207</v>
      </c>
      <c r="AF41" s="601"/>
      <c r="AG41" s="601"/>
      <c r="AH41" s="601"/>
      <c r="AI41" s="601"/>
      <c r="AJ41" s="601"/>
      <c r="AK41" s="601"/>
      <c r="AL41" s="601"/>
      <c r="AM41" s="601"/>
      <c r="AN41" s="601"/>
      <c r="AO41" s="601"/>
      <c r="AP41" s="601"/>
      <c r="AQ41" s="601"/>
      <c r="AR41" s="414"/>
      <c r="AS41" s="587" t="s">
        <v>208</v>
      </c>
      <c r="AT41" s="587"/>
      <c r="AU41" s="587"/>
      <c r="AW41" s="485"/>
      <c r="BD41" s="416" t="s">
        <v>209</v>
      </c>
      <c r="BE41" s="416"/>
      <c r="BF41" s="416"/>
      <c r="BH41" s="485"/>
      <c r="BN41" s="415"/>
    </row>
    <row r="42" ht="42" customHeight="1">
      <c r="A42" s="604"/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592"/>
      <c r="S42" s="590" t="s">
        <v>210</v>
      </c>
      <c r="T42" s="591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01"/>
      <c r="AF42" s="601"/>
      <c r="AG42" s="601"/>
      <c r="AH42" s="601"/>
      <c r="AI42" s="601"/>
      <c r="AJ42" s="601"/>
      <c r="AK42" s="601"/>
      <c r="AL42" s="601"/>
      <c r="AM42" s="601"/>
      <c r="AN42" s="601"/>
      <c r="AO42" s="601"/>
      <c r="AP42" s="601"/>
      <c r="AQ42" s="601"/>
      <c r="AR42" s="414"/>
      <c r="AS42" s="472" t="s">
        <v>163</v>
      </c>
      <c r="AT42" s="473">
        <f>'بيرسا و لوفرز'!BM68</f>
        <v>197816.645</v>
      </c>
      <c r="AU42" s="480"/>
      <c r="BD42" s="472" t="s">
        <v>163</v>
      </c>
      <c r="BE42" s="473">
        <f>'بيرسا و لوفرز'!BM139</f>
        <v>205312.01166666666</v>
      </c>
      <c r="BF42" s="480"/>
      <c r="BN42" s="415"/>
    </row>
    <row r="43" ht="42" customHeight="1">
      <c r="A43" s="603" t="s">
        <v>211</v>
      </c>
      <c r="B43" s="603"/>
      <c r="C43" s="603"/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592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01"/>
      <c r="AF43" s="601"/>
      <c r="AG43" s="601"/>
      <c r="AH43" s="601"/>
      <c r="AI43" s="601"/>
      <c r="AJ43" s="601"/>
      <c r="AK43" s="601"/>
      <c r="AL43" s="601"/>
      <c r="AM43" s="601"/>
      <c r="AN43" s="601"/>
      <c r="AO43" s="601"/>
      <c r="AP43" s="601"/>
      <c r="AQ43" s="601"/>
      <c r="AR43" s="414"/>
      <c r="AS43" s="472" t="s">
        <v>127</v>
      </c>
      <c r="AT43" s="474">
        <f>AT42/(AT53*AT54/10000)</f>
        <v>9890.83225</v>
      </c>
      <c r="AU43" s="480"/>
      <c r="AV43" s="481"/>
      <c r="BD43" s="472" t="s">
        <v>127</v>
      </c>
      <c r="BE43" s="474">
        <f>BE42/(BE53*BE54/10000)</f>
        <v>10265.600583333333</v>
      </c>
      <c r="BF43" s="480"/>
      <c r="BG43" s="481"/>
      <c r="BN43" s="415"/>
    </row>
    <row r="44" ht="42" customHeight="1">
      <c r="A44" s="603"/>
      <c r="B44" s="603"/>
      <c r="C44" s="603"/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592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602"/>
      <c r="Z44" s="602"/>
      <c r="AA44" s="458"/>
      <c r="AB44" s="458"/>
      <c r="AC44" s="458"/>
      <c r="AD44" s="414"/>
      <c r="AE44" s="601"/>
      <c r="AF44" s="601"/>
      <c r="AG44" s="601"/>
      <c r="AH44" s="601"/>
      <c r="AI44" s="601"/>
      <c r="AJ44" s="601"/>
      <c r="AK44" s="601"/>
      <c r="AL44" s="601"/>
      <c r="AM44" s="601"/>
      <c r="AN44" s="601"/>
      <c r="AO44" s="601"/>
      <c r="AP44" s="601"/>
      <c r="AQ44" s="601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603"/>
      <c r="B45" s="603"/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592"/>
      <c r="S45" s="440" t="s">
        <v>164</v>
      </c>
      <c r="T45" s="441" t="s">
        <v>21</v>
      </c>
      <c r="U45" s="458"/>
      <c r="V45" s="458"/>
      <c r="W45" s="458"/>
      <c r="X45" s="458"/>
      <c r="Y45" s="602"/>
      <c r="Z45" s="602"/>
      <c r="AA45" s="458"/>
      <c r="AB45" s="458"/>
      <c r="AC45" s="458"/>
      <c r="AD45" s="414"/>
      <c r="AE45" s="601"/>
      <c r="AF45" s="601"/>
      <c r="AG45" s="601"/>
      <c r="AH45" s="601"/>
      <c r="AI45" s="601"/>
      <c r="AJ45" s="601"/>
      <c r="AK45" s="601"/>
      <c r="AL45" s="601"/>
      <c r="AM45" s="601"/>
      <c r="AN45" s="601"/>
      <c r="AO45" s="601"/>
      <c r="AP45" s="601"/>
      <c r="AQ45" s="601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603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592"/>
      <c r="S46" s="445" t="s">
        <v>165</v>
      </c>
      <c r="T46" s="446" t="s">
        <v>166</v>
      </c>
      <c r="U46" s="458"/>
      <c r="V46" s="458"/>
      <c r="W46" s="458"/>
      <c r="X46" s="458"/>
      <c r="Y46" s="602"/>
      <c r="Z46" s="602"/>
      <c r="AA46" s="458"/>
      <c r="AB46" s="458"/>
      <c r="AC46" s="458"/>
      <c r="AD46" s="414"/>
      <c r="AE46" s="601"/>
      <c r="AF46" s="601"/>
      <c r="AG46" s="601"/>
      <c r="AH46" s="601"/>
      <c r="AI46" s="601"/>
      <c r="AJ46" s="601"/>
      <c r="AK46" s="601"/>
      <c r="AL46" s="601"/>
      <c r="AM46" s="601"/>
      <c r="AN46" s="601"/>
      <c r="AO46" s="601"/>
      <c r="AP46" s="601"/>
      <c r="AQ46" s="601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603"/>
      <c r="B47" s="603"/>
      <c r="C47" s="603"/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592"/>
      <c r="S47" s="440" t="s">
        <v>212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01"/>
      <c r="AF47" s="601"/>
      <c r="AG47" s="601"/>
      <c r="AH47" s="601"/>
      <c r="AI47" s="601"/>
      <c r="AJ47" s="601"/>
      <c r="AK47" s="601"/>
      <c r="AL47" s="601"/>
      <c r="AM47" s="601"/>
      <c r="AN47" s="601"/>
      <c r="AO47" s="601"/>
      <c r="AP47" s="601"/>
      <c r="AQ47" s="601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03"/>
      <c r="B48" s="603"/>
      <c r="C48" s="603"/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592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01"/>
      <c r="AF48" s="601"/>
      <c r="AG48" s="601"/>
      <c r="AH48" s="601"/>
      <c r="AI48" s="601"/>
      <c r="AJ48" s="601"/>
      <c r="AK48" s="601"/>
      <c r="AL48" s="601"/>
      <c r="AM48" s="601"/>
      <c r="AN48" s="601"/>
      <c r="AO48" s="601"/>
      <c r="AP48" s="601"/>
      <c r="AQ48" s="601"/>
      <c r="AR48" s="414"/>
      <c r="AS48" s="439"/>
      <c r="AT48" s="439"/>
      <c r="BD48" s="439"/>
      <c r="BE48" s="439"/>
      <c r="BN48" s="415"/>
    </row>
    <row r="49" ht="42" customHeight="1">
      <c r="A49" s="603"/>
      <c r="B49" s="603"/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592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01"/>
      <c r="AF49" s="601"/>
      <c r="AG49" s="601"/>
      <c r="AH49" s="601"/>
      <c r="AI49" s="601"/>
      <c r="AJ49" s="601"/>
      <c r="AK49" s="601"/>
      <c r="AL49" s="601"/>
      <c r="AM49" s="601"/>
      <c r="AN49" s="601"/>
      <c r="AO49" s="601"/>
      <c r="AP49" s="601"/>
      <c r="AQ49" s="601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603"/>
      <c r="B50" s="603"/>
      <c r="C50" s="603"/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592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01"/>
      <c r="AF50" s="601"/>
      <c r="AG50" s="601"/>
      <c r="AH50" s="601"/>
      <c r="AI50" s="601"/>
      <c r="AJ50" s="601"/>
      <c r="AK50" s="601"/>
      <c r="AL50" s="601"/>
      <c r="AM50" s="601"/>
      <c r="AN50" s="601"/>
      <c r="AO50" s="601"/>
      <c r="AP50" s="601"/>
      <c r="AQ50" s="601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603"/>
      <c r="B51" s="603"/>
      <c r="C51" s="603"/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592"/>
      <c r="S51" s="440" t="s">
        <v>213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01"/>
      <c r="AF51" s="601"/>
      <c r="AG51" s="601"/>
      <c r="AH51" s="601"/>
      <c r="AI51" s="601"/>
      <c r="AJ51" s="601"/>
      <c r="AK51" s="601"/>
      <c r="AL51" s="601"/>
      <c r="AM51" s="601"/>
      <c r="AN51" s="601"/>
      <c r="AO51" s="601"/>
      <c r="AP51" s="601"/>
      <c r="AQ51" s="601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03"/>
      <c r="B52" s="603"/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592"/>
      <c r="S52" s="440" t="s">
        <v>214</v>
      </c>
      <c r="T52" s="459" t="s">
        <v>215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01"/>
      <c r="AF52" s="601"/>
      <c r="AG52" s="601"/>
      <c r="AH52" s="601"/>
      <c r="AI52" s="601"/>
      <c r="AJ52" s="601"/>
      <c r="AK52" s="601"/>
      <c r="AL52" s="601"/>
      <c r="AM52" s="601"/>
      <c r="AN52" s="601"/>
      <c r="AO52" s="601"/>
      <c r="AP52" s="601"/>
      <c r="AQ52" s="601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603"/>
      <c r="B53" s="603"/>
      <c r="C53" s="603"/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592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01"/>
      <c r="AF53" s="601"/>
      <c r="AG53" s="601"/>
      <c r="AH53" s="601"/>
      <c r="AI53" s="601"/>
      <c r="AJ53" s="601"/>
      <c r="AK53" s="601"/>
      <c r="AL53" s="601"/>
      <c r="AM53" s="601"/>
      <c r="AN53" s="601"/>
      <c r="AO53" s="601"/>
      <c r="AP53" s="601"/>
      <c r="AQ53" s="601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603"/>
      <c r="B54" s="603"/>
      <c r="C54" s="603"/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592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01"/>
      <c r="AF54" s="601"/>
      <c r="AG54" s="601"/>
      <c r="AH54" s="601"/>
      <c r="AI54" s="601"/>
      <c r="AJ54" s="601"/>
      <c r="AK54" s="601"/>
      <c r="AL54" s="601"/>
      <c r="AM54" s="601"/>
      <c r="AN54" s="601"/>
      <c r="AO54" s="601"/>
      <c r="AP54" s="601"/>
      <c r="AQ54" s="601"/>
      <c r="AR54" s="414"/>
      <c r="AS54" s="438" t="s">
        <v>191</v>
      </c>
      <c r="AT54" s="438">
        <v>400</v>
      </c>
      <c r="AU54" s="486"/>
      <c r="AZ54" s="582"/>
      <c r="BA54" s="582"/>
      <c r="BB54" s="582"/>
      <c r="BD54" s="438" t="s">
        <v>191</v>
      </c>
      <c r="BE54" s="438">
        <v>400</v>
      </c>
      <c r="BF54" s="486"/>
      <c r="BK54" s="582"/>
      <c r="BL54" s="582"/>
      <c r="BM54" s="582"/>
      <c r="BN54" s="415"/>
    </row>
    <row r="55" ht="42" customHeight="1">
      <c r="A55" s="603"/>
      <c r="B55" s="603"/>
      <c r="C55" s="603"/>
      <c r="D55" s="603"/>
      <c r="E55" s="603"/>
      <c r="F55" s="603"/>
      <c r="G55" s="603"/>
      <c r="H55" s="603"/>
      <c r="I55" s="603"/>
      <c r="J55" s="603"/>
      <c r="K55" s="603"/>
      <c r="L55" s="603"/>
      <c r="M55" s="603"/>
      <c r="N55" s="603"/>
      <c r="O55" s="603"/>
      <c r="P55" s="603"/>
      <c r="Q55" s="603"/>
      <c r="R55" s="592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01"/>
      <c r="AF55" s="601"/>
      <c r="AG55" s="601"/>
      <c r="AH55" s="601"/>
      <c r="AI55" s="601"/>
      <c r="AJ55" s="601"/>
      <c r="AK55" s="601"/>
      <c r="AL55" s="601"/>
      <c r="AM55" s="601"/>
      <c r="AN55" s="601"/>
      <c r="AO55" s="601"/>
      <c r="AP55" s="601"/>
      <c r="AQ55" s="601"/>
      <c r="AR55" s="414"/>
      <c r="AS55" s="415"/>
      <c r="AT55" s="415"/>
      <c r="BD55" s="415"/>
      <c r="BE55" s="415"/>
      <c r="BN55" s="415"/>
    </row>
    <row r="56" ht="42" customHeight="1">
      <c r="A56" s="603"/>
      <c r="B56" s="603"/>
      <c r="C56" s="603"/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603"/>
      <c r="Q56" s="603"/>
      <c r="R56" s="592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01"/>
      <c r="AF56" s="601"/>
      <c r="AG56" s="601"/>
      <c r="AH56" s="601"/>
      <c r="AI56" s="601"/>
      <c r="AJ56" s="601"/>
      <c r="AK56" s="601"/>
      <c r="AL56" s="601"/>
      <c r="AM56" s="601"/>
      <c r="AN56" s="601"/>
      <c r="AO56" s="601"/>
      <c r="AP56" s="601"/>
      <c r="AQ56" s="601"/>
      <c r="AR56" s="414"/>
      <c r="AS56" s="415"/>
      <c r="AT56" s="415"/>
      <c r="BD56" s="415"/>
      <c r="BE56" s="415"/>
      <c r="BN56" s="415"/>
    </row>
    <row r="57" ht="42" customHeight="1">
      <c r="A57" s="603"/>
      <c r="B57" s="603"/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592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01"/>
      <c r="AF57" s="601"/>
      <c r="AG57" s="601"/>
      <c r="AH57" s="601"/>
      <c r="AI57" s="601"/>
      <c r="AJ57" s="601"/>
      <c r="AK57" s="601"/>
      <c r="AL57" s="601"/>
      <c r="AM57" s="601"/>
      <c r="AN57" s="601"/>
      <c r="AO57" s="601"/>
      <c r="AP57" s="601"/>
      <c r="AQ57" s="601"/>
      <c r="AR57" s="414"/>
      <c r="AS57" s="583">
        <f>('بيرسا و لوفرز'!BA14+'بيرسا و لوفرز'!BP62+'بيرسا و لوفرز'!BQ54)*1.35</f>
        <v>139443.52500000002</v>
      </c>
      <c r="AT57" s="584"/>
      <c r="BD57" s="583">
        <f>('بيرسا و لوفرز'!BA85+'بيرسا و لوفرز'!BP133+'بيرسا و لوفرز'!BQ125)*1.35</f>
        <v>139443.52500000002</v>
      </c>
      <c r="BE57" s="584"/>
      <c r="BN57" s="415"/>
    </row>
    <row r="58" ht="42" customHeight="1">
      <c r="A58" s="603"/>
      <c r="B58" s="603"/>
      <c r="C58" s="603"/>
      <c r="D58" s="603"/>
      <c r="E58" s="603"/>
      <c r="F58" s="603"/>
      <c r="G58" s="603"/>
      <c r="H58" s="603"/>
      <c r="I58" s="603"/>
      <c r="J58" s="603"/>
      <c r="K58" s="603"/>
      <c r="L58" s="603"/>
      <c r="M58" s="603"/>
      <c r="N58" s="603"/>
      <c r="O58" s="603"/>
      <c r="P58" s="603"/>
      <c r="Q58" s="603"/>
      <c r="R58" s="592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01"/>
      <c r="AF58" s="601"/>
      <c r="AG58" s="601"/>
      <c r="AH58" s="601"/>
      <c r="AI58" s="601"/>
      <c r="AJ58" s="601"/>
      <c r="AK58" s="601"/>
      <c r="AL58" s="601"/>
      <c r="AM58" s="601"/>
      <c r="AN58" s="601"/>
      <c r="AO58" s="601"/>
      <c r="AP58" s="601"/>
      <c r="AQ58" s="601"/>
      <c r="AR58" s="414"/>
      <c r="AS58" s="588">
        <f>AS57/(AT53*AT54/10000)</f>
        <v>6972.1762500000013</v>
      </c>
      <c r="AT58" s="589"/>
      <c r="BD58" s="588">
        <f>BD57/(BE53*BE54/10000)</f>
        <v>6972.1762500000013</v>
      </c>
      <c r="BE58" s="589"/>
      <c r="BN58" s="415"/>
    </row>
    <row r="59" ht="39" customHeight="1">
      <c r="A59" s="603"/>
      <c r="B59" s="603"/>
      <c r="C59" s="603"/>
      <c r="D59" s="603"/>
      <c r="E59" s="603"/>
      <c r="F59" s="603"/>
      <c r="G59" s="603"/>
      <c r="H59" s="603"/>
      <c r="I59" s="603"/>
      <c r="J59" s="603"/>
      <c r="K59" s="603"/>
      <c r="L59" s="603"/>
      <c r="M59" s="603"/>
      <c r="N59" s="603"/>
      <c r="O59" s="603"/>
      <c r="P59" s="603"/>
      <c r="Q59" s="603"/>
      <c r="R59" s="592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03" t="s">
        <v>216</v>
      </c>
      <c r="B60" s="603"/>
      <c r="C60" s="603"/>
      <c r="D60" s="603"/>
      <c r="E60" s="603"/>
      <c r="F60" s="603"/>
      <c r="G60" s="603"/>
      <c r="H60" s="603"/>
      <c r="I60" s="603"/>
      <c r="J60" s="603"/>
      <c r="K60" s="603"/>
      <c r="L60" s="603"/>
      <c r="M60" s="603"/>
      <c r="N60" s="603"/>
      <c r="O60" s="603"/>
      <c r="P60" s="603"/>
      <c r="Q60" s="603"/>
      <c r="R60" s="592"/>
      <c r="S60" s="590" t="s">
        <v>210</v>
      </c>
      <c r="T60" s="591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03"/>
      <c r="B61" s="603"/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603"/>
      <c r="Q61" s="603"/>
      <c r="R61" s="592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03"/>
      <c r="B62" s="603"/>
      <c r="C62" s="603"/>
      <c r="D62" s="603"/>
      <c r="E62" s="603"/>
      <c r="F62" s="603"/>
      <c r="G62" s="603"/>
      <c r="H62" s="603"/>
      <c r="I62" s="603"/>
      <c r="J62" s="603"/>
      <c r="K62" s="603"/>
      <c r="L62" s="603"/>
      <c r="M62" s="603"/>
      <c r="N62" s="603"/>
      <c r="O62" s="603"/>
      <c r="P62" s="603"/>
      <c r="Q62" s="603"/>
      <c r="R62" s="592"/>
      <c r="S62" s="444" t="s">
        <v>127</v>
      </c>
      <c r="T62" s="443">
        <f>T61/T69</f>
        <v>3465.072</v>
      </c>
      <c r="U62" s="458"/>
      <c r="V62" s="458"/>
      <c r="W62" s="458"/>
      <c r="X62" s="458"/>
      <c r="Y62" s="602"/>
      <c r="Z62" s="602"/>
      <c r="AA62" s="458"/>
      <c r="AB62" s="458"/>
      <c r="AC62" s="458"/>
      <c r="AD62" s="414"/>
      <c r="AR62" s="414"/>
      <c r="BN62" s="415"/>
    </row>
    <row r="63" ht="40.5" customHeight="1">
      <c r="A63" s="603"/>
      <c r="B63" s="603"/>
      <c r="C63" s="603"/>
      <c r="D63" s="603"/>
      <c r="E63" s="603"/>
      <c r="F63" s="603"/>
      <c r="G63" s="603"/>
      <c r="H63" s="603"/>
      <c r="I63" s="603"/>
      <c r="J63" s="603"/>
      <c r="K63" s="603"/>
      <c r="L63" s="603"/>
      <c r="M63" s="603"/>
      <c r="N63" s="603"/>
      <c r="O63" s="603"/>
      <c r="P63" s="603"/>
      <c r="Q63" s="603"/>
      <c r="R63" s="592"/>
      <c r="S63" s="440" t="s">
        <v>164</v>
      </c>
      <c r="T63" s="441" t="s">
        <v>19</v>
      </c>
      <c r="U63" s="458"/>
      <c r="V63" s="458"/>
      <c r="W63" s="458"/>
      <c r="X63" s="458"/>
      <c r="Y63" s="602"/>
      <c r="Z63" s="602"/>
      <c r="AA63" s="458"/>
      <c r="AB63" s="458"/>
      <c r="AC63" s="458"/>
      <c r="AD63" s="414"/>
      <c r="AR63" s="414"/>
      <c r="BN63" s="415"/>
    </row>
    <row r="64" ht="40.5" customHeight="1">
      <c r="A64" s="603"/>
      <c r="B64" s="603"/>
      <c r="C64" s="603"/>
      <c r="D64" s="603"/>
      <c r="E64" s="603"/>
      <c r="F64" s="603"/>
      <c r="G64" s="603"/>
      <c r="H64" s="603"/>
      <c r="I64" s="603"/>
      <c r="J64" s="603"/>
      <c r="K64" s="603"/>
      <c r="L64" s="603"/>
      <c r="M64" s="603"/>
      <c r="N64" s="603"/>
      <c r="O64" s="603"/>
      <c r="P64" s="603"/>
      <c r="Q64" s="603"/>
      <c r="R64" s="592"/>
      <c r="S64" s="445" t="s">
        <v>165</v>
      </c>
      <c r="T64" s="446" t="s">
        <v>166</v>
      </c>
      <c r="U64" s="458"/>
      <c r="V64" s="458"/>
      <c r="W64" s="458"/>
      <c r="X64" s="458"/>
      <c r="Y64" s="602"/>
      <c r="Z64" s="602"/>
      <c r="AA64" s="458"/>
      <c r="AB64" s="458"/>
      <c r="AC64" s="458"/>
      <c r="AD64" s="414"/>
      <c r="AR64" s="414"/>
      <c r="BN64" s="415"/>
    </row>
    <row r="65" ht="40.5" customHeight="1">
      <c r="A65" s="603"/>
      <c r="B65" s="603"/>
      <c r="C65" s="603"/>
      <c r="D65" s="603"/>
      <c r="E65" s="603"/>
      <c r="F65" s="603"/>
      <c r="G65" s="603"/>
      <c r="H65" s="603"/>
      <c r="I65" s="603"/>
      <c r="J65" s="603"/>
      <c r="K65" s="603"/>
      <c r="L65" s="603"/>
      <c r="M65" s="603"/>
      <c r="N65" s="603"/>
      <c r="O65" s="603"/>
      <c r="P65" s="603"/>
      <c r="Q65" s="603"/>
      <c r="R65" s="592"/>
      <c r="S65" s="440" t="s">
        <v>212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03"/>
      <c r="B66" s="603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592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03"/>
      <c r="B67" s="603"/>
      <c r="C67" s="603"/>
      <c r="D67" s="603"/>
      <c r="E67" s="603"/>
      <c r="F67" s="603"/>
      <c r="G67" s="603"/>
      <c r="H67" s="603"/>
      <c r="I67" s="603"/>
      <c r="J67" s="603"/>
      <c r="K67" s="603"/>
      <c r="L67" s="603"/>
      <c r="M67" s="603"/>
      <c r="N67" s="603"/>
      <c r="O67" s="603"/>
      <c r="P67" s="603"/>
      <c r="Q67" s="603"/>
      <c r="R67" s="592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03"/>
      <c r="B68" s="603"/>
      <c r="C68" s="603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603"/>
      <c r="Q68" s="603"/>
      <c r="R68" s="592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03"/>
      <c r="B69" s="603"/>
      <c r="C69" s="603"/>
      <c r="D69" s="603"/>
      <c r="E69" s="603"/>
      <c r="F69" s="603"/>
      <c r="G69" s="603"/>
      <c r="H69" s="603"/>
      <c r="I69" s="603"/>
      <c r="J69" s="603"/>
      <c r="K69" s="603"/>
      <c r="L69" s="603"/>
      <c r="M69" s="603"/>
      <c r="N69" s="603"/>
      <c r="O69" s="603"/>
      <c r="P69" s="603"/>
      <c r="Q69" s="603"/>
      <c r="R69" s="592"/>
      <c r="S69" s="440" t="s">
        <v>213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03"/>
      <c r="B70" s="603"/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3"/>
      <c r="N70" s="603"/>
      <c r="O70" s="603"/>
      <c r="P70" s="603"/>
      <c r="Q70" s="603"/>
      <c r="R70" s="592"/>
      <c r="S70" s="440" t="s">
        <v>214</v>
      </c>
      <c r="T70" s="459" t="s">
        <v>215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03"/>
      <c r="B71" s="603"/>
      <c r="C71" s="603"/>
      <c r="D71" s="603"/>
      <c r="E71" s="603"/>
      <c r="F71" s="603"/>
      <c r="G71" s="603"/>
      <c r="H71" s="603"/>
      <c r="I71" s="603"/>
      <c r="J71" s="603"/>
      <c r="K71" s="603"/>
      <c r="L71" s="603"/>
      <c r="M71" s="603"/>
      <c r="N71" s="603"/>
      <c r="O71" s="603"/>
      <c r="P71" s="603"/>
      <c r="Q71" s="603"/>
      <c r="R71" s="592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03"/>
      <c r="B72" s="603"/>
      <c r="C72" s="603"/>
      <c r="D72" s="603"/>
      <c r="E72" s="603"/>
      <c r="F72" s="603"/>
      <c r="G72" s="603"/>
      <c r="H72" s="603"/>
      <c r="I72" s="603"/>
      <c r="J72" s="603"/>
      <c r="K72" s="603"/>
      <c r="L72" s="603"/>
      <c r="M72" s="603"/>
      <c r="N72" s="603"/>
      <c r="O72" s="603"/>
      <c r="P72" s="603"/>
      <c r="Q72" s="603"/>
      <c r="R72" s="592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03"/>
      <c r="B73" s="603"/>
      <c r="C73" s="603"/>
      <c r="D73" s="603"/>
      <c r="E73" s="603"/>
      <c r="F73" s="603"/>
      <c r="G73" s="603"/>
      <c r="H73" s="603"/>
      <c r="I73" s="603"/>
      <c r="J73" s="603"/>
      <c r="K73" s="603"/>
      <c r="L73" s="603"/>
      <c r="M73" s="603"/>
      <c r="N73" s="603"/>
      <c r="O73" s="603"/>
      <c r="P73" s="603"/>
      <c r="Q73" s="603"/>
      <c r="R73" s="592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03"/>
      <c r="B74" s="603"/>
      <c r="C74" s="603"/>
      <c r="D74" s="603"/>
      <c r="E74" s="603"/>
      <c r="F74" s="603"/>
      <c r="G74" s="603"/>
      <c r="H74" s="603"/>
      <c r="I74" s="603"/>
      <c r="J74" s="603"/>
      <c r="K74" s="603"/>
      <c r="L74" s="603"/>
      <c r="M74" s="603"/>
      <c r="N74" s="603"/>
      <c r="O74" s="603"/>
      <c r="P74" s="603"/>
      <c r="Q74" s="603"/>
      <c r="R74" s="592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03"/>
      <c r="B75" s="603"/>
      <c r="C75" s="603"/>
      <c r="D75" s="603"/>
      <c r="E75" s="603"/>
      <c r="F75" s="603"/>
      <c r="G75" s="603"/>
      <c r="H75" s="603"/>
      <c r="I75" s="603"/>
      <c r="J75" s="603"/>
      <c r="K75" s="603"/>
      <c r="L75" s="603"/>
      <c r="M75" s="603"/>
      <c r="N75" s="603"/>
      <c r="O75" s="603"/>
      <c r="P75" s="603"/>
      <c r="Q75" s="603"/>
      <c r="R75" s="592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03"/>
      <c r="B76" s="603"/>
      <c r="C76" s="603"/>
      <c r="D76" s="603"/>
      <c r="E76" s="603"/>
      <c r="F76" s="603"/>
      <c r="G76" s="603"/>
      <c r="H76" s="603"/>
      <c r="I76" s="603"/>
      <c r="J76" s="603"/>
      <c r="K76" s="603"/>
      <c r="L76" s="603"/>
      <c r="M76" s="603"/>
      <c r="N76" s="603"/>
      <c r="O76" s="603"/>
      <c r="P76" s="603"/>
      <c r="Q76" s="603"/>
      <c r="R76" s="592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592"/>
      <c r="AD77" s="414"/>
      <c r="AR77" s="414"/>
      <c r="BN77" s="415"/>
    </row>
    <row r="78" ht="15" customHeight="1">
      <c r="A78" s="600" t="s">
        <v>217</v>
      </c>
      <c r="B78" s="600"/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592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00"/>
      <c r="B79" s="600"/>
      <c r="C79" s="600"/>
      <c r="D79" s="600"/>
      <c r="E79" s="600"/>
      <c r="F79" s="600"/>
      <c r="G79" s="600"/>
      <c r="H79" s="600"/>
      <c r="I79" s="600"/>
      <c r="J79" s="600"/>
      <c r="K79" s="600"/>
      <c r="L79" s="600"/>
      <c r="M79" s="600"/>
      <c r="N79" s="600"/>
      <c r="O79" s="600"/>
      <c r="P79" s="600"/>
      <c r="Q79" s="600"/>
      <c r="R79" s="592"/>
      <c r="AC79" s="414"/>
      <c r="AQ79" s="414"/>
      <c r="BB79" s="414"/>
      <c r="BM79" s="415"/>
    </row>
    <row r="80" ht="38.25" customHeight="1">
      <c r="A80" s="600"/>
      <c r="B80" s="600"/>
      <c r="C80" s="600"/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600"/>
      <c r="P80" s="600"/>
      <c r="Q80" s="600"/>
      <c r="R80" s="592"/>
      <c r="AQ80" s="414"/>
      <c r="BB80" s="414"/>
      <c r="BM80" s="415"/>
    </row>
    <row r="81" ht="38.25" customHeight="1">
      <c r="A81" s="600"/>
      <c r="B81" s="600"/>
      <c r="C81" s="600"/>
      <c r="D81" s="600"/>
      <c r="E81" s="600"/>
      <c r="F81" s="600"/>
      <c r="G81" s="600"/>
      <c r="H81" s="600"/>
      <c r="I81" s="600"/>
      <c r="J81" s="600"/>
      <c r="K81" s="600"/>
      <c r="L81" s="600"/>
      <c r="M81" s="600"/>
      <c r="N81" s="600"/>
      <c r="O81" s="600"/>
      <c r="P81" s="600"/>
      <c r="Q81" s="600"/>
      <c r="R81" s="592"/>
      <c r="AQ81" s="414"/>
      <c r="BB81" s="414"/>
      <c r="BM81" s="415"/>
    </row>
    <row r="82" ht="38.25" customHeight="1">
      <c r="A82" s="600"/>
      <c r="B82" s="600"/>
      <c r="C82" s="600"/>
      <c r="D82" s="600"/>
      <c r="E82" s="600"/>
      <c r="F82" s="600"/>
      <c r="G82" s="600"/>
      <c r="H82" s="600"/>
      <c r="I82" s="600"/>
      <c r="J82" s="600"/>
      <c r="K82" s="600"/>
      <c r="L82" s="600"/>
      <c r="M82" s="600"/>
      <c r="N82" s="600"/>
      <c r="O82" s="600"/>
      <c r="P82" s="600"/>
      <c r="Q82" s="600"/>
      <c r="R82" s="592"/>
      <c r="AQ82" s="414"/>
      <c r="BB82" s="414"/>
      <c r="BM82" s="415"/>
    </row>
    <row r="83" ht="38.25" customHeight="1">
      <c r="A83" s="600"/>
      <c r="B83" s="600"/>
      <c r="C83" s="600"/>
      <c r="D83" s="600"/>
      <c r="E83" s="600"/>
      <c r="F83" s="600"/>
      <c r="G83" s="600"/>
      <c r="H83" s="600"/>
      <c r="I83" s="600"/>
      <c r="J83" s="600"/>
      <c r="K83" s="600"/>
      <c r="L83" s="600"/>
      <c r="M83" s="600"/>
      <c r="N83" s="600"/>
      <c r="O83" s="600"/>
      <c r="P83" s="600"/>
      <c r="Q83" s="600"/>
      <c r="R83" s="592"/>
      <c r="AQ83" s="414"/>
      <c r="BB83" s="414"/>
      <c r="BM83" s="415"/>
    </row>
    <row r="84" ht="38.25" customHeight="1">
      <c r="A84" s="600"/>
      <c r="B84" s="600"/>
      <c r="C84" s="600"/>
      <c r="D84" s="600"/>
      <c r="E84" s="600"/>
      <c r="F84" s="600"/>
      <c r="G84" s="600"/>
      <c r="H84" s="600"/>
      <c r="I84" s="600"/>
      <c r="J84" s="600"/>
      <c r="K84" s="600"/>
      <c r="L84" s="600"/>
      <c r="M84" s="600"/>
      <c r="N84" s="600"/>
      <c r="O84" s="600"/>
      <c r="P84" s="600"/>
      <c r="Q84" s="600"/>
      <c r="R84" s="592"/>
      <c r="AQ84" s="414"/>
      <c r="BB84" s="414"/>
      <c r="BM84" s="415"/>
    </row>
    <row r="85" ht="38.25" customHeight="1">
      <c r="A85" s="600"/>
      <c r="B85" s="600"/>
      <c r="C85" s="600"/>
      <c r="D85" s="600"/>
      <c r="E85" s="600"/>
      <c r="F85" s="600"/>
      <c r="G85" s="600"/>
      <c r="H85" s="600"/>
      <c r="I85" s="600"/>
      <c r="J85" s="600"/>
      <c r="K85" s="600"/>
      <c r="L85" s="600"/>
      <c r="M85" s="600"/>
      <c r="N85" s="600"/>
      <c r="O85" s="600"/>
      <c r="P85" s="600"/>
      <c r="Q85" s="600"/>
      <c r="R85" s="592"/>
      <c r="AQ85" s="414"/>
      <c r="BB85" s="414"/>
      <c r="BM85" s="415"/>
    </row>
    <row r="86" ht="38.25" customHeight="1">
      <c r="A86" s="600"/>
      <c r="B86" s="600"/>
      <c r="C86" s="600"/>
      <c r="D86" s="600"/>
      <c r="E86" s="600"/>
      <c r="F86" s="600"/>
      <c r="G86" s="600"/>
      <c r="H86" s="600"/>
      <c r="I86" s="600"/>
      <c r="J86" s="600"/>
      <c r="K86" s="600"/>
      <c r="L86" s="600"/>
      <c r="M86" s="600"/>
      <c r="N86" s="600"/>
      <c r="O86" s="600"/>
      <c r="P86" s="600"/>
      <c r="Q86" s="600"/>
      <c r="R86" s="592"/>
      <c r="AQ86" s="414"/>
      <c r="BB86" s="414"/>
      <c r="BM86" s="415"/>
    </row>
    <row r="87" ht="38.25" customHeight="1">
      <c r="A87" s="600"/>
      <c r="B87" s="600"/>
      <c r="C87" s="600"/>
      <c r="D87" s="600"/>
      <c r="E87" s="600"/>
      <c r="F87" s="600"/>
      <c r="G87" s="600"/>
      <c r="H87" s="600"/>
      <c r="I87" s="600"/>
      <c r="J87" s="600"/>
      <c r="K87" s="600"/>
      <c r="L87" s="600"/>
      <c r="M87" s="600"/>
      <c r="N87" s="600"/>
      <c r="O87" s="600"/>
      <c r="P87" s="600"/>
      <c r="Q87" s="600"/>
      <c r="R87" s="592"/>
      <c r="AQ87" s="414"/>
      <c r="BB87" s="414"/>
      <c r="BM87" s="415"/>
    </row>
    <row r="88" ht="38.25" customHeight="1">
      <c r="A88" s="600"/>
      <c r="B88" s="600"/>
      <c r="C88" s="600"/>
      <c r="D88" s="600"/>
      <c r="E88" s="600"/>
      <c r="F88" s="600"/>
      <c r="G88" s="600"/>
      <c r="H88" s="600"/>
      <c r="I88" s="600"/>
      <c r="J88" s="600"/>
      <c r="K88" s="600"/>
      <c r="L88" s="600"/>
      <c r="M88" s="600"/>
      <c r="N88" s="600"/>
      <c r="O88" s="600"/>
      <c r="P88" s="600"/>
      <c r="Q88" s="600"/>
      <c r="R88" s="592"/>
      <c r="AQ88" s="414"/>
      <c r="BB88" s="414"/>
      <c r="BM88" s="415"/>
    </row>
    <row r="89" ht="38.25" customHeight="1">
      <c r="A89" s="600"/>
      <c r="B89" s="600"/>
      <c r="C89" s="600"/>
      <c r="D89" s="600"/>
      <c r="E89" s="600"/>
      <c r="F89" s="600"/>
      <c r="G89" s="600"/>
      <c r="H89" s="600"/>
      <c r="I89" s="600"/>
      <c r="J89" s="600"/>
      <c r="K89" s="600"/>
      <c r="L89" s="600"/>
      <c r="M89" s="600"/>
      <c r="N89" s="600"/>
      <c r="O89" s="600"/>
      <c r="P89" s="600"/>
      <c r="Q89" s="600"/>
      <c r="R89" s="592"/>
      <c r="AQ89" s="414"/>
      <c r="BB89" s="414"/>
      <c r="BM89" s="415"/>
    </row>
    <row r="90" ht="38.2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592"/>
      <c r="AQ90" s="414"/>
      <c r="BB90" s="414"/>
      <c r="BM90" s="415"/>
    </row>
    <row r="91" ht="38.25" customHeight="1">
      <c r="A91" s="600"/>
      <c r="B91" s="600"/>
      <c r="C91" s="600"/>
      <c r="D91" s="600"/>
      <c r="E91" s="600"/>
      <c r="F91" s="600"/>
      <c r="G91" s="600"/>
      <c r="H91" s="600"/>
      <c r="I91" s="600"/>
      <c r="J91" s="600"/>
      <c r="K91" s="600"/>
      <c r="L91" s="600"/>
      <c r="M91" s="600"/>
      <c r="N91" s="600"/>
      <c r="O91" s="600"/>
      <c r="P91" s="600"/>
      <c r="Q91" s="600"/>
      <c r="R91" s="592"/>
      <c r="AQ91" s="414"/>
      <c r="BB91" s="414"/>
      <c r="BM91" s="415"/>
    </row>
    <row r="92" ht="38.25" customHeight="1">
      <c r="A92" s="600"/>
      <c r="B92" s="600"/>
      <c r="C92" s="600"/>
      <c r="D92" s="600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0"/>
      <c r="Q92" s="600"/>
      <c r="R92" s="592"/>
      <c r="AQ92" s="414"/>
      <c r="BB92" s="414"/>
      <c r="BM92" s="415"/>
    </row>
    <row r="93" ht="38.25" customHeight="1">
      <c r="A93" s="600"/>
      <c r="B93" s="600"/>
      <c r="C93" s="600"/>
      <c r="D93" s="600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0"/>
      <c r="R93" s="592"/>
      <c r="AQ93" s="414"/>
      <c r="BB93" s="414"/>
      <c r="BM93" s="415"/>
    </row>
    <row r="94" ht="38.25" customHeight="1">
      <c r="A94" s="600"/>
      <c r="B94" s="600"/>
      <c r="C94" s="600"/>
      <c r="D94" s="600"/>
      <c r="E94" s="600"/>
      <c r="F94" s="600"/>
      <c r="G94" s="600"/>
      <c r="H94" s="600"/>
      <c r="I94" s="600"/>
      <c r="J94" s="600"/>
      <c r="K94" s="600"/>
      <c r="L94" s="600"/>
      <c r="M94" s="600"/>
      <c r="N94" s="600"/>
      <c r="O94" s="600"/>
      <c r="P94" s="600"/>
      <c r="Q94" s="600"/>
      <c r="R94" s="592"/>
      <c r="AQ94" s="414"/>
      <c r="BB94" s="414"/>
      <c r="BM94" s="415"/>
    </row>
    <row r="95" ht="38.25" customHeight="1">
      <c r="A95" s="600"/>
      <c r="B95" s="600"/>
      <c r="C95" s="600"/>
      <c r="D95" s="600"/>
      <c r="E95" s="600"/>
      <c r="F95" s="600"/>
      <c r="G95" s="600"/>
      <c r="H95" s="600"/>
      <c r="I95" s="600"/>
      <c r="J95" s="600"/>
      <c r="K95" s="600"/>
      <c r="L95" s="600"/>
      <c r="M95" s="600"/>
      <c r="N95" s="600"/>
      <c r="O95" s="600"/>
      <c r="P95" s="600"/>
      <c r="Q95" s="600"/>
      <c r="R95" s="592"/>
      <c r="AQ95" s="414"/>
      <c r="BB95" s="414"/>
      <c r="BM95" s="415"/>
    </row>
    <row r="96" ht="38.25" customHeight="1">
      <c r="A96" s="600"/>
      <c r="B96" s="600"/>
      <c r="C96" s="600"/>
      <c r="D96" s="600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0"/>
      <c r="Q96" s="600"/>
      <c r="R96" s="592"/>
      <c r="AQ96" s="414"/>
      <c r="BB96" s="414"/>
      <c r="BM96" s="415"/>
    </row>
    <row r="97" ht="39" customHeight="1">
      <c r="A97" s="600"/>
      <c r="B97" s="600"/>
      <c r="C97" s="600"/>
      <c r="D97" s="600"/>
      <c r="E97" s="600"/>
      <c r="F97" s="600"/>
      <c r="G97" s="600"/>
      <c r="H97" s="600"/>
      <c r="I97" s="600"/>
      <c r="J97" s="600"/>
      <c r="K97" s="600"/>
      <c r="L97" s="600"/>
      <c r="M97" s="600"/>
      <c r="N97" s="600"/>
      <c r="O97" s="600"/>
      <c r="P97" s="600"/>
      <c r="Q97" s="600"/>
      <c r="R97" s="592"/>
      <c r="AQ97" s="414"/>
      <c r="BB97" s="414"/>
      <c r="BM97" s="415"/>
    </row>
    <row r="98" ht="39" customHeight="1">
      <c r="A98" s="600" t="s">
        <v>218</v>
      </c>
      <c r="B98" s="600"/>
      <c r="C98" s="600"/>
      <c r="D98" s="600"/>
      <c r="E98" s="600"/>
      <c r="F98" s="600"/>
      <c r="G98" s="600"/>
      <c r="H98" s="600"/>
      <c r="I98" s="600"/>
      <c r="J98" s="600"/>
      <c r="K98" s="600"/>
      <c r="L98" s="600"/>
      <c r="M98" s="600"/>
      <c r="N98" s="600"/>
      <c r="O98" s="600"/>
      <c r="P98" s="600"/>
      <c r="Q98" s="600"/>
      <c r="R98" s="592"/>
      <c r="AR98" s="414"/>
      <c r="BN98" s="415"/>
    </row>
    <row r="99" ht="39" customHeight="1">
      <c r="A99" s="600"/>
      <c r="B99" s="600"/>
      <c r="C99" s="600"/>
      <c r="D99" s="600"/>
      <c r="E99" s="600"/>
      <c r="F99" s="600"/>
      <c r="G99" s="600"/>
      <c r="H99" s="600"/>
      <c r="I99" s="600"/>
      <c r="J99" s="600"/>
      <c r="K99" s="600"/>
      <c r="L99" s="600"/>
      <c r="M99" s="600"/>
      <c r="N99" s="600"/>
      <c r="O99" s="600"/>
      <c r="P99" s="600"/>
      <c r="Q99" s="600"/>
      <c r="R99" s="592"/>
      <c r="AR99" s="414"/>
      <c r="BN99" s="415"/>
    </row>
    <row r="100" ht="39" customHeight="1">
      <c r="A100" s="600"/>
      <c r="B100" s="600"/>
      <c r="C100" s="600"/>
      <c r="D100" s="600"/>
      <c r="E100" s="600"/>
      <c r="F100" s="600"/>
      <c r="G100" s="600"/>
      <c r="H100" s="600"/>
      <c r="I100" s="600"/>
      <c r="J100" s="600"/>
      <c r="K100" s="600"/>
      <c r="L100" s="600"/>
      <c r="M100" s="600"/>
      <c r="N100" s="600"/>
      <c r="O100" s="600"/>
      <c r="P100" s="600"/>
      <c r="Q100" s="600"/>
      <c r="R100" s="592"/>
      <c r="AR100" s="414"/>
      <c r="BN100" s="415"/>
    </row>
    <row r="101" ht="39" customHeight="1">
      <c r="A101" s="600"/>
      <c r="B101" s="600"/>
      <c r="C101" s="600"/>
      <c r="D101" s="600"/>
      <c r="E101" s="600"/>
      <c r="F101" s="600"/>
      <c r="G101" s="600"/>
      <c r="H101" s="600"/>
      <c r="I101" s="600"/>
      <c r="J101" s="600"/>
      <c r="K101" s="600"/>
      <c r="L101" s="600"/>
      <c r="M101" s="600"/>
      <c r="N101" s="600"/>
      <c r="O101" s="600"/>
      <c r="P101" s="600"/>
      <c r="Q101" s="600"/>
      <c r="R101" s="592"/>
      <c r="AR101" s="414"/>
      <c r="BN101" s="415"/>
    </row>
    <row r="102" ht="39" customHeight="1">
      <c r="A102" s="600"/>
      <c r="B102" s="600"/>
      <c r="C102" s="600"/>
      <c r="D102" s="600"/>
      <c r="E102" s="600"/>
      <c r="F102" s="600"/>
      <c r="G102" s="600"/>
      <c r="H102" s="600"/>
      <c r="I102" s="600"/>
      <c r="J102" s="600"/>
      <c r="K102" s="600"/>
      <c r="L102" s="600"/>
      <c r="M102" s="600"/>
      <c r="N102" s="600"/>
      <c r="O102" s="600"/>
      <c r="P102" s="600"/>
      <c r="Q102" s="600"/>
      <c r="R102" s="592"/>
      <c r="AR102" s="414"/>
      <c r="BN102" s="415"/>
    </row>
    <row r="103" ht="39" customHeight="1">
      <c r="A103" s="600"/>
      <c r="B103" s="600"/>
      <c r="C103" s="600"/>
      <c r="D103" s="600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592"/>
      <c r="AR103" s="414"/>
      <c r="BN103" s="415"/>
    </row>
    <row r="104" ht="39" customHeight="1">
      <c r="A104" s="600"/>
      <c r="B104" s="600"/>
      <c r="C104" s="600"/>
      <c r="D104" s="600"/>
      <c r="E104" s="600"/>
      <c r="F104" s="600"/>
      <c r="G104" s="600"/>
      <c r="H104" s="600"/>
      <c r="I104" s="600"/>
      <c r="J104" s="600"/>
      <c r="K104" s="600"/>
      <c r="L104" s="600"/>
      <c r="M104" s="600"/>
      <c r="N104" s="600"/>
      <c r="O104" s="600"/>
      <c r="P104" s="600"/>
      <c r="Q104" s="600"/>
      <c r="R104" s="592"/>
      <c r="AR104" s="414"/>
      <c r="BN104" s="415"/>
    </row>
    <row r="105" ht="39" customHeight="1">
      <c r="A105" s="600"/>
      <c r="B105" s="600"/>
      <c r="C105" s="600"/>
      <c r="D105" s="600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0"/>
      <c r="R105" s="592"/>
      <c r="AR105" s="414"/>
      <c r="BN105" s="415"/>
    </row>
    <row r="106" ht="39" customHeight="1">
      <c r="A106" s="600"/>
      <c r="B106" s="600"/>
      <c r="C106" s="600"/>
      <c r="D106" s="600"/>
      <c r="E106" s="600"/>
      <c r="F106" s="600"/>
      <c r="G106" s="600"/>
      <c r="H106" s="600"/>
      <c r="I106" s="600"/>
      <c r="J106" s="600"/>
      <c r="K106" s="600"/>
      <c r="L106" s="600"/>
      <c r="M106" s="600"/>
      <c r="N106" s="600"/>
      <c r="O106" s="600"/>
      <c r="P106" s="600"/>
      <c r="Q106" s="600"/>
      <c r="R106" s="592"/>
      <c r="AR106" s="414"/>
      <c r="BN106" s="415"/>
    </row>
    <row r="107" ht="39" customHeight="1">
      <c r="A107" s="600"/>
      <c r="B107" s="600"/>
      <c r="C107" s="600"/>
      <c r="D107" s="600"/>
      <c r="E107" s="600"/>
      <c r="F107" s="600"/>
      <c r="G107" s="600"/>
      <c r="H107" s="600"/>
      <c r="I107" s="600"/>
      <c r="J107" s="600"/>
      <c r="K107" s="600"/>
      <c r="L107" s="600"/>
      <c r="M107" s="600"/>
      <c r="N107" s="600"/>
      <c r="O107" s="600"/>
      <c r="P107" s="600"/>
      <c r="Q107" s="600"/>
      <c r="R107" s="592"/>
      <c r="AR107" s="414"/>
      <c r="BN107" s="415"/>
    </row>
    <row r="108" ht="39" customHeight="1">
      <c r="A108" s="600"/>
      <c r="B108" s="600"/>
      <c r="C108" s="600"/>
      <c r="D108" s="600"/>
      <c r="E108" s="600"/>
      <c r="F108" s="600"/>
      <c r="G108" s="600"/>
      <c r="H108" s="600"/>
      <c r="I108" s="600"/>
      <c r="J108" s="600"/>
      <c r="K108" s="600"/>
      <c r="L108" s="600"/>
      <c r="M108" s="600"/>
      <c r="N108" s="600"/>
      <c r="O108" s="600"/>
      <c r="P108" s="600"/>
      <c r="Q108" s="600"/>
      <c r="R108" s="592"/>
      <c r="AR108" s="414"/>
      <c r="BN108" s="415"/>
    </row>
    <row r="109" ht="39" customHeight="1">
      <c r="A109" s="600"/>
      <c r="B109" s="600"/>
      <c r="C109" s="600"/>
      <c r="D109" s="600"/>
      <c r="E109" s="600"/>
      <c r="F109" s="600"/>
      <c r="G109" s="600"/>
      <c r="H109" s="600"/>
      <c r="I109" s="600"/>
      <c r="J109" s="600"/>
      <c r="K109" s="600"/>
      <c r="L109" s="600"/>
      <c r="M109" s="600"/>
      <c r="N109" s="600"/>
      <c r="O109" s="600"/>
      <c r="P109" s="600"/>
      <c r="Q109" s="600"/>
      <c r="R109" s="592"/>
      <c r="AR109" s="414"/>
      <c r="BN109" s="415"/>
    </row>
    <row r="110" ht="39" customHeight="1">
      <c r="A110" s="600"/>
      <c r="B110" s="600"/>
      <c r="C110" s="600"/>
      <c r="D110" s="600"/>
      <c r="E110" s="600"/>
      <c r="F110" s="600"/>
      <c r="G110" s="600"/>
      <c r="H110" s="600"/>
      <c r="I110" s="600"/>
      <c r="J110" s="600"/>
      <c r="K110" s="600"/>
      <c r="L110" s="600"/>
      <c r="M110" s="600"/>
      <c r="N110" s="600"/>
      <c r="O110" s="600"/>
      <c r="P110" s="600"/>
      <c r="Q110" s="600"/>
      <c r="R110" s="592"/>
      <c r="AR110" s="414"/>
      <c r="BN110" s="415"/>
    </row>
    <row r="111" ht="39" customHeight="1">
      <c r="A111" s="600"/>
      <c r="B111" s="600"/>
      <c r="C111" s="600"/>
      <c r="D111" s="600"/>
      <c r="E111" s="600"/>
      <c r="F111" s="600"/>
      <c r="G111" s="600"/>
      <c r="H111" s="600"/>
      <c r="I111" s="600"/>
      <c r="J111" s="600"/>
      <c r="K111" s="600"/>
      <c r="L111" s="600"/>
      <c r="M111" s="600"/>
      <c r="N111" s="600"/>
      <c r="O111" s="600"/>
      <c r="P111" s="600"/>
      <c r="Q111" s="600"/>
      <c r="R111" s="592"/>
      <c r="AR111" s="414"/>
      <c r="BN111" s="415"/>
    </row>
    <row r="112" ht="39" customHeight="1">
      <c r="A112" s="600"/>
      <c r="B112" s="600"/>
      <c r="C112" s="600"/>
      <c r="D112" s="600"/>
      <c r="E112" s="600"/>
      <c r="F112" s="600"/>
      <c r="G112" s="600"/>
      <c r="H112" s="600"/>
      <c r="I112" s="600"/>
      <c r="J112" s="600"/>
      <c r="K112" s="600"/>
      <c r="L112" s="600"/>
      <c r="M112" s="600"/>
      <c r="N112" s="600"/>
      <c r="O112" s="600"/>
      <c r="P112" s="600"/>
      <c r="Q112" s="600"/>
      <c r="R112" s="592"/>
      <c r="AR112" s="414"/>
      <c r="BN112" s="415"/>
    </row>
    <row r="113" ht="39" customHeight="1">
      <c r="A113" s="600"/>
      <c r="B113" s="600"/>
      <c r="C113" s="600"/>
      <c r="D113" s="600"/>
      <c r="E113" s="600"/>
      <c r="F113" s="600"/>
      <c r="G113" s="600"/>
      <c r="H113" s="600"/>
      <c r="I113" s="600"/>
      <c r="J113" s="600"/>
      <c r="K113" s="600"/>
      <c r="L113" s="600"/>
      <c r="M113" s="600"/>
      <c r="N113" s="600"/>
      <c r="O113" s="600"/>
      <c r="P113" s="600"/>
      <c r="Q113" s="600"/>
      <c r="R113" s="592"/>
      <c r="AR113" s="414"/>
      <c r="BN113" s="415"/>
    </row>
    <row r="114" ht="39" customHeight="1">
      <c r="A114" s="600"/>
      <c r="B114" s="600"/>
      <c r="C114" s="600"/>
      <c r="D114" s="600"/>
      <c r="E114" s="600"/>
      <c r="F114" s="600"/>
      <c r="G114" s="600"/>
      <c r="H114" s="600"/>
      <c r="I114" s="600"/>
      <c r="J114" s="600"/>
      <c r="K114" s="600"/>
      <c r="L114" s="600"/>
      <c r="M114" s="600"/>
      <c r="N114" s="600"/>
      <c r="O114" s="600"/>
      <c r="P114" s="600"/>
      <c r="Q114" s="600"/>
      <c r="R114" s="592"/>
      <c r="AR114" s="414"/>
      <c r="BN114" s="415"/>
    </row>
    <row r="115" ht="39" customHeight="1">
      <c r="A115" s="600"/>
      <c r="B115" s="600"/>
      <c r="C115" s="600"/>
      <c r="D115" s="600"/>
      <c r="E115" s="600"/>
      <c r="F115" s="600"/>
      <c r="G115" s="600"/>
      <c r="H115" s="600"/>
      <c r="I115" s="600"/>
      <c r="J115" s="600"/>
      <c r="K115" s="600"/>
      <c r="L115" s="600"/>
      <c r="M115" s="600"/>
      <c r="N115" s="600"/>
      <c r="O115" s="600"/>
      <c r="P115" s="600"/>
      <c r="Q115" s="600"/>
      <c r="R115" s="592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C548D53-1C1B-415C-9010-F14E2B6DD51A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47558507-F841-4F84-9BBC-04BF4081018F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25E5142-B225-411B-8912-78D4F68C09AE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FD091CD6-0CAD-468F-93DC-5D05D3F04F7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AD9FB3B-334F-4F57-A25F-9DBC68AC157E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1255E810-311A-48A4-86B7-169F289CBE7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5D5576E-2FF7-4059-B677-23DB2F33ACAB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AA24E785-C43E-43CF-8752-215CC18E8042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10C9E62-16B2-4B79-8FD4-30A50FD99E9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D86AE902-A053-423D-8872-54481D7A07C3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2E4E9A9-9B9E-4FB6-B9A9-AA822F43C824}">
          <x14:formula1>
            <xm:f>wavy2!$A$19:$A$20</xm:f>
          </x14:formula1>
          <xm:sqref>BE9</xm:sqref>
        </x14:dataValidation>
        <x14:dataValidation type="list" allowBlank="1" showInputMessage="1" showErrorMessage="1" xr:uid="{E1C6A9B6-84A2-4BA8-A53D-AD6B6B88E574}">
          <x14:formula1>
            <xm:f>wavy1!$A$19:$A$20</xm:f>
          </x14:formula1>
          <xm:sqref>AT9</xm:sqref>
        </x14:dataValidation>
        <x14:dataValidation type="list" allowBlank="1" showInputMessage="1" showErrorMessage="1" xr:uid="{48C65628-E008-41F8-A511-A6DD9D5CD071}">
          <x14:formula1>
            <xm:f>Sheet2!$B$5:$B$7</xm:f>
          </x14:formula1>
          <xm:sqref>T25 T46 T64</xm:sqref>
        </x14:dataValidation>
        <x14:dataValidation type="list" allowBlank="1" showInputMessage="1" showErrorMessage="1" xr:uid="{FAF7F423-7587-429A-8809-EA5D963FA113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B2150F3E-D685-4C66-9EF0-E42AB03AE98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EE02152-6BA2-46DC-8F90-241FDBD32769}">
          <x14:formula1>
            <xm:f>Sheet2!$C$5:$C$6</xm:f>
          </x14:formula1>
          <xm:sqref>T26</xm:sqref>
        </x14:dataValidation>
        <x14:dataValidation type="list" allowBlank="1" showInputMessage="1" showErrorMessage="1" xr:uid="{11DBB171-D441-461C-91AB-421ADA5DFB57}">
          <x14:formula1>
            <xm:f>Sheet2!$A$5</xm:f>
          </x14:formula1>
          <xm:sqref>U31</xm:sqref>
        </x14:dataValidation>
        <x14:dataValidation type="list" allowBlank="1" showInputMessage="1" showErrorMessage="1" xr:uid="{A2074883-1AE8-49F7-9FC7-D1501A1264A9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B159E559-988F-4A62-9EA3-7A1857CF7EDC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1C899DB-E1BA-413C-8327-AA0002D9B34D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D8E5375-715B-4A05-91C3-4AB3CD4AF54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92FDC28E-D91C-4D26-9603-561D04DF7CFD}">
          <x14:formula1>
            <xm:f>Sheet2!$D$5:$D$6</xm:f>
          </x14:formula1>
          <xm:sqref>T32 T53 T71</xm:sqref>
        </x14:dataValidation>
        <x14:dataValidation type="list" allowBlank="1" showInputMessage="1" showErrorMessage="1" xr:uid="{64D9F177-8E21-47C1-8273-25EF70D542E9}">
          <x14:formula1>
            <xm:f>Sheet2!$A$6</xm:f>
          </x14:formula1>
          <xm:sqref>AC36</xm:sqref>
        </x14:dataValidation>
        <x14:dataValidation type="list" allowBlank="1" showInputMessage="1" showErrorMessage="1" xr:uid="{C3BA7C0C-8EAB-4F0D-A5D4-E4B4C58E3D7D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259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260</v>
      </c>
      <c r="I7" s="788"/>
      <c r="J7" s="788"/>
      <c r="K7" s="789"/>
    </row>
    <row r="8">
      <c r="A8" s="4" t="s">
        <v>261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262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IF(Format!N8=1,B2,IF(Format!N8=2,'Format διαστασης οδηγου'!B2-11,"-------"))</f>
        <v>800</v>
      </c>
      <c r="K14" s="8"/>
    </row>
    <row r="15">
      <c r="A15" s="4" t="s">
        <v>259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264</v>
      </c>
      <c r="I15" s="788"/>
      <c r="J15" s="788"/>
      <c r="K15" s="789"/>
    </row>
    <row r="16">
      <c r="A16" s="4" t="s">
        <v>261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262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45447.291481215281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0.016342226952006669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0.039323483603266041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0.020187456823067058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0.075853167378339775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0.0038452298710603926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0.0036049030041191178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0.0016342226952006668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0.0003604903004119118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0.0014419612016476472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0.00043258836049429416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0.024032686694127451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0.00019226149355301963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0.017303534419771765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900</v>
      </c>
      <c r="L26" s="241">
        <f t="shared" si="3"/>
        <v>0.0043258836049429412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11895</v>
      </c>
      <c r="L27" s="244">
        <f>Table15[[#Totals],[اجمالي]]/$G$79</f>
        <v>0.05717376164532921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0.0003604903004119118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0.0003604903004119118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0.00060081716735318634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0.0036049030041191178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0.00096130746776509814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0.0060113760317577472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0.0019523395743360908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0.016101900085065395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0.032847876173533408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0.062801500104753868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230</v>
      </c>
      <c r="J53" s="411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0.0077385251155090394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0.016822880685889215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5110</v>
      </c>
      <c r="L55" s="244">
        <f>Table1610[[#Totals],[اجمالي]]/$G$79</f>
        <v>0.024561405801398255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2995.7472659743612</v>
      </c>
      <c r="I58" s="247"/>
      <c r="J58" s="411">
        <f>IF((Table1611[[#This Row],[عدد]]&gt;0),'Cutting Ro-1'!O8,0)</f>
        <v>119829.89063897445</v>
      </c>
      <c r="K58" s="240">
        <f>B58*Table1611[[#This Row],[سعر البرجولا كاملة]]</f>
        <v>119829.89063897445</v>
      </c>
      <c r="L58" s="241">
        <f>(K58)/$G$79</f>
        <v>0.57596684366360584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119829.89063897445</v>
      </c>
      <c r="K59" s="240">
        <f>B59*Table1611[[#This Row],[سعر البرجولا كاملة]]</f>
        <v>11982.989063897447</v>
      </c>
      <c r="L59" s="241">
        <f>(K59)/$G$79</f>
        <v>0.05759668436636059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131812.8797028719</v>
      </c>
      <c r="L60" s="244">
        <f>Table1611[[#Totals],[اجمالي]]/$G$79</f>
        <v>0.63356352802996641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0.0038452298710603926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0.0028839224032952944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0.0057678448065905889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0.0043258836049429412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0.018745495621419413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0.014059121716064559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0.018745495621419413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0.012689258574499296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0.019226149355301963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0.014419612016476471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0.022110071758597256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0.0092285516905449422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0.14604663704021254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208049.98058006488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270464.97475408437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89B5FEC-2067-4888-9B92-FB8EE2A5F97C}">
      <formula1>$N$2:$N$20</formula1>
    </dataValidation>
    <dataValidation type="list" allowBlank="1" showInputMessage="1" showErrorMessage="1" sqref="G63:G75" xr:uid="{85B8681A-1C7C-451D-B2F3-98DD68F128D0}">
      <formula1>$U$4:$U$5</formula1>
    </dataValidation>
  </dataValidations>
  <printOptions horizontalCentered="1" verticalCentered="1"/>
  <pageMargins left="0" right="0" top="0" bottom="0" header="0" footer="0"/>
  <pageSetup paperSize="9" scale="4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85" zoomScaleNormal="55" zoomScaleSheetLayoutView="85" workbookViewId="0">
      <selection activeCell="C9" sqref="C9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45447.291481215281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0.0056062582035974308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0.049335072191657392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0.011179538417761935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0.014774139265950878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0.080895008078967642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0.0031658869855609021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0.0026382391546340852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0.0011212516407194861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0.00059360380979266917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0.0025327095884487218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0.00031658869855609022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0.03165886985560902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0.0001055295661853634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0.003561622858756015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17320</v>
      </c>
      <c r="L28" s="244">
        <f>Table1522[[#Totals],[اجمالي]]/$G$84</f>
        <v>0.045694302158262354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0.014774139265950878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0.0063317739711218042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0.021105913237072681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0.0063317739711218042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0.0005540302224731579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0.00019786793659755638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0.00019786793659755638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0.00065955978865852129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0.0019786793659755638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0.00052764783092681706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0.023744152391706769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0.029020630700974936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0.0021105913237072682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0.0021105913237072682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0.067433392792447214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230</v>
      </c>
      <c r="J54" s="411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0.0053094562987010966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0.092338370412192977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37012.5</v>
      </c>
      <c r="L56" s="241">
        <f>Table161027[[#Totals],[اجمالي]]/$G$84</f>
        <v>0.097647826710894073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2172.21301096709</v>
      </c>
      <c r="I59" s="247"/>
      <c r="J59" s="411">
        <f>IF((Table161128[[#This Row],[عدد]]&gt;0),'Cutting Ro-2'!O8,0)</f>
        <v>208532.44905284065</v>
      </c>
      <c r="K59" s="240">
        <f>Table161128[[#This Row],[عدد]]*Table161128[[#This Row],[سعر البرجولا كاملة]]</f>
        <v>208532.44905284065</v>
      </c>
      <c r="L59" s="241">
        <f>(K59)/$G$84</f>
        <v>0.55015847210294178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208532.44905284065</v>
      </c>
      <c r="K60" s="240">
        <f>Table161128[[#This Row],[عدد]]*Table161128[[#This Row],[سعر البرجولا كاملة]]</f>
        <v>20853.244905284068</v>
      </c>
      <c r="L60" s="241">
        <f>(K60)/$G$84</f>
        <v>0.055015847210294185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229385.69395812473</v>
      </c>
      <c r="L61" s="244">
        <f>Table161128[[#Totals],[اجمالي]]/$G$84</f>
        <v>0.605174319313236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0.0031658869855609021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0.0015829434927804511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0.0047488304783413534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0.0031658869855609021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0.010289132703072933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0.010289132703072933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0.010289132703072933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0.0069649513682339846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0.011872076195853384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0.0079147174639022551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0.0060679500556583962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0.0056985965740096239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0.082049237709120051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379040.69395812473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492752.90214556217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91A61668-EC25-4385-BF22-C35221D4F11E}">
      <formula1>$U$4:$U$5</formula1>
    </dataValidation>
    <dataValidation type="list" allowBlank="1" showInputMessage="1" showErrorMessage="1" sqref="F72:F80" xr:uid="{DED4F1F3-E672-4179-8C0C-C2FC78F0160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4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H22" sqref="H2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443</v>
      </c>
      <c r="B1" s="271">
        <f>(F1*D1)/10000</f>
        <v>12.5</v>
      </c>
      <c r="C1" s="272" t="s">
        <v>427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448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2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45447.291481215281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449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10</v>
      </c>
      <c r="F4" s="392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451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453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0.021646885679981957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455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0.060483945282302533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457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0.08213083096228449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0.0067911798211708107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465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0.0028862514239975947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467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0.0012733462164695271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0.002037353946351243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1912.1</v>
      </c>
      <c r="F15" s="395">
        <f>SUBTOTAL(109,Table8[اجمالي التكلفة])</f>
        <v>23901.25</v>
      </c>
      <c r="G15" s="394"/>
      <c r="H15" s="394"/>
      <c r="I15" s="394"/>
      <c r="J15" s="394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0.040747078927024866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0.053735210335014036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0.00076400772988171619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0.00076400772988171619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0.00042444873882317567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0.0025466924329390541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0.0013582359642341621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0.0037530204274891323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0.03820038649408581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0.046689361270549325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0.013582359642341621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0.013582359642341621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0.12166488007256733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0.40579421675189709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0.040579421675189707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0.44637363842708683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0.0067911798211708107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0.0067911798211708107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0.010186769731756216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0.010186769731756216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0.044142668837610269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0.033107001628207705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0.022071334418805134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0.044821786819727351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0.029711411717622295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0.078098567943464328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0.010186769731756216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0.29609544020304734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58899.927631578947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76569.905921052632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12D7DFA-9CD3-470D-88FC-3E460BD2724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F3" sqref="F3:F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443</v>
      </c>
      <c r="B1" s="271">
        <f>(F1*D1)/10000</f>
        <v>35</v>
      </c>
      <c r="C1" s="272" t="s">
        <v>427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448</v>
      </c>
      <c r="B3" s="187">
        <f>MAX(G3:I3)</f>
        <v>7</v>
      </c>
      <c r="C3" s="187">
        <v>2.25</v>
      </c>
      <c r="D3" s="187">
        <f>IF((تسعير!$AT$6="سادة"),((wavy1!$U$2+25000)/1000),IF((تسعير!$AT$6="خشبي"),((wavy1!$U$2+wavy1!$V$2)/1000),0))</f>
        <v>255</v>
      </c>
      <c r="E3" s="187">
        <v>2</v>
      </c>
      <c r="F3" s="392">
        <f>B3*C3*D3*E3</f>
        <v>8032.5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45447.291481400462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IF((تسعير!$AT$6="سادة"),((wavy1!$U$2+25000)/1000),IF((تسعير!$AT$6="خشبي"),((wavy1!$U$2+wavy1!$V$2)/1000),0))</f>
        <v>255</v>
      </c>
      <c r="E4" s="187">
        <f>CEILING(D1/60,1)+1</f>
        <v>13</v>
      </c>
      <c r="F4" s="392">
        <f>B4*C4*D4*E4</f>
        <v>9282.0000000000018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451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453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455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0.07411478731735259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0.07411478731735259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0.0052010377064808837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465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0.0022104410252543755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467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0.00097519456996516564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0.0062412452477770605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1139.7</v>
      </c>
      <c r="F17" s="395">
        <f>SUBTOTAL(109,Table823[اجمالي التكلفة])</f>
        <v>39889.5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0.014627918549477485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0.018203631972683092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0.0078015565597213251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0.026005188532404418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0.0039354518645705362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0.00058511674197909936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0.00058511674197909936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0.00097519456996516564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0.0058511674197909936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0.0015603113119442651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0.00287425767989733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0.0400479903399028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0.058511674197909938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0.071514268464112143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0.0018890168949938573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0.0018890168949938573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0.1902185831220391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39889.5</v>
      </c>
      <c r="V50" s="240">
        <f>M50*Table16136845[[#This Row],[سعر الشبك ]]</f>
        <v>39889.5</v>
      </c>
      <c r="W50" s="241">
        <f t="shared" si="6"/>
        <v>0.518666983981673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39889.5</v>
      </c>
      <c r="V51" s="240">
        <f>M51*Table16136845[[#This Row],[سعر الشبك ]]</f>
        <v>3988.9500000000003</v>
      </c>
      <c r="W51" s="241">
        <f t="shared" si="6"/>
        <v>0.0518666983981673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43878.45</v>
      </c>
      <c r="W52" s="244">
        <f>Table16136845[[#Totals],[اجمالي]]/$R$71</f>
        <v>0.57053368237984026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0.010402075412961767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0.010402075412961767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0.0052010377064808837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0.0078015565597213251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0.016903372546062872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0.012677529409547153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0.0312062262388853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0.029905966812265081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0.12449984009888615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76907.729298245613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99980.0480877193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652DA82-2731-47DB-9EFA-B290E4EAC555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J58" zoomScale="85" zoomScaleNormal="85" workbookViewId="0">
      <selection activeCell="S87" sqref="S87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477</v>
      </c>
      <c r="B2" s="324" t="s">
        <v>198</v>
      </c>
      <c r="C2" s="324" t="s">
        <v>478</v>
      </c>
      <c r="E2" s="324" t="s">
        <v>9</v>
      </c>
      <c r="F2" s="323" t="s">
        <v>30</v>
      </c>
      <c r="H2" s="329" t="s">
        <v>9</v>
      </c>
      <c r="I2" s="361" t="s">
        <v>479</v>
      </c>
      <c r="J2" s="362" t="s">
        <v>480</v>
      </c>
      <c r="K2" s="363" t="s">
        <v>481</v>
      </c>
      <c r="M2" s="364" t="s">
        <v>482</v>
      </c>
      <c r="N2" s="364" t="s">
        <v>483</v>
      </c>
      <c r="O2" s="0" t="s">
        <v>9</v>
      </c>
      <c r="P2" s="365"/>
      <c r="R2" s="340"/>
      <c r="S2" s="323" t="s">
        <v>198</v>
      </c>
      <c r="T2" s="323" t="s">
        <v>478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479</v>
      </c>
      <c r="AA2" s="331" t="s">
        <v>480</v>
      </c>
      <c r="AB2" s="331" t="s">
        <v>481</v>
      </c>
      <c r="AD2" s="0" t="s">
        <v>482</v>
      </c>
      <c r="AE2" s="0" t="s">
        <v>483</v>
      </c>
      <c r="AF2" s="0" t="s">
        <v>9</v>
      </c>
      <c r="AG2" s="365"/>
    </row>
    <row r="3" ht="22.5" customHeight="1">
      <c r="A3" s="330" t="s">
        <v>180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484</v>
      </c>
      <c r="I3" s="366">
        <v>2</v>
      </c>
      <c r="J3" s="367">
        <v>75</v>
      </c>
      <c r="K3" s="368">
        <f ref="K3:K10" t="shared" si="0">I3*J3</f>
        <v>150</v>
      </c>
      <c r="M3" s="369" t="s">
        <v>485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9" t="str">
        <f>IF((N6&gt;0),"OK","WAIT")</f>
        <v>WAIT</v>
      </c>
      <c r="P3" s="365"/>
      <c r="R3" s="340"/>
      <c r="S3" s="383" t="s">
        <v>452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486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485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180</v>
      </c>
      <c r="B4" s="331">
        <v>2.7</v>
      </c>
      <c r="C4" s="331">
        <v>13.5</v>
      </c>
      <c r="E4" s="331" t="s">
        <v>487</v>
      </c>
      <c r="F4" s="331">
        <f>Sheet2!B43</f>
        <v>160</v>
      </c>
      <c r="H4" s="565" t="s">
        <v>488</v>
      </c>
      <c r="I4" s="366">
        <v>2</v>
      </c>
      <c r="J4" s="367"/>
      <c r="K4" s="368">
        <f t="shared" si="0"/>
        <v>0</v>
      </c>
      <c r="M4" s="369" t="s">
        <v>489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9" t="str">
        <f>IF((N10=0),"WAIT","OK")</f>
        <v>OK</v>
      </c>
      <c r="P4" s="365"/>
      <c r="R4" s="340"/>
      <c r="S4" s="383" t="s">
        <v>200</v>
      </c>
      <c r="T4" s="331">
        <v>18.75</v>
      </c>
      <c r="U4" s="323"/>
      <c r="V4" s="331" t="s">
        <v>487</v>
      </c>
      <c r="W4" s="331">
        <f>Sheet2!B43</f>
        <v>160</v>
      </c>
      <c r="X4" s="323"/>
      <c r="Y4" s="339" t="s">
        <v>488</v>
      </c>
      <c r="Z4" s="375">
        <v>2</v>
      </c>
      <c r="AA4" s="331">
        <v>15</v>
      </c>
      <c r="AB4" s="331">
        <f t="shared" si="1"/>
        <v>30</v>
      </c>
      <c r="AD4" s="388" t="s">
        <v>489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180</v>
      </c>
      <c r="B5" s="331">
        <v>3</v>
      </c>
      <c r="C5" s="331">
        <v>13.5</v>
      </c>
      <c r="E5" s="331" t="s">
        <v>201</v>
      </c>
      <c r="F5" s="331">
        <f>Sheet2!B44</f>
        <v>175</v>
      </c>
      <c r="H5" s="565" t="s">
        <v>490</v>
      </c>
      <c r="I5" s="366">
        <v>16</v>
      </c>
      <c r="J5" s="367">
        <v>10</v>
      </c>
      <c r="K5" s="368">
        <f t="shared" si="0"/>
        <v>160</v>
      </c>
      <c r="M5" s="369" t="s">
        <v>491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201</v>
      </c>
      <c r="W5" s="331">
        <f>Sheet2!B44</f>
        <v>175</v>
      </c>
      <c r="X5" s="323"/>
      <c r="Y5" s="339" t="s">
        <v>492</v>
      </c>
      <c r="Z5" s="375">
        <v>1</v>
      </c>
      <c r="AA5" s="331">
        <v>150</v>
      </c>
      <c r="AB5" s="331">
        <f t="shared" si="1"/>
        <v>150</v>
      </c>
      <c r="AD5" s="388" t="s">
        <v>491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180</v>
      </c>
      <c r="B6" s="331">
        <v>3.5</v>
      </c>
      <c r="C6" s="331">
        <v>14.6</v>
      </c>
      <c r="E6" s="331" t="s">
        <v>493</v>
      </c>
      <c r="F6" s="331">
        <v>250</v>
      </c>
      <c r="H6" s="565" t="s">
        <v>494</v>
      </c>
      <c r="I6" s="366">
        <v>16</v>
      </c>
      <c r="J6" s="367">
        <v>1</v>
      </c>
      <c r="K6" s="368">
        <f t="shared" si="0"/>
        <v>16</v>
      </c>
      <c r="M6" s="369" t="s">
        <v>495</v>
      </c>
      <c r="N6" s="369">
        <f>(N5+'شماسي و كانتليفر'!F10)*(N4)</f>
        <v>0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496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495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4781.25</v>
      </c>
      <c r="AF6" s="388"/>
      <c r="AG6" s="365"/>
    </row>
    <row r="7" ht="18.75">
      <c r="A7" s="330" t="s">
        <v>498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499</v>
      </c>
      <c r="I7" s="366">
        <v>2</v>
      </c>
      <c r="J7" s="367">
        <v>80</v>
      </c>
      <c r="K7" s="368">
        <f t="shared" si="0"/>
        <v>160</v>
      </c>
      <c r="M7" s="369" t="s">
        <v>500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501</v>
      </c>
      <c r="Z7" s="375">
        <v>1</v>
      </c>
      <c r="AA7" s="331">
        <v>150</v>
      </c>
      <c r="AB7" s="331">
        <f t="shared" si="1"/>
        <v>150</v>
      </c>
      <c r="AD7" s="388" t="s">
        <v>500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498</v>
      </c>
      <c r="B8" s="331">
        <v>2.5</v>
      </c>
      <c r="C8" s="331">
        <v>11.75</v>
      </c>
      <c r="E8" s="331" t="s">
        <v>177</v>
      </c>
      <c r="F8" s="331">
        <f>Table626[[#This Row],[Column2]]</f>
        <v>60</v>
      </c>
      <c r="H8" s="565" t="s">
        <v>502</v>
      </c>
      <c r="I8" s="366">
        <v>2</v>
      </c>
      <c r="J8" s="367">
        <v>20</v>
      </c>
      <c r="K8" s="368">
        <f t="shared" si="0"/>
        <v>40</v>
      </c>
      <c r="M8" s="369" t="s">
        <v>503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60</v>
      </c>
      <c r="X8" s="323"/>
      <c r="Y8" s="339" t="s">
        <v>504</v>
      </c>
      <c r="Z8" s="375">
        <v>2</v>
      </c>
      <c r="AA8" s="331">
        <v>50</v>
      </c>
      <c r="AB8" s="331">
        <f t="shared" si="1"/>
        <v>100</v>
      </c>
      <c r="AD8" s="388" t="s">
        <v>503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498</v>
      </c>
      <c r="B9" s="331">
        <v>3</v>
      </c>
      <c r="C9" s="331">
        <v>13.5</v>
      </c>
      <c r="E9" s="331" t="s">
        <v>169</v>
      </c>
      <c r="F9" s="331">
        <f>Table626[[#This Row],[Column2]]</f>
        <v>25</v>
      </c>
      <c r="H9" s="565" t="s">
        <v>505</v>
      </c>
      <c r="I9" s="366">
        <v>7</v>
      </c>
      <c r="J9" s="367">
        <v>5</v>
      </c>
      <c r="K9" s="368">
        <f t="shared" si="0"/>
        <v>35</v>
      </c>
      <c r="M9" s="369" t="s">
        <v>506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25</v>
      </c>
      <c r="X9" s="323"/>
      <c r="Y9" s="339" t="s">
        <v>507</v>
      </c>
      <c r="Z9" s="375">
        <v>36</v>
      </c>
      <c r="AA9" s="331">
        <v>25</v>
      </c>
      <c r="AB9" s="331">
        <f t="shared" si="1"/>
        <v>900</v>
      </c>
      <c r="AD9" s="388" t="s">
        <v>506</v>
      </c>
      <c r="AE9" s="388">
        <f>AE8*AE7</f>
        <v>4200</v>
      </c>
      <c r="AF9" s="388"/>
      <c r="AG9" s="365"/>
    </row>
    <row r="10" ht="18.75">
      <c r="A10" s="330" t="s">
        <v>498</v>
      </c>
      <c r="B10" s="331">
        <v>3.3</v>
      </c>
      <c r="C10" s="331">
        <v>16.5</v>
      </c>
      <c r="E10" s="331" t="s">
        <v>226</v>
      </c>
      <c r="F10" s="331">
        <f>W11</f>
        <v>230</v>
      </c>
      <c r="H10" s="565" t="s">
        <v>508</v>
      </c>
      <c r="I10" s="366">
        <v>8</v>
      </c>
      <c r="J10" s="367">
        <v>50</v>
      </c>
      <c r="K10" s="368">
        <f t="shared" si="0"/>
        <v>400</v>
      </c>
      <c r="M10" s="369" t="s">
        <v>509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9"/>
      <c r="P10" s="365"/>
      <c r="R10" s="340"/>
      <c r="S10" s="331"/>
      <c r="T10" s="331"/>
      <c r="U10" s="323"/>
      <c r="V10" s="331" t="s">
        <v>510</v>
      </c>
      <c r="W10" s="331">
        <v>90</v>
      </c>
      <c r="X10" s="323"/>
      <c r="Y10" s="339" t="s">
        <v>511</v>
      </c>
      <c r="Z10" s="375">
        <v>1</v>
      </c>
      <c r="AA10" s="331">
        <v>75</v>
      </c>
      <c r="AB10" s="331">
        <f t="shared" si="1"/>
        <v>75</v>
      </c>
      <c r="AD10" s="388" t="s">
        <v>509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512</v>
      </c>
      <c r="F11" s="333">
        <v>450</v>
      </c>
      <c r="H11" s="374" t="s">
        <v>513</v>
      </c>
      <c r="I11" s="370"/>
      <c r="J11" s="371"/>
      <c r="K11" s="372">
        <v>250</v>
      </c>
      <c r="M11" s="369" t="s">
        <v>514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226</v>
      </c>
      <c r="W11" s="331">
        <f>Sheet2!B14/1000</f>
        <v>230</v>
      </c>
      <c r="X11" s="323"/>
      <c r="Y11" s="339" t="s">
        <v>515</v>
      </c>
      <c r="Z11" s="375">
        <v>1</v>
      </c>
      <c r="AA11" s="331">
        <v>75</v>
      </c>
      <c r="AB11" s="331">
        <f t="shared" si="1"/>
        <v>75</v>
      </c>
      <c r="AD11" s="388" t="s">
        <v>514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516</v>
      </c>
      <c r="F12" s="335">
        <v>450</v>
      </c>
      <c r="H12" s="373" t="s">
        <v>517</v>
      </c>
      <c r="I12" s="366"/>
      <c r="J12" s="367"/>
      <c r="K12" s="373">
        <v>2700</v>
      </c>
      <c r="M12" s="369" t="s">
        <v>518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512</v>
      </c>
      <c r="W12" s="331">
        <v>500</v>
      </c>
      <c r="X12" s="323"/>
      <c r="Y12" s="388" t="s">
        <v>517</v>
      </c>
      <c r="Z12" s="375"/>
      <c r="AA12" s="331"/>
      <c r="AB12" s="217">
        <f>Sheet2!B45</f>
        <v>4000</v>
      </c>
      <c r="AD12" s="388" t="s">
        <v>519</v>
      </c>
      <c r="AE12" s="388">
        <f>IF(تسعير!AG28="نصف جملة",((AE6+AE9+AE10+AE11+تسعير!AL28)*1.25),IF(تسعير!AG28="جملة",(((AE6+AE9+AE10+AE11+تسعير!AL28)*1.275)),((AE6+AE9+AE10+AE11+تسعير!AL28)*1.3)))</f>
        <v>23414.625</v>
      </c>
      <c r="AF12" s="388"/>
      <c r="AG12" s="365"/>
    </row>
    <row r="13" ht="18.75">
      <c r="A13" s="328"/>
      <c r="E13" s="336" t="s">
        <v>520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519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516</v>
      </c>
      <c r="W13" s="331">
        <v>500</v>
      </c>
      <c r="X13" s="323"/>
      <c r="Y13" s="339" t="s">
        <v>521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520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522</v>
      </c>
      <c r="J15" s="323" t="s">
        <v>523</v>
      </c>
      <c r="K15" s="323" t="s">
        <v>524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525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199</v>
      </c>
      <c r="F17" s="323" t="s">
        <v>182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522</v>
      </c>
      <c r="AA17" s="323" t="s">
        <v>523</v>
      </c>
      <c r="AB17" s="323" t="s">
        <v>524</v>
      </c>
      <c r="AG17" s="365"/>
    </row>
    <row r="18" ht="18.75">
      <c r="A18" s="340"/>
      <c r="E18" s="324" t="s">
        <v>528</v>
      </c>
      <c r="F18" s="323" t="s">
        <v>215</v>
      </c>
      <c r="H18" s="331" t="s">
        <v>529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199</v>
      </c>
      <c r="W18" s="339" t="s">
        <v>182</v>
      </c>
      <c r="X18" s="323"/>
      <c r="Y18" s="331" t="s">
        <v>452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179</v>
      </c>
      <c r="F19" s="323" t="s">
        <v>202</v>
      </c>
      <c r="H19" s="331" t="s">
        <v>530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528</v>
      </c>
      <c r="W19" s="339" t="s">
        <v>215</v>
      </c>
      <c r="X19" s="323"/>
      <c r="Y19" s="331" t="s">
        <v>200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202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478</v>
      </c>
      <c r="C27" s="345" t="s">
        <v>29</v>
      </c>
      <c r="D27" s="345" t="s">
        <v>536</v>
      </c>
      <c r="E27" s="346" t="s">
        <v>450</v>
      </c>
      <c r="F27" s="345" t="s">
        <v>537</v>
      </c>
      <c r="G27" s="345" t="s">
        <v>444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478</v>
      </c>
      <c r="C60" s="345" t="s">
        <v>29</v>
      </c>
      <c r="D60" s="345" t="s">
        <v>536</v>
      </c>
      <c r="E60" s="346" t="s">
        <v>450</v>
      </c>
      <c r="F60" s="345" t="s">
        <v>537</v>
      </c>
      <c r="G60" s="345" t="s">
        <v>444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511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DABCFB3-1867-4EB5-A7F9-AFF71B1B9E1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V64" zoomScale="70" zoomScaleNormal="70" workbookViewId="0">
      <selection activeCell="AZ84" sqref="AZ8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427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427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IF(($H$1="سادة"),(J3*H3*E3*($U$2+12000)/1000),(J3*H3*E3*($U$2+40000)/1000))</f>
        <v>79488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0" t="s">
        <v>17</v>
      </c>
      <c r="M3" s="63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2">
        <f>NOW()</f>
        <v>45447.291481400462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IF((تسعير!$AT$46="سادة"),(BE3*BC3*AZ3*(Sheet2!$B$14+12000)/1000),(BE3*BC3*AZ3*(Sheet2!$B$14+Sheet2!$B$15)/1000))</f>
        <v>66700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45447.291481400462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 ref="F4:F8" t="shared" si="2">IF(($H$1="سادة"),(J4*H4*E4*($U$2+12000)/1000),(J4*H4*E4*($U$2+40000)/1000))</f>
        <v>10260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4930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450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 t="shared" si="2"/>
        <v>10260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4930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452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 t="shared" si="2"/>
        <v>4590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0.0121786284300466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0.0121786284300466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454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 t="shared" si="2"/>
        <v>4590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0.031621701888542048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0.031621701888542048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456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 t="shared" si="2"/>
        <v>1404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0.0042732029579110875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0.0042732029579110875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458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460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462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0.048073533276499734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0.048073533276499734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464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466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372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f>E23</f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0.00341856236632887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5493.4825</v>
      </c>
      <c r="AX14" s="194"/>
      <c r="AY14" s="194"/>
      <c r="AZ14" s="194"/>
      <c r="BA14" s="194">
        <f>SUBTOTAL(109,Table8091[price])</f>
        <v>99881.5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0.00341856236632887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0.0007264445028448849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0.0007264445028448849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0.00032049022184333156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0.00032049022184333156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0.0020511374197973221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0.0020511374197973221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123</v>
      </c>
      <c r="D19" s="566"/>
      <c r="E19" s="566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0.0065166345108144084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0.0065166345108144084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0.005127843549493305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0.005127843549493305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f>Sheet2!B57</f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0.0029912420705377613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0.0029912420705377613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8685.27</v>
      </c>
      <c r="C24" s="194"/>
      <c r="D24" s="194"/>
      <c r="E24" s="194"/>
      <c r="F24" s="194">
        <f>SUBTOTAL(109,Table80102114[price])</f>
        <v>157914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0.0012819608873733263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0.0012819608873733263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0.0094010465074043925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0.0094010465074043925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0.0038629754739516234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0.0038629754739516234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0.00025639217747466526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0.00023075295972719873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0.00025639217747466526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0.00023075295972719873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0.00017092811831644349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0.00010683007394777719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0.00064098044368666313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0.00064098044368666313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0.000341856236632887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0.000341856236632887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0.011751308134255491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0.011751308134255491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0.0031408041740646495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0.0031408041740646495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0.015255334559742583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0.015255334559742583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0.020938694493764329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0.035561595015736067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0.056615665989363996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99881.5</v>
      </c>
      <c r="BQ46" s="252">
        <f>BH46*Table1613687787[[#This Row],[سعر الشبك ]]</f>
        <v>99881.5</v>
      </c>
      <c r="BR46" s="241">
        <f>(BQ46)/$R$68</f>
        <v>0.42681392124059631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157914</v>
      </c>
      <c r="V47" s="252">
        <f>M47*Table16136877[[#This Row],[سعر الشبك ]]</f>
        <v>157914</v>
      </c>
      <c r="W47" s="241">
        <f>(V47)/$R$68</f>
        <v>0.67479857189557146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99881.5</v>
      </c>
      <c r="BQ47" s="240">
        <f>BH47*Table1613687787[[#This Row],[سعر الشبك ]]</f>
        <v>9988.1500000000015</v>
      </c>
      <c r="BR47" s="241">
        <f>(BQ47)/$R$68</f>
        <v>0.042681392124059636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157914</v>
      </c>
      <c r="V48" s="240">
        <f>M48*Table16136877[[#This Row],[سعر الشبك ]]</f>
        <v>39478.5</v>
      </c>
      <c r="W48" s="241">
        <f>(V48)/$R$68</f>
        <v>0.16869964297389287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109869.65</v>
      </c>
      <c r="BR48" s="244">
        <f>Table1613687787[[#Totals],[اجمالي]]/$R$68</f>
        <v>0.46949531336465589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197392.5</v>
      </c>
      <c r="W49" s="244">
        <f>Table16136877[[#Totals],[اجمالي]]/$R$68</f>
        <v>0.8434982148694643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0.0015810850944271023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0.001709281183164435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0.0015810850944271023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0.001709281183164435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0.0047432552832813073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0.005127843549493305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0.010597543335619497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0.00683712473265774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0.0079481575017146221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0.005127843549493305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0.010597543335619497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0.00683712473265774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0.011281255808885272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0.0096147066552999469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0.019656733606391003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0.008546405915822175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0.0035894904846453133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0.081190856200310663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0.035894904846453135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152166.65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234016.5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197816.645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351024.75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20</v>
      </c>
      <c r="AX72" s="272" t="s">
        <v>427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230000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45447.291481400462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13.394</v>
      </c>
      <c r="C74" s="546" t="s">
        <v>427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5" t="s">
        <v>17</v>
      </c>
      <c r="M74" s="635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3">
        <f>NOW()</f>
        <v>45447.291481400462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IF((تسعير!$BE$46="سادة"),(BE74*BC74*AZ74*(Sheet2!$B$14+12000)/1000),(BE74*BC74*AZ74*(Sheet2!$B$14+Sheet2!$B$15)/1000))</f>
        <v>66700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4930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23</v>
      </c>
      <c r="C76" s="553">
        <f>F74-16.5</f>
        <v>353.5</v>
      </c>
      <c r="D76" s="550" t="s">
        <v>564</v>
      </c>
      <c r="E76" s="550">
        <v>2.3</v>
      </c>
      <c r="F76" s="550">
        <f ref="F76:F81" t="shared" si="22">IF(($H$74="سادة"),(J76*H76*E76*($U$73+12000)/1000),(J76*H76*E76*($U$73+40000)/1000))</f>
        <v>57132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3">(H76*100)/C76</f>
        <v>1.1315417256011315</v>
      </c>
      <c r="J76" s="554">
        <f ref="J76:J81" t="shared" si="24"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450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4930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0.035894904846453135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370</v>
      </c>
      <c r="D77" s="550" t="s">
        <v>564</v>
      </c>
      <c r="E77" s="550">
        <v>3.8</v>
      </c>
      <c r="F77" s="550">
        <f t="shared" si="22"/>
        <v>10260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3"/>
        <v>1.3513513513513513</v>
      </c>
      <c r="J77" s="554">
        <f t="shared" si="24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0.07178980969290627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452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0.031621701888542048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362</v>
      </c>
      <c r="D78" s="550" t="s">
        <v>564</v>
      </c>
      <c r="E78" s="550">
        <v>3.8</v>
      </c>
      <c r="F78" s="550">
        <f t="shared" si="22"/>
        <v>10260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3"/>
        <v>1.3812154696132597</v>
      </c>
      <c r="J78" s="554">
        <f t="shared" si="24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0.031621701888542048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454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0.0042732029579110875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450</v>
      </c>
      <c r="CO78" s="255"/>
    </row>
    <row r="79" ht="18.75">
      <c r="A79" s="549" t="s">
        <v>569</v>
      </c>
      <c r="B79" s="550">
        <v>2</v>
      </c>
      <c r="C79" s="552">
        <f>F74</f>
        <v>370</v>
      </c>
      <c r="D79" s="550" t="s">
        <v>564</v>
      </c>
      <c r="E79" s="550">
        <v>1.7</v>
      </c>
      <c r="F79" s="550">
        <f t="shared" si="22"/>
        <v>4590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3"/>
        <v>1.3513513513513513</v>
      </c>
      <c r="J79" s="554">
        <f t="shared" si="24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0.0042732029579110875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456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452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362</v>
      </c>
      <c r="D80" s="550" t="s">
        <v>564</v>
      </c>
      <c r="E80" s="550">
        <v>1.7</v>
      </c>
      <c r="F80" s="550">
        <f t="shared" si="22"/>
        <v>4590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3"/>
        <v>1.3812154696132597</v>
      </c>
      <c r="J80" s="554">
        <f t="shared" si="24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458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454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353.5</v>
      </c>
      <c r="D81" s="550" t="s">
        <v>564</v>
      </c>
      <c r="E81" s="550">
        <v>0.65</v>
      </c>
      <c r="F81" s="550">
        <f t="shared" si="22"/>
        <v>1404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3"/>
        <v>1.1315417256011315</v>
      </c>
      <c r="J81" s="554">
        <f t="shared" si="24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460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0.07178980969290627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456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347.2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0.10768471453935941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462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458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464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460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466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f>E23</f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5">BH84*BP84</f>
        <v>1200</v>
      </c>
      <c r="BR84" s="241">
        <f>(BQ84)/$R$68</f>
        <v>0.005127843549493305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462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6">M85*U85</f>
        <v>800</v>
      </c>
      <c r="W85" s="241">
        <f>(V85)/$R$68</f>
        <v>0.00341856236632887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5493.4825</v>
      </c>
      <c r="AX85" s="310"/>
      <c r="AY85" s="310"/>
      <c r="AZ85" s="310"/>
      <c r="BA85" s="310">
        <f>SUBTOTAL(109,Table80102113[price])</f>
        <v>99881.5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5"/>
        <v>170</v>
      </c>
      <c r="BR85" s="241">
        <f>(BQ85)/$R$68</f>
        <v>0.0007264445028448849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464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372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6"/>
        <v>170</v>
      </c>
      <c r="W86" s="241">
        <f>(V86)/$R$68</f>
        <v>0.0007264445028448849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5"/>
        <v>75</v>
      </c>
      <c r="BR86" s="241">
        <f>(BQ86)/$R$68</f>
        <v>0.00032049022184333156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466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6"/>
        <v>75</v>
      </c>
      <c r="W87" s="241">
        <f>(V87)/$R$68</f>
        <v>0.00032049022184333156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5"/>
        <v>480</v>
      </c>
      <c r="BR87" s="241">
        <f>(BQ87)/$R$68</f>
        <v>0.0020511374197973221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6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5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6"/>
        <v>4800</v>
      </c>
      <c r="W89" s="241">
        <f>(V89)/$R$68</f>
        <v>0.02051137419797322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0.0082259156939788435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0.024976871288990305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82</v>
      </c>
      <c r="D91" s="550" t="s">
        <v>564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82</v>
      </c>
      <c r="D92" s="550" t="s">
        <v>564</v>
      </c>
      <c r="E92" s="566">
        <v>20</v>
      </c>
      <c r="F92" s="550">
        <f ref="F92:F93" t="shared" si="27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0.01025568709898661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8</v>
      </c>
      <c r="D93" s="550" t="s">
        <v>28</v>
      </c>
      <c r="E93" s="550">
        <v>250</v>
      </c>
      <c r="F93" s="550">
        <f t="shared" si="27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0.0025639217747466525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0.012819608873733263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f>E23</f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10549.454979841721</v>
      </c>
      <c r="C97" s="194"/>
      <c r="D97" s="194"/>
      <c r="E97" s="194"/>
      <c r="F97" s="194">
        <f>SUBTOTAL(109,Table80102114115[price])</f>
        <v>128454</v>
      </c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8">BH98*BP98</f>
        <v>1014.6666666666666</v>
      </c>
      <c r="BR98" s="241">
        <f ref="BR98:BR112" t="shared" si="29" ca="1">(BQ98)/$R$68</f>
        <v>0.0043358766012937837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30">M99*U99</f>
        <v>1321.3333333333333</v>
      </c>
      <c r="W99" s="241">
        <f ref="W99:W113" t="shared" si="31" ca="1">(V99)/$R$68</f>
        <v>0.0056463255083865167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2">BP29</f>
        <v>18</v>
      </c>
      <c r="BQ99" s="240">
        <f t="shared" si="28"/>
        <v>54</v>
      </c>
      <c r="BR99" s="241">
        <f t="shared" si="29" ca="1"/>
        <v>0.00023075295972719873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30"/>
        <v>60</v>
      </c>
      <c r="W100" s="241">
        <f t="shared" si="31" ca="1"/>
        <v>0.00025639217747466526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2"/>
        <v>18</v>
      </c>
      <c r="BQ100" s="240">
        <f t="shared" si="28"/>
        <v>54</v>
      </c>
      <c r="BR100" s="241">
        <f t="shared" si="29" ca="1"/>
        <v>0.00023075295972719873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30"/>
        <v>60</v>
      </c>
      <c r="W101" s="241">
        <f t="shared" si="31" ca="1"/>
        <v>0.00025639217747466526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2"/>
        <v>25</v>
      </c>
      <c r="BQ101" s="240">
        <f t="shared" si="28"/>
        <v>25</v>
      </c>
      <c r="BR101" s="241">
        <f t="shared" si="29" ca="1"/>
        <v>0.00010683007394777719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30"/>
        <v>40</v>
      </c>
      <c r="W102" s="241">
        <f t="shared" si="31" ca="1"/>
        <v>0.00017092811831644349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2"/>
        <v>150</v>
      </c>
      <c r="BQ102" s="240">
        <f t="shared" si="28"/>
        <v>150</v>
      </c>
      <c r="BR102" s="241">
        <f t="shared" si="29" ca="1"/>
        <v>0.00064098044368666313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30"/>
        <v>150</v>
      </c>
      <c r="W103" s="241">
        <f t="shared" si="31" ca="1"/>
        <v>0.00064098044368666313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2"/>
        <v>40</v>
      </c>
      <c r="BQ103" s="240">
        <f t="shared" si="28"/>
        <v>80</v>
      </c>
      <c r="BR103" s="241">
        <f t="shared" si="29" ca="1"/>
        <v>0.000341856236632887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30"/>
        <v>80</v>
      </c>
      <c r="W104" s="241">
        <f t="shared" si="31" ca="1"/>
        <v>0.000341856236632887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2"/>
        <v>250</v>
      </c>
      <c r="BQ104" s="240">
        <f t="shared" si="28"/>
        <v>1250</v>
      </c>
      <c r="BR104" s="251">
        <f t="shared" si="29" ca="1"/>
        <v>0.0053415036973888594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3">M105*U105</f>
        <v>1250</v>
      </c>
      <c r="W105" s="251">
        <f t="shared" si="31" ca="1"/>
        <v>0.0053415036973888594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4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2"/>
        <v>105</v>
      </c>
      <c r="BQ105" s="240">
        <f t="shared" si="28"/>
        <v>630</v>
      </c>
      <c r="BR105" s="251">
        <f t="shared" si="29" ca="1"/>
        <v>0.0026921178634839852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3"/>
        <v>630</v>
      </c>
      <c r="W106" s="251">
        <f t="shared" si="31" ca="1"/>
        <v>0.0026921178634839852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4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2"/>
        <v>510</v>
      </c>
      <c r="BQ106" s="240">
        <f t="shared" si="28"/>
        <v>4080</v>
      </c>
      <c r="BR106" s="251">
        <f t="shared" si="29" ca="1"/>
        <v>0.017434668068277238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3"/>
        <v>5100</v>
      </c>
      <c r="W107" s="251">
        <f t="shared" si="31" ca="1"/>
        <v>0.021793335085346546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2"/>
        <v>20</v>
      </c>
      <c r="BQ107" s="240">
        <f t="shared" si="28"/>
        <v>0</v>
      </c>
      <c r="BR107" s="251">
        <f t="shared" si="29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3"/>
        <v>0</v>
      </c>
      <c r="W108" s="251">
        <f t="shared" si="31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2"/>
        <v>450</v>
      </c>
      <c r="BQ108" s="240">
        <f t="shared" si="28"/>
        <v>0</v>
      </c>
      <c r="BR108" s="251">
        <f t="shared" si="29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3"/>
        <v>0</v>
      </c>
      <c r="W109" s="251">
        <f t="shared" si="31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2"/>
        <v>550</v>
      </c>
      <c r="BQ109" s="240">
        <f t="shared" si="28"/>
        <v>0</v>
      </c>
      <c r="BR109" s="251">
        <f t="shared" si="29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3"/>
        <v>0</v>
      </c>
      <c r="W110" s="251">
        <f t="shared" si="31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2"/>
        <v>160</v>
      </c>
      <c r="BQ110" s="240">
        <f t="shared" si="28"/>
        <v>0</v>
      </c>
      <c r="BR110" s="251">
        <f t="shared" si="29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3"/>
        <v>0</v>
      </c>
      <c r="W111" s="251">
        <f t="shared" si="31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2"/>
        <v>160</v>
      </c>
      <c r="BQ111" s="240">
        <f>BH111*BP112</f>
        <v>0</v>
      </c>
      <c r="BR111" s="251">
        <f t="shared" si="29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31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2"/>
        <v>0</v>
      </c>
      <c r="BQ112" s="240">
        <f>BH112*BP113</f>
        <v>0</v>
      </c>
      <c r="BR112" s="251">
        <f t="shared" si="29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31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0.031355338904165586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0.037139831308191228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99881.5</v>
      </c>
      <c r="BQ117" s="252">
        <f>BH117*Table1613687798109[[#This Row],[سعر الشبك ]]</f>
        <v>99881.5</v>
      </c>
      <c r="BR117" s="241">
        <f>(BQ117)/$R$68</f>
        <v>0.42681392124059631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128454</v>
      </c>
      <c r="V118" s="252">
        <f>M118*Table1613687798[[#This Row],[سعر الشبك ]]</f>
        <v>128454</v>
      </c>
      <c r="W118" s="241">
        <f>(V118)/$R$68</f>
        <v>0.54891001275551088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99881.5</v>
      </c>
      <c r="BQ118" s="240">
        <f>BH118*Table1613687798109[[#This Row],[سعر الشبك ]]</f>
        <v>9988.1500000000015</v>
      </c>
      <c r="BR118" s="241">
        <f>(BQ118)/$R$68</f>
        <v>0.042681392124059636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128454</v>
      </c>
      <c r="V119" s="240">
        <f>M119*Table1613687798[[#This Row],[سعر الشبك ]]</f>
        <v>12845.400000000002</v>
      </c>
      <c r="W119" s="241">
        <f>(V119)/$R$68</f>
        <v>0.054891001275551091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109869.65</v>
      </c>
      <c r="BR119" s="244">
        <f>Table1613687798109[[#Totals],[اجمالي]]/$R$68</f>
        <v>0.46949531336465589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141299.4</v>
      </c>
      <c r="W120" s="244">
        <f>Table1613687798[[#Totals],[اجمالي]]/$R$68</f>
        <v>0.6038010140310619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5" ca="1">BH122*BP122</f>
        <v>370</v>
      </c>
      <c r="BR122" s="241">
        <f ref="BR122:BR134" t="shared" si="36" ca="1">(BQ122)/$R$68</f>
        <v>0.0015810850944271023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7" ca="1">M123*U123</f>
        <v>400</v>
      </c>
      <c r="W123" s="241">
        <f ref="W123:W135" t="shared" si="38" ca="1">(V123)/$R$68</f>
        <v>0.001709281183164435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5" ca="1"/>
        <v>370</v>
      </c>
      <c r="BR123" s="241">
        <f t="shared" si="36" ca="1"/>
        <v>0.0015810850944271023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7" ca="1"/>
        <v>400</v>
      </c>
      <c r="W124" s="241">
        <f t="shared" si="38" ca="1"/>
        <v>0.001709281183164435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5"/>
        <v>0</v>
      </c>
      <c r="BR124" s="241">
        <f t="shared" si="36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7"/>
        <v>0</v>
      </c>
      <c r="W125" s="241">
        <f t="shared" si="38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5" ca="1"/>
        <v>1110</v>
      </c>
      <c r="BR125" s="241">
        <f t="shared" si="36" ca="1"/>
        <v>0.0047432552832813073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7" ca="1"/>
        <v>1200</v>
      </c>
      <c r="W126" s="241">
        <f t="shared" si="38" ca="1"/>
        <v>0.005127843549493305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5" ca="1"/>
        <v>2480</v>
      </c>
      <c r="BR126" s="241">
        <f t="shared" si="36" ca="1"/>
        <v>0.010597543335619497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7" ca="1"/>
        <v>2600</v>
      </c>
      <c r="W127" s="241">
        <f t="shared" si="38" ca="1"/>
        <v>0.011110327690568828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5" ca="1"/>
        <v>1860</v>
      </c>
      <c r="BR127" s="241">
        <f t="shared" si="36" ca="1"/>
        <v>0.0079481575017146221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7" ca="1"/>
        <v>1950</v>
      </c>
      <c r="W128" s="241">
        <f t="shared" si="38" ca="1"/>
        <v>0.00833274576792662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5"/>
        <v>0</v>
      </c>
      <c r="BR128" s="241">
        <f t="shared" si="36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7"/>
        <v>0</v>
      </c>
      <c r="W129" s="241">
        <f t="shared" si="38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5" ca="1"/>
        <v>2480</v>
      </c>
      <c r="BR129" s="241">
        <f t="shared" si="36" ca="1"/>
        <v>0.010597543335619497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7" ca="1"/>
        <v>2600</v>
      </c>
      <c r="W130" s="241">
        <f t="shared" si="38" ca="1"/>
        <v>0.011110327690568828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5" ca="1"/>
        <v>2640</v>
      </c>
      <c r="BR130" s="241">
        <f t="shared" si="36" ca="1"/>
        <v>0.011281255808885272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7" ca="1"/>
        <v>2640</v>
      </c>
      <c r="W131" s="241">
        <f t="shared" si="38" ca="1"/>
        <v>0.011281255808885272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5" ca="1"/>
        <v>2250</v>
      </c>
      <c r="BR131" s="241">
        <f t="shared" si="36" ca="1"/>
        <v>0.0096147066552999469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7" ca="1"/>
        <v>2250</v>
      </c>
      <c r="W132" s="241">
        <f t="shared" si="38" ca="1"/>
        <v>0.0096147066552999469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5" ca="1"/>
        <v>0</v>
      </c>
      <c r="BR132" s="241">
        <f t="shared" si="36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7" ca="1"/>
        <v>0</v>
      </c>
      <c r="W133" s="241">
        <f t="shared" si="38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5" ca="1"/>
        <v>4600</v>
      </c>
      <c r="BR133" s="241">
        <f t="shared" si="36" ca="1"/>
        <v>0.019656733606391003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7" ca="1"/>
        <v>4600</v>
      </c>
      <c r="W134" s="241">
        <f t="shared" si="38" ca="1"/>
        <v>0.019656733606391003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5" ca="1"/>
        <v>840</v>
      </c>
      <c r="BR134" s="241">
        <f t="shared" si="36" ca="1"/>
        <v>0.0035894904846453133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7" ca="1"/>
        <v>840</v>
      </c>
      <c r="W135" s="241">
        <f t="shared" si="38" ca="1"/>
        <v>0.0035894904846453133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0.081190856200310663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0.083241993620107979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157932.31666666665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200515.73333333334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205312.01166666666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260670.45333333334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9CCA9DBB-471E-4103-AD2C-179F038B9EB4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422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360</v>
      </c>
      <c r="B2" s="637">
        <f>Royal!C3</f>
        <v>0</v>
      </c>
      <c r="C2" s="638"/>
      <c r="D2" s="638"/>
      <c r="E2" s="638"/>
      <c r="F2" s="639"/>
      <c r="G2" s="1">
        <v>1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423</v>
      </c>
      <c r="F3" s="640" t="s">
        <v>424</v>
      </c>
      <c r="G3" s="640"/>
    </row>
    <row r="4" ht="18" customHeight="1">
      <c r="A4" s="11" t="s">
        <v>292</v>
      </c>
      <c r="F4" s="641" t="s">
        <v>425</v>
      </c>
      <c r="G4" s="642"/>
      <c r="H4" s="642"/>
      <c r="I4" s="643"/>
      <c r="J4" s="10"/>
    </row>
    <row r="5" ht="18" customHeight="1">
      <c r="A5" s="11" t="s">
        <v>293</v>
      </c>
      <c r="F5" s="644" t="s">
        <v>426</v>
      </c>
      <c r="G5" s="645"/>
      <c r="H5" s="645"/>
      <c r="I5" s="646"/>
      <c r="J5" s="10"/>
    </row>
    <row r="6" ht="18" customHeight="1">
      <c r="A6" s="11" t="s">
        <v>364</v>
      </c>
      <c r="Q6" s="647"/>
      <c r="R6" s="647"/>
      <c r="S6" s="647"/>
    </row>
    <row r="7" ht="18" customHeight="1">
      <c r="B7" s="180" t="s">
        <v>125</v>
      </c>
      <c r="C7" s="181">
        <f>تسعير!AA10</f>
        <v>500</v>
      </c>
      <c r="D7" s="182" t="s">
        <v>427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9" t="s">
        <v>428</v>
      </c>
      <c r="C11" s="650"/>
      <c r="D11" s="645" t="s">
        <v>429</v>
      </c>
      <c r="E11" s="646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7"/>
      <c r="R15" s="647"/>
      <c r="S15" s="647"/>
    </row>
    <row r="16" ht="18" customHeight="1">
      <c r="C16" s="640" t="s">
        <v>431</v>
      </c>
      <c r="D16" s="640"/>
      <c r="E16" s="640"/>
      <c r="F16" s="1" t="s">
        <v>432</v>
      </c>
    </row>
    <row r="17" ht="18" customHeight="1">
      <c r="A17" s="640" t="s">
        <v>297</v>
      </c>
      <c r="B17" s="640"/>
      <c r="C17" s="640"/>
    </row>
    <row r="18" ht="18" customHeight="1">
      <c r="A18" s="651" t="s">
        <v>433</v>
      </c>
      <c r="B18" s="652"/>
      <c r="C18" s="14">
        <f>'Format Φωτισμου'!B9</f>
        <v>5</v>
      </c>
    </row>
    <row r="19" ht="18" customHeight="1">
      <c r="A19" s="651" t="s">
        <v>434</v>
      </c>
      <c r="B19" s="652"/>
      <c r="C19" s="14">
        <f>'Format Φωτισμου'!B12</f>
        <v>15</v>
      </c>
    </row>
    <row r="20" ht="18" customHeight="1">
      <c r="A20" s="651" t="s">
        <v>435</v>
      </c>
      <c r="B20" s="652"/>
      <c r="C20" s="14">
        <f>C19/C18</f>
        <v>3</v>
      </c>
    </row>
    <row r="21" ht="18" customHeight="1">
      <c r="A21" s="653" t="s">
        <v>436</v>
      </c>
      <c r="B21" s="654"/>
      <c r="C21" s="655">
        <v>20</v>
      </c>
      <c r="D21" s="656"/>
      <c r="E21" s="649" t="s">
        <v>437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438</v>
      </c>
      <c r="B22" s="652"/>
      <c r="C22" s="179">
        <v>50</v>
      </c>
      <c r="D22" s="184" t="s">
        <v>439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440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309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311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2024-05-12T09:05:30Z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