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0E870E26-0730-4E66-BAED-8C1463FB6F5D}" xr6:coauthVersionLast="47" xr6:coauthVersionMax="47" xr10:uidLastSave="{00000000-0000-0000-0000-000000000000}"/>
  <bookViews>
    <workbookView xWindow="-108" yWindow="-108" windowWidth="23256" windowHeight="12576" tabRatio="64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<sst xmlns="http://schemas.openxmlformats.org/spreadsheetml/2006/main" count="680" uniqueCount="680">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</sst>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6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72" applyFont="1" fillId="0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1" applyFont="1" fillId="0" borderId="0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632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  <family val="2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  <family val="2"/>
      </font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1228725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571500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571500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571500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571500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571500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571500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342900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571500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571500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571500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571500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571500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571500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571500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342900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571500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64" totalsRowDxfId="1428"/>
    <tableColumn id="2" xr3:uid="{00000000-0010-0000-0700-000002000000}" name="عدد" dataDxfId="1568" totalsRowDxfId="1569"/>
    <tableColumn id="3" xr3:uid="{00000000-0010-0000-0700-000003000000}" name="بيان" totalsRowLabel="Total" dataDxfId="1564" totalsRowDxfId="1428"/>
    <tableColumn id="11" xr3:uid="{00000000-0010-0000-0700-00000B000000}" name="Column2" dataDxfId="1564" totalsRowDxfId="1570"/>
    <tableColumn id="10" xr3:uid="{00000000-0010-0000-0700-00000A000000}" name="Column1" dataDxfId="1564" totalsRowDxfId="1570"/>
    <tableColumn id="12" xr3:uid="{00000000-0010-0000-0700-00000C000000}" name="Column12" dataDxfId="1429" totalsRowDxfId="1430"/>
    <tableColumn id="4" xr3:uid="{00000000-0010-0000-0700-000004000000}" name="الوحده" dataDxfId="1564" totalsRowDxfId="1570"/>
    <tableColumn id="5" xr3:uid="{00000000-0010-0000-0700-000005000000}" name="الوزن" dataDxfId="1564" totalsRowDxfId="1570"/>
    <tableColumn id="6" xr3:uid="{00000000-0010-0000-0700-000006000000}" name="سعر الكيلو" dataDxfId="1564" totalsRowDxfId="1570"/>
    <tableColumn id="7" xr3:uid="{00000000-0010-0000-0700-000007000000}" name="سعر الشبك " dataDxfId="1423" totalsRowDxfId="89">
      <calculatedColumnFormula>Sheet2!B22</calculatedColumnFormula>
    </tableColumn>
    <tableColumn id="8" xr3:uid="{00000000-0010-0000-0700-000008000000}" name="اجمالي" totalsRowFunction="sum" dataDxfId="1425" totalsRowDxfId="87">
      <calculatedColumnFormula>B17*J17</calculatedColumnFormula>
    </tableColumn>
    <tableColumn id="9" xr3:uid="{00000000-0010-0000-0700-000009000000}" name="%" totalsRowFunction="custom" totalsRowDxfId="86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64" totalsRowDxfId="1565"/>
    <tableColumn id="2" xr3:uid="{00000000-0010-0000-6100-000002000000}" name="عدد" dataDxfId="1564" totalsRowDxfId="1565"/>
    <tableColumn id="3" xr3:uid="{00000000-0010-0000-6100-000003000000}" name="بيان" totalsRowLabel="Total" dataDxfId="1564" totalsRowDxfId="1565"/>
    <tableColumn id="11" xr3:uid="{00000000-0010-0000-6100-00000B000000}" name="Column2" dataDxfId="1564" totalsRowDxfId="1565"/>
    <tableColumn id="10" xr3:uid="{00000000-0010-0000-6100-00000A000000}" name="Column1" dataDxfId="1564" totalsRowDxfId="1565"/>
    <tableColumn id="12" xr3:uid="{00000000-0010-0000-6100-00000C000000}" name="المسطح" totalsRowFunction="sum" dataDxfId="1581" totalsRowDxfId="1606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64" totalsRowDxfId="1565"/>
    <tableColumn id="5" xr3:uid="{00000000-0010-0000-6100-000005000000}" name="الوزن" totalsRowFunction="custom" totalsRowDxfId="1565">
      <totalsRowFormula>(BN6*BH6)+(BN7*BG7)+(BN8*BG8)+(BN9*BG9)</totalsRowFormula>
    </tableColumn>
    <tableColumn id="6" xr3:uid="{00000000-0010-0000-6100-000006000000}" name="اجمالي المسطح" totalsRowFunction="sum" dataDxfId="1568" totalsRowDxfId="1565">
      <calculatedColumnFormula>Table1588090[[#This Row],[المسطح]]*Table1588090[[#This Row],[عدد]]</calculatedColumnFormula>
    </tableColumn>
    <tableColumn id="7" xr3:uid="{00000000-0010-0000-6100-000007000000}" name="سعر الشبك " dataDxfId="1623" totalsRowDxfId="1589">
      <calculatedColumnFormula>BN6*$S$2/1000</calculatedColumnFormula>
    </tableColumn>
    <tableColumn id="8" xr3:uid="{00000000-0010-0000-6100-000008000000}" name="اجمالي" totalsRowFunction="sum" dataDxfId="1574" totalsRowDxfId="1590">
      <calculatedColumnFormula>BH6*BP6</calculatedColumnFormula>
    </tableColumn>
    <tableColumn id="9" xr3:uid="{00000000-0010-0000-6100-000009000000}" name="%" totalsRowFunction="custom" totalsRowDxfId="1591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39"/>
    <tableColumn id="2" xr3:uid="{00000000-0010-0000-6200-000002000000}" name="عدد" totalsRowFunction="custom" totalsRowDxfId="38">
      <totalsRowFormula>(Table8091[[#Totals],[price]]*1.1)/(BA1*AY1/10000)</totalsRowFormula>
    </tableColumn>
    <tableColumn id="3" xr3:uid="{00000000-0010-0000-6200-000003000000}" name="طول" dataDxfId="1466" totalsRowDxfId="30"/>
    <tableColumn id="4" xr3:uid="{00000000-0010-0000-6200-000004000000}" name="Column2" dataDxfId="1624" totalsRowDxfId="1467"/>
    <tableColumn id="5" xr3:uid="{00000000-0010-0000-6200-000005000000}" name="wt/m" dataDxfId="1466" totalsRowDxfId="1625"/>
    <tableColumn id="6" xr3:uid="{00000000-0010-0000-6200-000006000000}" name="price" totalsRowFunction="sum" dataDxfId="1626" totalsRowDxfId="1467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64" totalsRowDxfId="1565"/>
    <tableColumn id="2" xr3:uid="{00000000-0010-0000-6300-000002000000}" name="عدد" dataDxfId="1568" totalsRowDxfId="156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64" totalsRowDxfId="1565"/>
    <tableColumn id="11" xr3:uid="{00000000-0010-0000-6300-00000B000000}" name="Column2" dataDxfId="1564" totalsRowDxfId="1565"/>
    <tableColumn id="10" xr3:uid="{00000000-0010-0000-6300-00000A000000}" name="Column1" dataDxfId="1564" totalsRowDxfId="1565"/>
    <tableColumn id="12" xr3:uid="{00000000-0010-0000-6300-00000C000000}" name="Column12" dataDxfId="1564" totalsRowDxfId="1565"/>
    <tableColumn id="4" xr3:uid="{00000000-0010-0000-6300-000004000000}" name="الوحده" totalsRowLabel="total" dataDxfId="1564" totalsRowDxfId="1565"/>
    <tableColumn id="5" xr3:uid="{00000000-0010-0000-6300-000005000000}" name="الوزن" dataDxfId="1564" totalsRowDxfId="1565"/>
    <tableColumn id="6" xr3:uid="{00000000-0010-0000-6300-000006000000}" name="سعر الكيلو" dataDxfId="1564" totalsRowDxfId="1565"/>
    <tableColumn id="7" xr3:uid="{00000000-0010-0000-6300-000007000000}" name="سعر الشبك " dataDxfId="1572" totalsRowDxfId="1589">
      <calculatedColumnFormula>BP28</calculatedColumnFormula>
    </tableColumn>
    <tableColumn id="8" xr3:uid="{00000000-0010-0000-6300-000008000000}" name="اجمالي" totalsRowFunction="sum" dataDxfId="1574" totalsRowDxfId="1590">
      <calculatedColumnFormula>BH98*BP99</calculatedColumnFormula>
    </tableColumn>
    <tableColumn id="9" xr3:uid="{00000000-0010-0000-6300-000009000000}" name="%" totalsRowFunction="custom" totalsRowDxfId="1591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64" totalsRowDxfId="1565"/>
    <tableColumn id="2" xr3:uid="{00000000-0010-0000-6400-000002000000}" name="عدد" dataDxfId="1568" totalsRowDxfId="1565">
      <calculatedColumnFormula>IF((#REF!="بالتات"),0,4)</calculatedColumnFormula>
    </tableColumn>
    <tableColumn id="3" xr3:uid="{00000000-0010-0000-6400-000003000000}" name="بيان" totalsRowLabel="Total" dataDxfId="1564" totalsRowDxfId="1565"/>
    <tableColumn id="11" xr3:uid="{00000000-0010-0000-6400-00000B000000}" name="Column2" dataDxfId="1564" totalsRowDxfId="1565"/>
    <tableColumn id="10" xr3:uid="{00000000-0010-0000-6400-00000A000000}" name="Column1" dataDxfId="1564" totalsRowDxfId="1565"/>
    <tableColumn id="12" xr3:uid="{00000000-0010-0000-6400-00000C000000}" name="Column12" dataDxfId="1581" totalsRowDxfId="1606"/>
    <tableColumn id="4" xr3:uid="{00000000-0010-0000-6400-000004000000}" name="الوحده" dataDxfId="1564" totalsRowDxfId="1565"/>
    <tableColumn id="5" xr3:uid="{00000000-0010-0000-6400-000005000000}" name="الوزن" dataDxfId="1564" totalsRowDxfId="1565"/>
    <tableColumn id="6" xr3:uid="{00000000-0010-0000-6400-000006000000}" name="سعر الكيلو" dataDxfId="1564" totalsRowDxfId="1565"/>
    <tableColumn id="7" xr3:uid="{00000000-0010-0000-6400-000007000000}" name="سعر الشبك " dataDxfId="1614" totalsRowDxfId="1589">
      <calculatedColumnFormula>Sheet2!AW26</calculatedColumnFormula>
    </tableColumn>
    <tableColumn id="8" xr3:uid="{00000000-0010-0000-6400-000008000000}" name="اجمالي" totalsRowFunction="sum" dataDxfId="1574" totalsRowDxfId="1590">
      <calculatedColumnFormula>BH84*BP84</calculatedColumnFormula>
    </tableColumn>
    <tableColumn id="9" xr3:uid="{00000000-0010-0000-6400-000009000000}" name="%" totalsRowFunction="custom" totalsRowDxfId="1591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64"/>
    <tableColumn id="2" xr3:uid="{00000000-0010-0000-6500-000002000000}" name="عدد" totalsRowFunction="sum" dataDxfId="1564">
      <calculatedColumnFormula>BH90*4</calculatedColumnFormula>
    </tableColumn>
    <tableColumn id="3" xr3:uid="{00000000-0010-0000-6500-000003000000}" name="بيان" totalsRowLabel="Total" dataDxfId="1564"/>
    <tableColumn id="11" xr3:uid="{00000000-0010-0000-6500-00000B000000}" name="Column2" dataDxfId="1564"/>
    <tableColumn id="10" xr3:uid="{00000000-0010-0000-6500-00000A000000}" name="Column1" dataDxfId="1564"/>
    <tableColumn id="12" xr3:uid="{00000000-0010-0000-6500-00000C000000}" name="Column12" totalsRowFunction="sum" dataDxfId="158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6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68"/>
    <tableColumn id="7" xr3:uid="{00000000-0010-0000-6500-000007000000}" name="سعر الشبك " dataDxfId="1572">
      <calculatedColumnFormula>BN92*$S$2/1000</calculatedColumnFormula>
    </tableColumn>
    <tableColumn id="8" xr3:uid="{00000000-0010-0000-6500-000008000000}" name="اجمالي" totalsRowFunction="sum" dataDxfId="1574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93"/>
    <tableColumn id="2" xr3:uid="{00000000-0010-0000-6600-000002000000}" name="المعدل" dataDxfId="1593"/>
    <tableColumn id="3" xr3:uid="{00000000-0010-0000-6600-000003000000}" name="الوحدة" dataDxfId="1593"/>
    <tableColumn id="4" xr3:uid="{00000000-0010-0000-6600-000004000000}" name="Column4" dataDxfId="1612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93"/>
    <tableColumn id="2" xr3:uid="{00000000-0010-0000-6700-000002000000}" name="Column2" dataDxfId="1612"/>
    <tableColumn id="3" xr3:uid="{00000000-0010-0000-6700-000003000000}" name="Column3" dataDxfId="1593"/>
    <tableColumn id="4" xr3:uid="{00000000-0010-0000-6700-000004000000}" name="Column4" dataDxfId="1593"/>
    <tableColumn id="5" xr3:uid="{00000000-0010-0000-6700-000005000000}" name="Column5" dataDxfId="1593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64" totalsRowDxfId="1570"/>
    <tableColumn id="2" xr3:uid="{00000000-0010-0000-6800-000002000000}" name="عدد" dataDxfId="1601" totalsRowDxfId="1570">
      <calculatedColumnFormula>IF((تسعير!$AU$14="بالتات"),0,BH119-2)</calculatedColumnFormula>
    </tableColumn>
    <tableColumn id="3" xr3:uid="{00000000-0010-0000-6800-000003000000}" name="بيان" totalsRowLabel="Total" dataDxfId="1607" totalsRowDxfId="1570"/>
    <tableColumn id="5" xr3:uid="{00000000-0010-0000-6800-000005000000}" name="اليومية / الاجرة" dataDxfId="1607" totalsRowDxfId="1570"/>
    <tableColumn id="6" xr3:uid="{00000000-0010-0000-6800-000006000000}" name="بدل الوجبة" dataDxfId="1608" totalsRowDxfId="1570"/>
    <tableColumn id="11" xr3:uid="{00000000-0010-0000-6800-00000B000000}" name="موقع العمل" dataDxfId="1587" totalsRowDxfId="1570">
      <calculatedColumnFormula>تسعير!$BE$44</calculatedColumnFormula>
    </tableColumn>
    <tableColumn id="10" xr3:uid="{00000000-0010-0000-6800-00000A000000}" name="شيفت العمل" dataDxfId="1564" totalsRowDxfId="1570"/>
    <tableColumn id="12" xr3:uid="{00000000-0010-0000-6800-00000C000000}" name="Column12" totalsRowFunction="sum" dataDxfId="1581" totalsRowDxfId="1592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617" totalsRowDxfId="1570"/>
    <tableColumn id="7" xr3:uid="{00000000-0010-0000-6800-000007000000}" name="اجمالي التكلفة للعامل" dataDxfId="1618" totalsRowDxfId="1596">
      <calculatedColumnFormula>Table1612677697108[[#This Row],[Column12]]</calculatedColumnFormula>
    </tableColumn>
    <tableColumn id="8" xr3:uid="{00000000-0010-0000-6800-000008000000}" name="اجمالي" totalsRowFunction="sum" dataDxfId="1574" totalsRowDxfId="1597">
      <calculatedColumnFormula>BH122*BP122</calculatedColumnFormula>
    </tableColumn>
    <tableColumn id="9" xr3:uid="{00000000-0010-0000-6800-000009000000}" name="%" totalsRowFunction="custom" totalsRowDxfId="1598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87"/>
    <tableColumn id="2" xr3:uid="{00000000-0010-0000-6900-000002000000}" name="عدد" dataDxfId="1601">
      <calculatedColumnFormula>IF((BL133="الاسكندرية"),0.25,0.1)</calculatedColumnFormula>
    </tableColumn>
    <tableColumn id="3" xr3:uid="{00000000-0010-0000-6900-000003000000}" name="بيان" totalsRowLabel="Total" dataDxfId="1587"/>
    <tableColumn id="11" xr3:uid="{00000000-0010-0000-6900-00000B000000}" name="Column2" dataDxfId="1587"/>
    <tableColumn id="10" xr3:uid="{00000000-0010-0000-6900-00000A000000}" name="Column1" dataDxfId="1587"/>
    <tableColumn id="12" xr3:uid="{00000000-0010-0000-6900-00000C000000}" name="Column12" totalsRowFunction="sum" dataDxfId="1622"/>
    <tableColumn id="4" xr3:uid="{00000000-0010-0000-6900-000004000000}" name="الوحده" dataDxfId="1594"/>
    <tableColumn id="5" xr3:uid="{00000000-0010-0000-6900-000005000000}" name="الوزن" dataDxfId="1587"/>
    <tableColumn id="6" xr3:uid="{00000000-0010-0000-6900-000006000000}" name="سعر الكيلو" dataDxfId="1587"/>
    <tableColumn id="7" xr3:uid="{00000000-0010-0000-6900-000007000000}" name="سعر الشبك " dataDxfId="1614">
      <calculatedColumnFormula>BQ116</calculatedColumnFormula>
    </tableColumn>
    <tableColumn id="8" xr3:uid="{00000000-0010-0000-6900-000008000000}" name="اجمالي" totalsRowFunction="sum" dataDxfId="1574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93"/>
    <tableColumn id="2" xr3:uid="{00000000-0010-0000-6A00-000002000000}" name="خارجي" dataDxfId="1593"/>
    <tableColumn id="3" xr3:uid="{00000000-0010-0000-6A00-000003000000}" name="داخلي" dataDxfId="1593"/>
    <tableColumn id="4" xr3:uid="{00000000-0010-0000-6A00-000004000000}" name="بدل الوجبة" dataDxfId="1593"/>
    <tableColumn id="5" xr3:uid="{00000000-0010-0000-6A00-000005000000}" name="دبابة" dataDxfId="1593"/>
    <tableColumn id="6" xr3:uid="{00000000-0010-0000-6A00-000006000000}" name="جامبو" dataDxfId="1593"/>
    <tableColumn id="7" xr3:uid="{00000000-0010-0000-6A00-000007000000}" name="الاقامة" dataDxfId="1593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64" totalsRowDxfId="1565"/>
    <tableColumn id="2" xr3:uid="{00000000-0010-0000-0800-000002000000}" name="عدد" totalsRowFunction="count" dataDxfId="1564" totalsRowDxfId="1565">
      <calculatedColumnFormula>B29*4</calculatedColumnFormula>
    </tableColumn>
    <tableColumn id="3" xr3:uid="{00000000-0010-0000-0800-000003000000}" name="بيان" totalsRowLabel="Total" dataDxfId="1564" totalsRowDxfId="1565"/>
    <tableColumn id="11" xr3:uid="{00000000-0010-0000-0800-00000B000000}" name="Column2" dataDxfId="1564" totalsRowDxfId="1565"/>
    <tableColumn id="10" xr3:uid="{00000000-0010-0000-0800-00000A000000}" name="Column1" dataDxfId="1564" totalsRowDxfId="1565"/>
    <tableColumn id="12" xr3:uid="{00000000-0010-0000-0800-00000C000000}" name="Column12" totalsRowFunction="sum" dataDxfId="1571" totalsRowDxfId="14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564" totalsRowDxfId="1565"/>
    <tableColumn id="5" xr3:uid="{00000000-0010-0000-0800-000005000000}" name="الوزن" totalsRowFunction="custom" totalsRowDxfId="1565">
      <totalsRowFormula>H30*B30+H31*B31</totalsRowFormula>
    </tableColumn>
    <tableColumn id="6" xr3:uid="{00000000-0010-0000-0800-000006000000}" name="Column3" dataDxfId="1568" totalsRowDxfId="1565"/>
    <tableColumn id="7" xr3:uid="{00000000-0010-0000-0800-000007000000}" name="سعر الشبك " dataDxfId="1572" totalsRowDxfId="1573">
      <calculatedColumnFormula>H30*$H$2/1000</calculatedColumnFormula>
    </tableColumn>
    <tableColumn id="8" xr3:uid="{00000000-0010-0000-0800-000008000000}" name="اجمالي" totalsRowFunction="sum" dataDxfId="1574" totalsRowDxfId="1575">
      <calculatedColumnFormula>B30*J30</calculatedColumnFormula>
    </tableColumn>
    <tableColumn id="9" xr3:uid="{00000000-0010-0000-0800-000009000000}" name="%" totalsRowFunction="custom" totalsRowDxfId="1576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87"/>
    <tableColumn id="4" xr3:uid="{00000000-0010-0000-6B00-000004000000}" name="Column22" dataDxfId="1587"/>
    <tableColumn id="5" xr3:uid="{00000000-0010-0000-6B00-000005000000}" name="Column23" dataDxfId="1587"/>
    <tableColumn id="3" xr3:uid="{00000000-0010-0000-6B00-000003000000}" name="Column3" dataDxfId="161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60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64" totalsRowDxfId="1565"/>
    <tableColumn id="2" xr3:uid="{00000000-0010-0000-6C00-000002000000}" name="عدد" dataDxfId="1564" totalsRowDxfId="156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64" totalsRowDxfId="1565"/>
    <tableColumn id="11" xr3:uid="{00000000-0010-0000-6C00-00000B000000}" name="Column2" dataDxfId="1564" totalsRowDxfId="1565"/>
    <tableColumn id="10" xr3:uid="{00000000-0010-0000-6C00-00000A000000}" name="Column1" dataDxfId="1564" totalsRowDxfId="1565"/>
    <tableColumn id="12" xr3:uid="{00000000-0010-0000-6C00-00000C000000}" name="المسطح" totalsRowFunction="sum" dataDxfId="1581" totalsRowDxfId="1606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64" totalsRowDxfId="1565"/>
    <tableColumn id="5" xr3:uid="{00000000-0010-0000-6C00-000005000000}" name="الوزن" totalsRowFunction="custom" totalsRowDxfId="1565">
      <totalsRowFormula>(BN76*BH76)+(BN77*BH77)+(BN78*BH78)+(BN79*BH79)</totalsRowFormula>
    </tableColumn>
    <tableColumn id="6" xr3:uid="{00000000-0010-0000-6C00-000006000000}" name="اجمالي المسطح" totalsRowFunction="sum" dataDxfId="1568" totalsRowDxfId="1565">
      <calculatedColumnFormula>Table15880101112[[#This Row],[المسطح]]*Table15880101112[[#This Row],[عدد]]</calculatedColumnFormula>
    </tableColumn>
    <tableColumn id="7" xr3:uid="{00000000-0010-0000-6C00-000007000000}" name="سعر الشبك " dataDxfId="1623" totalsRowDxfId="1589">
      <calculatedColumnFormula>BN76*$S$2/1000</calculatedColumnFormula>
    </tableColumn>
    <tableColumn id="8" xr3:uid="{00000000-0010-0000-6C00-000008000000}" name="اجمالي" totalsRowFunction="sum" dataDxfId="1574" totalsRowDxfId="1590">
      <calculatedColumnFormula>BH76*BP76</calculatedColumnFormula>
    </tableColumn>
    <tableColumn id="9" xr3:uid="{00000000-0010-0000-6C00-000009000000}" name="%" totalsRowFunction="custom" totalsRowDxfId="1591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626" totalsRowDxfId="1468"/>
    <tableColumn id="2" xr3:uid="{00000000-0010-0000-6D00-000002000000}" name="عدد" totalsRowFunction="custom" totalsRowDxfId="1469">
      <totalsRowFormula>(Table80102113[[#Totals],[price]]*1.1)/(BA72*AY72/10000)</totalsRowFormula>
    </tableColumn>
    <tableColumn id="3" xr3:uid="{00000000-0010-0000-6D00-000003000000}" name="طول" dataDxfId="1626" totalsRowDxfId="1627"/>
    <tableColumn id="4" xr3:uid="{00000000-0010-0000-6D00-000004000000}" name="Column2" dataDxfId="1626" totalsRowDxfId="1627"/>
    <tableColumn id="5" xr3:uid="{00000000-0010-0000-6D00-000005000000}" name="wt/m" dataDxfId="1626" totalsRowDxfId="1627"/>
    <tableColumn id="6" xr3:uid="{00000000-0010-0000-6D00-000006000000}" name="price" totalsRowFunction="sum" dataDxfId="1626" totalsRowDxfId="1627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470" totalsRowDxfId="10"/>
    <tableColumn id="2" xr3:uid="{00000000-0010-0000-6E00-000002000000}" name="عدد" totalsRowFunction="custom" dataDxfId="1628" totalsRowDxfId="8">
      <totalsRowFormula>(Table80102114[[#Totals],[price]]*1.1)/(F1*D1/10000)</totalsRowFormula>
    </tableColumn>
    <tableColumn id="3" xr3:uid="{00000000-0010-0000-6E00-000003000000}" name="طول" dataDxfId="1470" totalsRowDxfId="0"/>
    <tableColumn id="4" xr3:uid="{00000000-0010-0000-6E00-000004000000}" name="Column2" dataDxfId="1629" totalsRowDxfId="1471"/>
    <tableColumn id="5" xr3:uid="{00000000-0010-0000-6E00-000005000000}" name="wt/m" dataDxfId="1629" totalsRowDxfId="1630"/>
    <tableColumn id="6" xr3:uid="{00000000-0010-0000-6E00-000006000000}" name="price" totalsRowFunction="sum" dataDxfId="1629" totalsRowDxfId="1471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2" dataDxfId="1629" totalsRowDxfId="12">
  <autoFilter ref="A75:F96" xr:uid="{00000000-0009-0000-0100-000072000000}"/>
  <tableColumns count="6">
    <tableColumn id="1" xr3:uid="{00000000-0010-0000-6F00-000001000000}" name="Column1" totalsRowLabel="Total" dataDxfId="1629" totalsRowDxfId="1474"/>
    <tableColumn id="2" xr3:uid="{00000000-0010-0000-6F00-000002000000}" name="عدد" totalsRowFunction="custom" dataDxfId="1629" totalsRowDxfId="1475">
      <totalsRowFormula>(Table80102114115[[#Totals],[price]]*1.1)/(F74*D74/10000)</totalsRowFormula>
    </tableColumn>
    <tableColumn id="3" xr3:uid="{00000000-0010-0000-6F00-000003000000}" name="طول" dataDxfId="1629" totalsRowDxfId="1631"/>
    <tableColumn id="4" xr3:uid="{00000000-0010-0000-6F00-000004000000}" name="Column2" dataDxfId="1629" totalsRowDxfId="1631"/>
    <tableColumn id="5" xr3:uid="{00000000-0010-0000-6F00-000005000000}" name="wt/m" dataDxfId="1629" totalsRowDxfId="1631"/>
    <tableColumn id="6" xr3:uid="{00000000-0010-0000-6F00-000006000000}" name="price" totalsRowFunction="sum" dataDxfId="1629" totalsRowDxfId="163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432"/>
    <tableColumn id="3" xr3:uid="{00000000-0010-0000-0900-000003000000}" name="الوحدة" dataDxfId="1577"/>
    <tableColumn id="4" xr3:uid="{00000000-0010-0000-0900-000004000000}" name="Column4" dataDxfId="112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64"/>
    <tableColumn id="2" xr3:uid="{00000000-0010-0000-0A00-000002000000}" name="عدد" dataDxfId="1274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433"/>
    <tableColumn id="10" xr3:uid="{00000000-0010-0000-0A00-00000A000000}" name="Column1" dataDxfId="79"/>
    <tableColumn id="12" xr3:uid="{00000000-0010-0000-0A00-00000C000000}" name="Column12" totalsRowFunction="sum" dataDxfId="1095"/>
    <tableColumn id="4" xr3:uid="{00000000-0010-0000-0A00-000004000000}" name="الوحده" dataDxfId="1094"/>
    <tableColumn id="5" xr3:uid="{00000000-0010-0000-0A00-000005000000}" name="الوزن" dataDxfId="1093"/>
    <tableColumn id="6" xr3:uid="{00000000-0010-0000-0A00-000006000000}" name="سعر الكيلو" dataDxfId="1434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74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564" totalsRowDxfId="1570"/>
    <tableColumn id="2" xr3:uid="{00000000-0010-0000-0B00-000002000000}" name="عدد" dataDxfId="1564" totalsRowDxfId="1570">
      <calculatedColumnFormula>IF((F78="الاسكندرية"),0.25,0.1)</calculatedColumnFormula>
    </tableColumn>
    <tableColumn id="3" xr3:uid="{00000000-0010-0000-0B00-000003000000}" name="بيان برجولا رويال" totalsRowLabel="Total" dataDxfId="1564" totalsRowDxfId="1570"/>
    <tableColumn id="12" xr3:uid="{00000000-0010-0000-0B00-00000C000000}" name="Column12" totalsRowFunction="sum" dataDxfId="1429" totalsRowDxfId="1578"/>
    <tableColumn id="5" xr3:uid="{00000000-0010-0000-0B00-000005000000}" name="Column1" dataDxfId="1564" totalsRowDxfId="1570"/>
    <tableColumn id="11" xr3:uid="{00000000-0010-0000-0B00-00000B000000}" name="العرض" dataDxfId="1579" totalsRowDxfId="1570"/>
    <tableColumn id="10" xr3:uid="{00000000-0010-0000-0B00-00000A000000}" name="الامتداد" dataDxfId="1568" totalsRowDxfId="1570"/>
    <tableColumn id="4" xr3:uid="{00000000-0010-0000-0B00-000004000000}" name="سعر المتر" dataDxfId="1580" totalsRowDxfId="1570"/>
    <tableColumn id="6" xr3:uid="{00000000-0010-0000-0B00-000006000000}" name="Column2" dataDxfId="100" totalsRowDxfId="1570"/>
    <tableColumn id="7" xr3:uid="{00000000-0010-0000-0B00-000007000000}" name="سعر البرجولا كاملة" dataDxfId="1572" totalsRowDxfId="1435">
      <calculatedColumnFormula>(K57)</calculatedColumnFormula>
    </tableColumn>
    <tableColumn id="8" xr3:uid="{00000000-0010-0000-0B00-000008000000}" name="اجمالي" totalsRowFunction="sum" dataDxfId="1574" totalsRowDxfId="1436">
      <calculatedColumnFormula>B58*Table1611[[#This Row],[سعر البرجولا كاملة]]</calculatedColumnFormula>
    </tableColumn>
    <tableColumn id="9" xr3:uid="{00000000-0010-0000-0B00-000009000000}" name="%" totalsRowFunction="custom" totalsRowDxfId="1437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564" totalsRowDxfId="1570"/>
    <tableColumn id="2" xr3:uid="{00000000-0010-0000-0C00-000002000000}" name="عدد" dataDxfId="63" totalsRowDxfId="1570">
      <calculatedColumnFormula>B61</calculatedColumnFormula>
    </tableColumn>
    <tableColumn id="3" xr3:uid="{00000000-0010-0000-0C00-000003000000}" name="بيان" totalsRowLabel="Total" dataDxfId="102" totalsRowDxfId="1570"/>
    <tableColumn id="5" xr3:uid="{00000000-0010-0000-0C00-000005000000}" name="اليومية / الاجرة" dataDxfId="1438" totalsRowDxfId="1570"/>
    <tableColumn id="6" xr3:uid="{00000000-0010-0000-0C00-000006000000}" name="بدل الوجبة" dataDxfId="1439" totalsRowDxfId="1570"/>
    <tableColumn id="11" xr3:uid="{00000000-0010-0000-0C00-00000B000000}" name="موقع العمل" dataDxfId="1433" totalsRowDxfId="1570">
      <calculatedColumnFormula>تسعير!$T$4</calculatedColumnFormula>
    </tableColumn>
    <tableColumn id="10" xr3:uid="{00000000-0010-0000-0C00-00000A000000}" name="شيفت العمل" dataDxfId="1564" totalsRowDxfId="1570"/>
    <tableColumn id="12" xr3:uid="{00000000-0010-0000-0C00-00000C000000}" name="Column12" totalsRowFunction="sum" dataDxfId="1581" totalsRowDxfId="1430">
      <calculatedColumnFormula>SUMIF(Table17[Column1],Table1612[[#This Row],[موقع العمل]],$T$2:$T$20)</calculatedColumnFormula>
    </tableColumn>
    <tableColumn id="4" xr3:uid="{00000000-0010-0000-0C00-000004000000}" name="عدد الايام" dataDxfId="92" totalsRowDxfId="1570"/>
    <tableColumn id="7" xr3:uid="{00000000-0010-0000-0C00-000007000000}" name="اجمالي التكلفة للعامل" dataDxfId="90" totalsRowDxfId="1582">
      <calculatedColumnFormula>Table1612[[#This Row],[Column12]]</calculatedColumnFormula>
    </tableColumn>
    <tableColumn id="8" xr3:uid="{00000000-0010-0000-0C00-000008000000}" name="اجمالي" totalsRowFunction="sum" dataDxfId="1574" totalsRowDxfId="1583">
      <calculatedColumnFormula>B67*J67</calculatedColumnFormula>
    </tableColumn>
    <tableColumn id="9" xr3:uid="{00000000-0010-0000-0C00-000009000000}" name="%" totalsRowFunction="custom" totalsRowDxfId="1584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91"/>
    <tableColumn id="2" xr3:uid="{00000000-0010-0000-0D00-000002000000}" name="خارجي" dataDxfId="748"/>
    <tableColumn id="3" xr3:uid="{00000000-0010-0000-0D00-000003000000}" name="داخلي" dataDxfId="1440"/>
    <tableColumn id="4" xr3:uid="{00000000-0010-0000-0D00-000004000000}" name="بدل الوجبة" dataDxfId="1585"/>
    <tableColumn id="5" xr3:uid="{00000000-0010-0000-0D00-000005000000}" name="دبابة" dataDxfId="1440"/>
    <tableColumn id="6" xr3:uid="{00000000-0010-0000-0D00-000006000000}" name="جامبو" dataDxfId="1586"/>
    <tableColumn id="7" xr3:uid="{00000000-0010-0000-0D00-000007000000}" name="الاقامة" dataDxfId="1586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587"/>
    <tableColumn id="4" xr3:uid="{00000000-0010-0000-0E00-000004000000}" name="Column22" dataDxfId="1587"/>
    <tableColumn id="5" xr3:uid="{00000000-0010-0000-0E00-000005000000}" name="Column23" dataDxfId="1587"/>
    <tableColumn id="3" xr3:uid="{00000000-0010-0000-0E00-000003000000}" name="Column3" dataDxfId="64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433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64" totalsRowDxfId="1565"/>
    <tableColumn id="2" xr3:uid="{00000000-0010-0000-0F00-000002000000}" name="عدد" dataDxfId="1564" totalsRowDxfId="156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64" totalsRowDxfId="1565"/>
    <tableColumn id="11" xr3:uid="{00000000-0010-0000-0F00-00000B000000}" name="Column2" dataDxfId="1564" totalsRowDxfId="1565"/>
    <tableColumn id="10" xr3:uid="{00000000-0010-0000-0F00-00000A000000}" name="Column1" dataDxfId="1564" totalsRowDxfId="1565"/>
    <tableColumn id="12" xr3:uid="{00000000-0010-0000-0F00-00000C000000}" name="المسطح" totalsRowFunction="sum" dataDxfId="1581" totalsRowDxfId="1588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64" totalsRowDxfId="1565"/>
    <tableColumn id="5" xr3:uid="{00000000-0010-0000-0F00-000005000000}" name="الوزن" totalsRowFunction="custom" dataDxfId="1564" totalsRowDxfId="1565">
      <totalsRowFormula>H9*B9+H8*B8+H7*B7</totalsRowFormula>
    </tableColumn>
    <tableColumn id="6" xr3:uid="{00000000-0010-0000-0F00-000006000000}" name="اجمالي الميزان" totalsRowFunction="sum" dataDxfId="1568" totalsRowDxfId="1565">
      <calculatedColumnFormula>Table118[[#This Row],[الوزن]]*Table118[[#This Row],[عدد]]</calculatedColumnFormula>
    </tableColumn>
    <tableColumn id="7" xr3:uid="{00000000-0010-0000-0F00-000007000000}" name="سعر الشبك " dataDxfId="1572" totalsRowDxfId="1424">
      <calculatedColumnFormula>H6*$H$2/1000</calculatedColumnFormula>
    </tableColumn>
    <tableColumn id="8" xr3:uid="{00000000-0010-0000-0F00-000008000000}" name="اجمالي" totalsRowFunction="sum" dataDxfId="1574" totalsRowDxfId="1426">
      <calculatedColumnFormula>B6*J6</calculatedColumnFormula>
    </tableColumn>
    <tableColumn id="9" xr3:uid="{00000000-0010-0000-0F00-000009000000}" name="%" totalsRowFunction="custom" totalsRowDxfId="1427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64" totalsRowDxfId="1565"/>
    <tableColumn id="2" xr3:uid="{00000000-0010-0000-1000-000002000000}" name="عدد" dataDxfId="1568" totalsRowDxfId="156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64" totalsRowDxfId="1565"/>
    <tableColumn id="11" xr3:uid="{00000000-0010-0000-1000-00000B000000}" name="Column2" dataDxfId="1564" totalsRowDxfId="1565"/>
    <tableColumn id="10" xr3:uid="{00000000-0010-0000-1000-00000A000000}" name="Column1" dataDxfId="1564" totalsRowDxfId="1565"/>
    <tableColumn id="12" xr3:uid="{00000000-0010-0000-1000-00000C000000}" name="Column12" dataDxfId="1564" totalsRowDxfId="1565"/>
    <tableColumn id="4" xr3:uid="{00000000-0010-0000-1000-000004000000}" name="الوحده" totalsRowLabel="total" dataDxfId="1564" totalsRowDxfId="1565"/>
    <tableColumn id="5" xr3:uid="{00000000-0010-0000-1000-000005000000}" name="الوزن" dataDxfId="1568" totalsRowDxfId="156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64" totalsRowDxfId="1565">
      <calculatedColumnFormula>Sheet2!B7</calculatedColumnFormula>
    </tableColumn>
    <tableColumn id="7" xr3:uid="{00000000-0010-0000-1000-000007000000}" name="سعر الشبك " dataDxfId="1572" totalsRowDxfId="1589"/>
    <tableColumn id="8" xr3:uid="{00000000-0010-0000-1000-000008000000}" name="اجمالي" totalsRowFunction="sum" dataDxfId="1574" totalsRowDxfId="1590">
      <calculatedColumnFormula>B36*Table1319[[#This Row],[سعر الكيلو]]</calculatedColumnFormula>
    </tableColumn>
    <tableColumn id="9" xr3:uid="{00000000-0010-0000-1000-000009000000}" name="%" totalsRowFunction="custom" totalsRowDxfId="1591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64" totalsRowDxfId="1565"/>
    <tableColumn id="2" xr3:uid="{00000000-0010-0000-1100-000002000000}" name="عدد" dataDxfId="1564" totalsRowDxfId="156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64" totalsRowDxfId="1565"/>
    <tableColumn id="11" xr3:uid="{00000000-0010-0000-1100-00000B000000}" name="Column2" dataDxfId="1564" totalsRowDxfId="1565"/>
    <tableColumn id="10" xr3:uid="{00000000-0010-0000-1100-00000A000000}" name="Column1" dataDxfId="1564" totalsRowDxfId="1565"/>
    <tableColumn id="12" xr3:uid="{00000000-0010-0000-1100-00000C000000}" name="Column12" totalsRowFunction="sum" dataDxfId="1568" totalsRowDxfId="156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64" totalsRowDxfId="1565"/>
    <tableColumn id="5" xr3:uid="{00000000-0010-0000-1100-000005000000}" name="الوزن" totalsRowFunction="custom" dataDxfId="1564" totalsRowDxfId="1565">
      <totalsRowFormula>H13*B13+H14*B14</totalsRowFormula>
    </tableColumn>
    <tableColumn id="6" xr3:uid="{00000000-0010-0000-1100-000006000000}" name="سعر الكيلو" totalsRowFunction="sum" dataDxfId="1568" totalsRowDxfId="1565">
      <calculatedColumnFormula>Table1421[[#This Row],[الوزن]]*Table1421[[#This Row],[عدد]]</calculatedColumnFormula>
    </tableColumn>
    <tableColumn id="7" xr3:uid="{00000000-0010-0000-1100-000007000000}" name="سعر الشبك " dataDxfId="1572" totalsRowDxfId="1141">
      <calculatedColumnFormula>H13*$I$2/1000</calculatedColumnFormula>
    </tableColumn>
    <tableColumn id="8" xr3:uid="{00000000-0010-0000-1100-000008000000}" name="اجمالي" totalsRowFunction="sum" dataDxfId="1574" totalsRowDxfId="1590">
      <calculatedColumnFormula>B13*J13</calculatedColumnFormula>
    </tableColumn>
    <tableColumn id="9" xr3:uid="{00000000-0010-0000-1100-000009000000}" name="%" totalsRowFunction="custom" totalsRowDxfId="1591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64" totalsRowDxfId="1570"/>
    <tableColumn id="2" xr3:uid="{00000000-0010-0000-1200-000002000000}" name="عدد" dataDxfId="1568" totalsRowDxfId="1570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64" totalsRowDxfId="1570"/>
    <tableColumn id="11" xr3:uid="{00000000-0010-0000-1200-00000B000000}" name="Column2" dataDxfId="1564" totalsRowDxfId="1570"/>
    <tableColumn id="10" xr3:uid="{00000000-0010-0000-1200-00000A000000}" name="Column1" dataDxfId="1564" totalsRowDxfId="1570"/>
    <tableColumn id="12" xr3:uid="{00000000-0010-0000-1200-00000C000000}" name="Column12" dataDxfId="1581" totalsRowDxfId="1592"/>
    <tableColumn id="4" xr3:uid="{00000000-0010-0000-1200-000004000000}" name="الوحده" dataDxfId="1564" totalsRowDxfId="1570"/>
    <tableColumn id="5" xr3:uid="{00000000-0010-0000-1200-000005000000}" name="الوزن" dataDxfId="1564" totalsRowDxfId="1570"/>
    <tableColumn id="6" xr3:uid="{00000000-0010-0000-1200-000006000000}" name="سعر الكيلو" dataDxfId="1564" totalsRowDxfId="1570"/>
    <tableColumn id="7" xr3:uid="{00000000-0010-0000-1200-000007000000}" name="سعر الشبك " dataDxfId="1572" totalsRowDxfId="1435">
      <calculatedColumnFormula>Sheet2!B22</calculatedColumnFormula>
    </tableColumn>
    <tableColumn id="8" xr3:uid="{00000000-0010-0000-1200-000008000000}" name="اجمالي" totalsRowFunction="sum" dataDxfId="1574" totalsRowDxfId="1436">
      <calculatedColumnFormula>B18*J18</calculatedColumnFormula>
    </tableColumn>
    <tableColumn id="9" xr3:uid="{00000000-0010-0000-1200-000009000000}" name="%" totalsRowFunction="custom" totalsRowDxfId="1437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64"/>
    <tableColumn id="2" xr3:uid="{00000000-0010-0000-1300-000002000000}" name="عدد" totalsRowFunction="count" dataDxfId="1568">
      <calculatedColumnFormula>B30*4</calculatedColumnFormula>
    </tableColumn>
    <tableColumn id="3" xr3:uid="{00000000-0010-0000-1300-000003000000}" name="بيان" totalsRowLabel="Total" dataDxfId="1564"/>
    <tableColumn id="11" xr3:uid="{00000000-0010-0000-1300-00000B000000}" name="Column2" dataDxfId="1564"/>
    <tableColumn id="10" xr3:uid="{00000000-0010-0000-1300-00000A000000}" name="Column1" dataDxfId="1564"/>
    <tableColumn id="12" xr3:uid="{00000000-0010-0000-1300-00000C000000}" name="Column12" totalsRowFunction="sum" dataDxfId="158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6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68">
      <calculatedColumnFormula>$H$2/1000</calculatedColumnFormula>
    </tableColumn>
    <tableColumn id="7" xr3:uid="{00000000-0010-0000-1300-000007000000}" name="سعر الشبك " dataDxfId="1572">
      <calculatedColumnFormula>H31*$H$2/1000</calculatedColumnFormula>
    </tableColumn>
    <tableColumn id="8" xr3:uid="{00000000-0010-0000-1300-000008000000}" name="اجمالي" totalsRowFunction="sum" dataDxfId="1574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32"/>
    <tableColumn id="2" xr3:uid="{00000000-0010-0000-1400-000002000000}" name="المعدل" dataDxfId="1593"/>
    <tableColumn id="3" xr3:uid="{00000000-0010-0000-1400-000003000000}" name="الوحدة" dataDxfId="1593"/>
    <tableColumn id="4" xr3:uid="{00000000-0010-0000-1400-000004000000}" name="Column4" dataDxfId="1432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64"/>
    <tableColumn id="2" xr3:uid="{00000000-0010-0000-1500-000002000000}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87"/>
    <tableColumn id="11" xr3:uid="{00000000-0010-0000-1500-00000B000000}" name="Column2" dataDxfId="1587"/>
    <tableColumn id="10" xr3:uid="{00000000-0010-0000-1500-00000A000000}" name="Column1" dataDxfId="1434"/>
    <tableColumn id="12" xr3:uid="{00000000-0010-0000-1500-00000C000000}" name="Column12" totalsRowFunction="sum" dataDxfId="1095"/>
    <tableColumn id="4" xr3:uid="{00000000-0010-0000-1500-000004000000}" name="الوحده" dataDxfId="1444"/>
    <tableColumn id="5" xr3:uid="{00000000-0010-0000-1500-000005000000}" name="الوزن" dataDxfId="1445"/>
    <tableColumn id="6" xr3:uid="{00000000-0010-0000-1500-000006000000}" name="سعر الكيلو" dataDxfId="1594"/>
    <tableColumn id="7" xr3:uid="{00000000-0010-0000-1500-000007000000}" name="سعر الشبك " dataDxfId="1446">
      <calculatedColumnFormula>Sheet2!B31</calculatedColumnFormula>
    </tableColumn>
    <tableColumn id="8" xr3:uid="{00000000-0010-0000-1500-000008000000}" name="اجمالي" totalsRowFunction="sum" dataDxfId="1574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564" totalsRowDxfId="1570"/>
    <tableColumn id="2" xr3:uid="{00000000-0010-0000-1600-000002000000}" name="عدد" dataDxfId="1564" totalsRowDxfId="1570">
      <calculatedColumnFormula>IF((F80="الاسكندرية"),0.25,0.1)</calculatedColumnFormula>
    </tableColumn>
    <tableColumn id="3" xr3:uid="{00000000-0010-0000-1600-000003000000}" name="بيان برجولا رويال" totalsRowLabel="Total" dataDxfId="1564" totalsRowDxfId="1570"/>
    <tableColumn id="12" xr3:uid="{00000000-0010-0000-1600-00000C000000}" name="Column12" totalsRowFunction="sum" dataDxfId="1581" totalsRowDxfId="1592"/>
    <tableColumn id="5" xr3:uid="{00000000-0010-0000-1600-000005000000}" name="Column1" dataDxfId="1564" totalsRowDxfId="1570"/>
    <tableColumn id="11" xr3:uid="{00000000-0010-0000-1600-00000B000000}" name="العرض" dataDxfId="1587" totalsRowDxfId="1570"/>
    <tableColumn id="10" xr3:uid="{00000000-0010-0000-1600-00000A000000}" name="الامتداد" dataDxfId="1568" totalsRowDxfId="1570"/>
    <tableColumn id="4" xr3:uid="{00000000-0010-0000-1600-000004000000}" name="سعر المتر" dataDxfId="1594" totalsRowDxfId="1570"/>
    <tableColumn id="6" xr3:uid="{00000000-0010-0000-1600-000006000000}" name="Column2" dataDxfId="1595" totalsRowDxfId="1570"/>
    <tableColumn id="7" xr3:uid="{00000000-0010-0000-1600-000007000000}" name="سعر البرجولا كاملة" dataDxfId="1572" totalsRowDxfId="1596">
      <calculatedColumnFormula>K58</calculatedColumnFormula>
    </tableColumn>
    <tableColumn id="8" xr3:uid="{00000000-0010-0000-1600-000008000000}" name="اجمالي" totalsRowFunction="sum" dataDxfId="1574" totalsRowDxfId="1597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598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564" totalsRowDxfId="1570"/>
    <tableColumn id="2" xr3:uid="{00000000-0010-0000-1700-000002000000}" name="عدد" dataDxfId="1579" totalsRowDxfId="1570">
      <calculatedColumnFormula>B66</calculatedColumnFormula>
    </tableColumn>
    <tableColumn id="3" xr3:uid="{00000000-0010-0000-1700-000003000000}" name="بيان" totalsRowLabel="Total" dataDxfId="1599" totalsRowDxfId="1570"/>
    <tableColumn id="5" xr3:uid="{00000000-0010-0000-1700-000005000000}" name="اليومية / الاجرة" dataDxfId="1438" totalsRowDxfId="1570"/>
    <tableColumn id="6" xr3:uid="{00000000-0010-0000-1700-000006000000}" name="بدل الوجبة" dataDxfId="1439" totalsRowDxfId="1570"/>
    <tableColumn id="11" xr3:uid="{00000000-0010-0000-1700-00000B000000}" name="موقع العمل" dataDxfId="1587" totalsRowDxfId="1570">
      <calculatedColumnFormula>تسعير!$T$24</calculatedColumnFormula>
    </tableColumn>
    <tableColumn id="10" xr3:uid="{00000000-0010-0000-1700-00000A000000}" name="شيفت العمل" dataDxfId="1564" totalsRowDxfId="1570"/>
    <tableColumn id="12" xr3:uid="{00000000-0010-0000-1700-00000C000000}" name="Column12" totalsRowFunction="sum" dataDxfId="1581" totalsRowDxfId="1592">
      <calculatedColumnFormula>SUMIF(Table1731[Column1],Table161229[[#This Row],[موقع العمل]],$T$2:$T$26)</calculatedColumnFormula>
    </tableColumn>
    <tableColumn id="4" xr3:uid="{00000000-0010-0000-1700-000004000000}" name="عدد الايام" dataDxfId="1447" totalsRowDxfId="1570"/>
    <tableColumn id="7" xr3:uid="{00000000-0010-0000-1700-000007000000}" name="اجمالي التكلفة للعامل" dataDxfId="1448" totalsRowDxfId="1596">
      <calculatedColumnFormula>Table161229[[#This Row],[Column12]]</calculatedColumnFormula>
    </tableColumn>
    <tableColumn id="8" xr3:uid="{00000000-0010-0000-1700-000008000000}" name="اجمالي" totalsRowFunction="sum" dataDxfId="1574" totalsRowDxfId="1597">
      <calculatedColumnFormula>B69*J69</calculatedColumnFormula>
    </tableColumn>
    <tableColumn id="9" xr3:uid="{00000000-0010-0000-1700-000009000000}" name="%" totalsRowFunction="custom" totalsRowDxfId="1598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587" totalsRowDxfId="1565"/>
    <tableColumn id="2" xr3:uid="{00000000-0010-0000-1800-000002000000}" name="عدد" dataDxfId="1433" totalsRowDxfId="156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87" totalsRowDxfId="1565"/>
    <tableColumn id="11" xr3:uid="{00000000-0010-0000-1800-00000B000000}" name="Column2" dataDxfId="1587" totalsRowDxfId="1565"/>
    <tableColumn id="10" xr3:uid="{00000000-0010-0000-1800-00000A000000}" name="Column1" dataDxfId="1587" totalsRowDxfId="1565"/>
    <tableColumn id="12" xr3:uid="{00000000-0010-0000-1800-00000C000000}" name="Column12" totalsRowFunction="sum" dataDxfId="80" totalsRowDxfId="1431"/>
    <tableColumn id="4" xr3:uid="{00000000-0010-0000-1800-000004000000}" name="الوحده" dataDxfId="1594" totalsRowDxfId="1565"/>
    <tableColumn id="5" xr3:uid="{00000000-0010-0000-1800-000005000000}" name="الوزن" dataDxfId="1587" totalsRowDxfId="1565"/>
    <tableColumn id="6" xr3:uid="{00000000-0010-0000-1800-000006000000}" name="سعر الكيلو" dataDxfId="1587" totalsRowDxfId="1565"/>
    <tableColumn id="7" xr3:uid="{00000000-0010-0000-1800-000007000000}" name="سعر الشبك " dataDxfId="1600" totalsRowDxfId="1589"/>
    <tableColumn id="8" xr3:uid="{00000000-0010-0000-1800-000008000000}" name="اجمالي" totalsRowFunction="sum" dataDxfId="1574" totalsRowDxfId="1590">
      <calculatedColumnFormula>B65*Table161330[[#This Row],[سعر الشبك ]]</calculatedColumnFormula>
    </tableColumn>
    <tableColumn id="9" xr3:uid="{00000000-0010-0000-1800-000009000000}" name="%" totalsRowFunction="custom" totalsRowDxfId="1021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93"/>
    <tableColumn id="2" xr3:uid="{00000000-0010-0000-1900-000002000000}" name="خارجي" dataDxfId="1586"/>
    <tableColumn id="3" xr3:uid="{00000000-0010-0000-1900-000003000000}" name="داخلي" dataDxfId="1586"/>
    <tableColumn id="4" xr3:uid="{00000000-0010-0000-1900-000004000000}" name="بدل الوجبة" dataDxfId="1586"/>
    <tableColumn id="5" xr3:uid="{00000000-0010-0000-1900-000005000000}" name="دبابة" dataDxfId="1586"/>
    <tableColumn id="6" xr3:uid="{00000000-0010-0000-1900-000006000000}" name="جامبو" dataDxfId="1586"/>
    <tableColumn id="7" xr3:uid="{00000000-0010-0000-1900-000007000000}" name="الاقامة" dataDxfId="1586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587"/>
    <tableColumn id="4" xr3:uid="{00000000-0010-0000-1A00-000004000000}" name="Column22" dataDxfId="1587"/>
    <tableColumn id="5" xr3:uid="{00000000-0010-0000-1A00-000005000000}" name="Column23" dataDxfId="1587"/>
    <tableColumn id="3" xr3:uid="{00000000-0010-0000-1A00-000003000000}" name="Column3" dataDxfId="14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60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36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50" totalsRowDxfId="850"/>
    <tableColumn id="6" xr3:uid="{00000000-0010-0000-1B00-000006000000}" name="الطول بالمتر" dataDxfId="1602" totalsRowDxfId="1451"/>
    <tableColumn id="5" xr3:uid="{00000000-0010-0000-1B00-000005000000}" name="وزن المتر " dataDxfId="1450" totalsRowDxfId="1603"/>
    <tableColumn id="4" xr3:uid="{00000000-0010-0000-1B00-000004000000}" name="سعر الكيلو" dataDxfId="1604" totalsRowDxfId="1451"/>
    <tableColumn id="3" xr3:uid="{00000000-0010-0000-1B00-000003000000}" name="اجمالي عدد " totalsRowFunction="custom" totalsRowDxfId="1605">
      <totalsRowFormula>Table8[[#Totals],[اجمالي التكلفة]]/B1</totalsRowFormula>
    </tableColumn>
    <tableColumn id="2" xr3:uid="{00000000-0010-0000-1B00-000002000000}" name="اجمالي التكلفة" totalsRowFunction="sum" dataDxfId="859" totalsRowDxfId="858">
      <calculatedColumnFormula>B3*D3</calculatedColumnFormula>
    </tableColumn>
    <tableColumn id="9" xr3:uid="{00000000-0010-0000-1B00-000009000000}" name="Column1" dataDxfId="1604" totalsRowDxfId="1605"/>
    <tableColumn id="10" xr3:uid="{00000000-0010-0000-1B00-00000A000000}" name="Column2" dataDxfId="1604" totalsRowDxfId="1605"/>
    <tableColumn id="11" xr3:uid="{00000000-0010-0000-1B00-00000B000000}" name="Column3" dataDxfId="1604" totalsRowDxfId="1605"/>
    <tableColumn id="12" xr3:uid="{00000000-0010-0000-1B00-00000C000000}" name="Column4" dataDxfId="1604" totalsRowDxfId="1605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64" totalsRowDxfId="1565"/>
    <tableColumn id="2" xr3:uid="{00000000-0010-0000-1C00-000002000000}" name="عدد" dataDxfId="1568" totalsRowDxfId="1565"/>
    <tableColumn id="3" xr3:uid="{00000000-0010-0000-1C00-000003000000}" name="بيان" totalsRowLabel="Total" dataDxfId="1564" totalsRowDxfId="1565"/>
    <tableColumn id="11" xr3:uid="{00000000-0010-0000-1C00-00000B000000}" name="Column2" dataDxfId="1564" totalsRowDxfId="1565"/>
    <tableColumn id="10" xr3:uid="{00000000-0010-0000-1C00-00000A000000}" name="Column1" dataDxfId="1564" totalsRowDxfId="1565"/>
    <tableColumn id="12" xr3:uid="{00000000-0010-0000-1C00-00000C000000}" name="Column12" dataDxfId="1564" totalsRowDxfId="1565"/>
    <tableColumn id="4" xr3:uid="{00000000-0010-0000-1C00-000004000000}" name="الوحده" totalsRowLabel="total" dataDxfId="1564" totalsRowDxfId="1565"/>
    <tableColumn id="5" xr3:uid="{00000000-0010-0000-1C00-000005000000}" name="الوزن" dataDxfId="1564" totalsRowDxfId="1565"/>
    <tableColumn id="6" xr3:uid="{00000000-0010-0000-1C00-000006000000}" name="سعر الكيلو" dataDxfId="1564" totalsRowDxfId="1565"/>
    <tableColumn id="7" xr3:uid="{00000000-0010-0000-1C00-000007000000}" name="سعر الشبك " dataDxfId="1572" totalsRowDxfId="1589">
      <calculatedColumnFormula>Sheet2!B2</calculatedColumnFormula>
    </tableColumn>
    <tableColumn id="8" xr3:uid="{00000000-0010-0000-1C00-000008000000}" name="اجمالي" totalsRowFunction="sum" dataDxfId="1574" totalsRowDxfId="1590">
      <calculatedColumnFormula>M26*U26</calculatedColumnFormula>
    </tableColumn>
    <tableColumn id="9" xr3:uid="{00000000-0010-0000-1C00-000009000000}" name="%" totalsRowFunction="custom" totalsRowDxfId="1591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64" totalsRowDxfId="1565"/>
    <tableColumn id="2" xr3:uid="{00000000-0010-0000-1D00-000002000000}" name="عدد" dataDxfId="1568" totalsRowDxfId="1565"/>
    <tableColumn id="3" xr3:uid="{00000000-0010-0000-1D00-000003000000}" name="بيان" totalsRowLabel="Total" dataDxfId="1564" totalsRowDxfId="1565"/>
    <tableColumn id="11" xr3:uid="{00000000-0010-0000-1D00-00000B000000}" name="Column2" dataDxfId="1564" totalsRowDxfId="1565"/>
    <tableColumn id="10" xr3:uid="{00000000-0010-0000-1D00-00000A000000}" name="Column1" dataDxfId="1564" totalsRowDxfId="1565"/>
    <tableColumn id="12" xr3:uid="{00000000-0010-0000-1D00-00000C000000}" name="Column12" dataDxfId="1581" totalsRowDxfId="1606"/>
    <tableColumn id="4" xr3:uid="{00000000-0010-0000-1D00-000004000000}" name="الوحده" dataDxfId="1564" totalsRowDxfId="1565"/>
    <tableColumn id="5" xr3:uid="{00000000-0010-0000-1D00-000005000000}" name="الوزن" dataDxfId="1564" totalsRowDxfId="1565"/>
    <tableColumn id="6" xr3:uid="{00000000-0010-0000-1D00-000006000000}" name="سعر الكيلو" dataDxfId="1564" totalsRowDxfId="1565"/>
    <tableColumn id="7" xr3:uid="{00000000-0010-0000-1D00-000007000000}" name="سعر الشبك " dataDxfId="1572" totalsRowDxfId="1589">
      <calculatedColumnFormula>Sheet2!B24</calculatedColumnFormula>
    </tableColumn>
    <tableColumn id="8" xr3:uid="{00000000-0010-0000-1D00-000008000000}" name="اجمالي" totalsRowFunction="sum" dataDxfId="1574" totalsRowDxfId="1590">
      <calculatedColumnFormula>M11*U11</calculatedColumnFormula>
    </tableColumn>
    <tableColumn id="9" xr3:uid="{00000000-0010-0000-1D00-000009000000}" name="%" totalsRowFunction="custom" totalsRowDxfId="1591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64"/>
    <tableColumn id="2" xr3:uid="{00000000-0010-0000-1E00-000002000000}" name="عدد" totalsRowFunction="count" dataDxfId="1564">
      <calculatedColumnFormula>M20*4</calculatedColumnFormula>
    </tableColumn>
    <tableColumn id="3" xr3:uid="{00000000-0010-0000-1E00-000003000000}" name="بيان" totalsRowLabel="Total" dataDxfId="1564"/>
    <tableColumn id="11" xr3:uid="{00000000-0010-0000-1E00-00000B000000}" name="Column2" dataDxfId="1564"/>
    <tableColumn id="10" xr3:uid="{00000000-0010-0000-1E00-00000A000000}" name="Column1" dataDxfId="1564"/>
    <tableColumn id="12" xr3:uid="{00000000-0010-0000-1E00-00000C000000}" name="Column12" totalsRowFunction="sum" dataDxfId="158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6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68"/>
    <tableColumn id="7" xr3:uid="{00000000-0010-0000-1E00-000007000000}" name="سعر الشبك " dataDxfId="1572">
      <calculatedColumnFormula>S21*$S$2/1000</calculatedColumnFormula>
    </tableColumn>
    <tableColumn id="8" xr3:uid="{00000000-0010-0000-1E00-000008000000}" name="اجمالي" totalsRowFunction="sum" dataDxfId="1574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93"/>
    <tableColumn id="2" xr3:uid="{00000000-0010-0000-1F00-000002000000}" name="المعدل" dataDxfId="1593"/>
    <tableColumn id="3" xr3:uid="{00000000-0010-0000-1F00-000003000000}" name="الوحدة" dataDxfId="1593"/>
    <tableColumn id="4" xr3:uid="{00000000-0010-0000-1F00-000004000000}" name="Column4" dataDxfId="1577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93"/>
    <tableColumn id="2" xr3:uid="{00000000-0010-0000-2000-000002000000}" name="Column2" dataDxfId="1432"/>
    <tableColumn id="3" xr3:uid="{00000000-0010-0000-2000-000003000000}" name="Column3" dataDxfId="1593"/>
    <tableColumn id="4" xr3:uid="{00000000-0010-0000-2000-000004000000}" name="Column4" dataDxfId="1593"/>
    <tableColumn id="5" xr3:uid="{00000000-0010-0000-2000-000005000000}" name="Column5" dataDxfId="1593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64" totalsRowDxfId="1570"/>
    <tableColumn id="2" xr3:uid="{00000000-0010-0000-2100-000002000000}" name="عدد" dataDxfId="1601" totalsRowDxfId="1570">
      <calculatedColumnFormula>IF((تسعير!$AU$14="بالتات"),0,M52-2)</calculatedColumnFormula>
    </tableColumn>
    <tableColumn id="3" xr3:uid="{00000000-0010-0000-2100-000003000000}" name="بيان" totalsRowLabel="Total" dataDxfId="1607" totalsRowDxfId="1570"/>
    <tableColumn id="5" xr3:uid="{00000000-0010-0000-2100-000005000000}" name="اليومية / الاجرة" dataDxfId="1607" totalsRowDxfId="1570"/>
    <tableColumn id="6" xr3:uid="{00000000-0010-0000-2100-000006000000}" name="بدل الوجبة" dataDxfId="1608" totalsRowDxfId="1570"/>
    <tableColumn id="11" xr3:uid="{00000000-0010-0000-2100-00000B000000}" name="موقع العمل" dataDxfId="1587" totalsRowDxfId="1570">
      <calculatedColumnFormula>تسعير!$AT$4</calculatedColumnFormula>
    </tableColumn>
    <tableColumn id="10" xr3:uid="{00000000-0010-0000-2100-00000A000000}" name="شيفت العمل" dataDxfId="1564" totalsRowDxfId="1570"/>
    <tableColumn id="12" xr3:uid="{00000000-0010-0000-2100-00000C000000}" name="Column12" totalsRowFunction="sum" dataDxfId="1581" totalsRowDxfId="1592">
      <calculatedColumnFormula>SUMIF(Table1769[Column1],Table161267[[#This Row],[موقع العمل]],$AE$2:$AE$8)</calculatedColumnFormula>
    </tableColumn>
    <tableColumn id="4" xr3:uid="{00000000-0010-0000-2100-000004000000}" name="عدد الايام" dataDxfId="1609" totalsRowDxfId="1570"/>
    <tableColumn id="7" xr3:uid="{00000000-0010-0000-2100-000007000000}" name="اجمالي التكلفة للعامل" dataDxfId="1610" totalsRowDxfId="1596">
      <calculatedColumnFormula>Table161267[[#This Row],[Column12]]</calculatedColumnFormula>
    </tableColumn>
    <tableColumn id="8" xr3:uid="{00000000-0010-0000-2100-000008000000}" name="اجمالي" totalsRowFunction="sum" dataDxfId="1574" totalsRowDxfId="1597">
      <calculatedColumnFormula>M55*U55</calculatedColumnFormula>
    </tableColumn>
    <tableColumn id="9" xr3:uid="{00000000-0010-0000-2100-000009000000}" name="%" totalsRowFunction="custom" totalsRowDxfId="1598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87"/>
    <tableColumn id="2" xr3:uid="{00000000-0010-0000-2200-000002000000}" name="عدد" dataDxfId="1601">
      <calculatedColumnFormula>IF((Q65="الاسكندرية"),0.25,0.1)</calculatedColumnFormula>
    </tableColumn>
    <tableColumn id="3" xr3:uid="{00000000-0010-0000-2200-000003000000}" name="بيان" totalsRowLabel="Total" dataDxfId="1587"/>
    <tableColumn id="11" xr3:uid="{00000000-0010-0000-2200-00000B000000}" name="Column2" dataDxfId="1587"/>
    <tableColumn id="10" xr3:uid="{00000000-0010-0000-2200-00000A000000}" name="Column1" dataDxfId="1587"/>
    <tableColumn id="12" xr3:uid="{00000000-0010-0000-2200-00000C000000}" name="Column12" totalsRowFunction="sum" dataDxfId="1452"/>
    <tableColumn id="4" xr3:uid="{00000000-0010-0000-2200-000004000000}" name="الوحده" dataDxfId="1594"/>
    <tableColumn id="5" xr3:uid="{00000000-0010-0000-2200-000005000000}" name="الوزن" dataDxfId="1587"/>
    <tableColumn id="6" xr3:uid="{00000000-0010-0000-2200-000006000000}" name="سعر الكيلو" dataDxfId="1587"/>
    <tableColumn id="7" xr3:uid="{00000000-0010-0000-2200-000007000000}" name="سعر الشبك " dataDxfId="1446">
      <calculatedColumnFormula>V48</calculatedColumnFormula>
    </tableColumn>
    <tableColumn id="8" xr3:uid="{00000000-0010-0000-2200-000008000000}" name="اجمالي" totalsRowFunction="sum" dataDxfId="1574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93"/>
    <tableColumn id="2" xr3:uid="{00000000-0010-0000-2300-000002000000}" name="خارجي" dataDxfId="1593"/>
    <tableColumn id="3" xr3:uid="{00000000-0010-0000-2300-000003000000}" name="داخلي" dataDxfId="1593"/>
    <tableColumn id="4" xr3:uid="{00000000-0010-0000-2300-000004000000}" name="بدل الوجبة" dataDxfId="1593"/>
    <tableColumn id="5" xr3:uid="{00000000-0010-0000-2300-000005000000}" name="دبابة" dataDxfId="1593"/>
    <tableColumn id="6" xr3:uid="{00000000-0010-0000-2300-000006000000}" name="جامبو" dataDxfId="1593"/>
    <tableColumn id="7" xr3:uid="{00000000-0010-0000-2300-000007000000}" name="الاقامة" dataDxfId="1593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87"/>
    <tableColumn id="4" xr3:uid="{00000000-0010-0000-2400-000004000000}" name="Column22" dataDxfId="1587"/>
    <tableColumn id="5" xr3:uid="{00000000-0010-0000-2400-000005000000}" name="Column23" dataDxfId="1587"/>
    <tableColumn id="3" xr3:uid="{00000000-0010-0000-2400-000003000000}" name="Column3" dataDxfId="1611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60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64"/>
    <tableColumn id="2" xr3:uid="{00000000-0010-0000-2500-000002000000}" name="عدد" dataDxfId="1564">
      <calculatedColumnFormula>IF((N2="A1"),2,IF((N2="A2"),3,IF((N2="B1"),2.5,IF((N2="B2"),3,0))))</calculatedColumnFormula>
    </tableColumn>
    <tableColumn id="3" xr3:uid="{00000000-0010-0000-2500-000003000000}" name="بيان" totalsRowLabel="Total" dataDxfId="1564"/>
    <tableColumn id="11" xr3:uid="{00000000-0010-0000-2500-00000B000000}" name="Column2" dataDxfId="1564"/>
    <tableColumn id="10" xr3:uid="{00000000-0010-0000-2500-00000A000000}" name="Column1" dataDxfId="1564"/>
    <tableColumn id="12" xr3:uid="{00000000-0010-0000-2500-00000C000000}" name="المسطح" totalsRowFunction="sum" dataDxfId="158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6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68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74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604" totalsRowDxfId="1605"/>
    <tableColumn id="6" xr3:uid="{00000000-0010-0000-2600-000006000000}" name="الطول بالمتر" dataDxfId="1604" totalsRowDxfId="1605"/>
    <tableColumn id="5" xr3:uid="{00000000-0010-0000-2600-000005000000}" name="وزن المتر " dataDxfId="1604" totalsRowDxfId="1605"/>
    <tableColumn id="4" xr3:uid="{00000000-0010-0000-2600-000004000000}" name="سعر الكيلو" dataDxfId="1604" totalsRowDxfId="1605"/>
    <tableColumn id="3" xr3:uid="{00000000-0010-0000-2600-000003000000}" name="اجمالي عدد " totalsRowFunction="custom" totalsRowDxfId="1605">
      <totalsRowFormula>Table823[[#Totals],[اجمالي التكلفة]]/B1</totalsRowFormula>
    </tableColumn>
    <tableColumn id="2" xr3:uid="{00000000-0010-0000-2600-000002000000}" name="اجمالي التكلفة" totalsRowFunction="sum" dataDxfId="1453" totalsRowDxfId="1454"/>
    <tableColumn id="9" xr3:uid="{00000000-0010-0000-2600-000009000000}" name="Column1" dataDxfId="1604" totalsRowDxfId="1605"/>
    <tableColumn id="10" xr3:uid="{00000000-0010-0000-2600-00000A000000}" name="Column2" dataDxfId="1604" totalsRowDxfId="1605"/>
    <tableColumn id="11" xr3:uid="{00000000-0010-0000-2600-00000B000000}" name="Column3" dataDxfId="1604" totalsRowDxfId="1605"/>
    <tableColumn id="12" xr3:uid="{00000000-0010-0000-2600-00000C000000}" name="Column4" dataDxfId="1604" totalsRowDxfId="1605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64" totalsRowDxfId="1565"/>
    <tableColumn id="2" xr3:uid="{00000000-0010-0000-2700-000002000000}" name="عدد" dataDxfId="1568" totalsRowDxfId="1565"/>
    <tableColumn id="3" xr3:uid="{00000000-0010-0000-2700-000003000000}" name="بيان" totalsRowLabel="Total" dataDxfId="1564" totalsRowDxfId="1565"/>
    <tableColumn id="11" xr3:uid="{00000000-0010-0000-2700-00000B000000}" name="Column2" dataDxfId="1564" totalsRowDxfId="1565"/>
    <tableColumn id="10" xr3:uid="{00000000-0010-0000-2700-00000A000000}" name="Column1" dataDxfId="1564" totalsRowDxfId="1565"/>
    <tableColumn id="12" xr3:uid="{00000000-0010-0000-2700-00000C000000}" name="Column12" dataDxfId="1564" totalsRowDxfId="1565"/>
    <tableColumn id="4" xr3:uid="{00000000-0010-0000-2700-000004000000}" name="الوحده" totalsRowLabel="total" dataDxfId="1564" totalsRowDxfId="1565"/>
    <tableColumn id="5" xr3:uid="{00000000-0010-0000-2700-000005000000}" name="الوزن" dataDxfId="1564" totalsRowDxfId="1565"/>
    <tableColumn id="6" xr3:uid="{00000000-0010-0000-2700-000006000000}" name="سعر الكيلو" dataDxfId="1564" totalsRowDxfId="1565"/>
    <tableColumn id="7" xr3:uid="{00000000-0010-0000-2700-000007000000}" name="سعر الشبك " dataDxfId="1572" totalsRowDxfId="1589">
      <calculatedColumnFormula>Sheet2!B2</calculatedColumnFormula>
    </tableColumn>
    <tableColumn id="8" xr3:uid="{00000000-0010-0000-2700-000008000000}" name="اجمالي" totalsRowFunction="sum" dataDxfId="1574" totalsRowDxfId="1590">
      <calculatedColumnFormula>M26*U26</calculatedColumnFormula>
    </tableColumn>
    <tableColumn id="9" xr3:uid="{00000000-0010-0000-2700-000009000000}" name="%" totalsRowFunction="custom" totalsRowDxfId="1591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64" totalsRowDxfId="1565"/>
    <tableColumn id="2" xr3:uid="{00000000-0010-0000-2800-000002000000}" name="عدد" dataDxfId="1568" totalsRowDxfId="1565"/>
    <tableColumn id="3" xr3:uid="{00000000-0010-0000-2800-000003000000}" name="بيان" totalsRowLabel="Total" dataDxfId="1564" totalsRowDxfId="1565"/>
    <tableColumn id="11" xr3:uid="{00000000-0010-0000-2800-00000B000000}" name="Column2" dataDxfId="1564" totalsRowDxfId="1565"/>
    <tableColumn id="10" xr3:uid="{00000000-0010-0000-2800-00000A000000}" name="Column1" dataDxfId="1564" totalsRowDxfId="1565"/>
    <tableColumn id="12" xr3:uid="{00000000-0010-0000-2800-00000C000000}" name="Column12" dataDxfId="1581" totalsRowDxfId="1606"/>
    <tableColumn id="4" xr3:uid="{00000000-0010-0000-2800-000004000000}" name="الوحده" dataDxfId="1564" totalsRowDxfId="1565"/>
    <tableColumn id="5" xr3:uid="{00000000-0010-0000-2800-000005000000}" name="الوزن" dataDxfId="1564" totalsRowDxfId="1565"/>
    <tableColumn id="6" xr3:uid="{00000000-0010-0000-2800-000006000000}" name="سعر الكيلو" dataDxfId="1564" totalsRowDxfId="1565"/>
    <tableColumn id="7" xr3:uid="{00000000-0010-0000-2800-000007000000}" name="سعر الشبك " dataDxfId="1572" totalsRowDxfId="1589">
      <calculatedColumnFormula>Sheet2!B24</calculatedColumnFormula>
    </tableColumn>
    <tableColumn id="8" xr3:uid="{00000000-0010-0000-2800-000008000000}" name="اجمالي" totalsRowFunction="sum" dataDxfId="1574" totalsRowDxfId="1590">
      <calculatedColumnFormula>M11*U11</calculatedColumnFormula>
    </tableColumn>
    <tableColumn id="9" xr3:uid="{00000000-0010-0000-2800-000009000000}" name="%" totalsRowFunction="custom" totalsRowDxfId="1591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64"/>
    <tableColumn id="2" xr3:uid="{00000000-0010-0000-2900-000002000000}" name="عدد" totalsRowFunction="count" dataDxfId="1564">
      <calculatedColumnFormula>M20*4</calculatedColumnFormula>
    </tableColumn>
    <tableColumn id="3" xr3:uid="{00000000-0010-0000-2900-000003000000}" name="بيان" totalsRowLabel="Total" dataDxfId="1564"/>
    <tableColumn id="11" xr3:uid="{00000000-0010-0000-2900-00000B000000}" name="Column2" dataDxfId="1564"/>
    <tableColumn id="10" xr3:uid="{00000000-0010-0000-2900-00000A000000}" name="Column1" dataDxfId="1564"/>
    <tableColumn id="12" xr3:uid="{00000000-0010-0000-2900-00000C000000}" name="Column12" totalsRowFunction="sum" dataDxfId="158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6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68"/>
    <tableColumn id="7" xr3:uid="{00000000-0010-0000-2900-000007000000}" name="سعر الشبك " dataDxfId="1572">
      <calculatedColumnFormula>S21*$S$2/1000</calculatedColumnFormula>
    </tableColumn>
    <tableColumn id="8" xr3:uid="{00000000-0010-0000-2900-000008000000}" name="اجمالي" totalsRowFunction="sum" dataDxfId="1574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93"/>
    <tableColumn id="2" xr3:uid="{00000000-0010-0000-2A00-000002000000}" name="المعدل" dataDxfId="1593"/>
    <tableColumn id="3" xr3:uid="{00000000-0010-0000-2A00-000003000000}" name="الوحدة" dataDxfId="1593"/>
    <tableColumn id="4" xr3:uid="{00000000-0010-0000-2A00-000004000000}" name="Column4" dataDxfId="1612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64" totalsRowDxfId="1570"/>
    <tableColumn id="2" xr3:uid="{00000000-0010-0000-2B00-000002000000}" name="عدد" dataDxfId="1601" totalsRowDxfId="1570">
      <calculatedColumnFormula>IF((تسعير!$BF$14="بالتات"),0,M52-2)</calculatedColumnFormula>
    </tableColumn>
    <tableColumn id="3" xr3:uid="{00000000-0010-0000-2B00-000003000000}" name="بيان" totalsRowLabel="Total" dataDxfId="1607" totalsRowDxfId="1570"/>
    <tableColumn id="5" xr3:uid="{00000000-0010-0000-2B00-000005000000}" name="اليومية / الاجرة" dataDxfId="1607" totalsRowDxfId="1570"/>
    <tableColumn id="6" xr3:uid="{00000000-0010-0000-2B00-000006000000}" name="بدل الوجبة" dataDxfId="1608" totalsRowDxfId="1570"/>
    <tableColumn id="11" xr3:uid="{00000000-0010-0000-2B00-00000B000000}" name="موقع العمل" dataDxfId="1587" totalsRowDxfId="1570">
      <calculatedColumnFormula>تسعير!$BE$4</calculatedColumnFormula>
    </tableColumn>
    <tableColumn id="10" xr3:uid="{00000000-0010-0000-2B00-00000A000000}" name="شيفت العمل" dataDxfId="1564" totalsRowDxfId="1570"/>
    <tableColumn id="12" xr3:uid="{00000000-0010-0000-2B00-00000C000000}" name="Column12" totalsRowFunction="sum" dataDxfId="1581" totalsRowDxfId="1592"/>
    <tableColumn id="4" xr3:uid="{00000000-0010-0000-2B00-000004000000}" name="عدد الايام" dataDxfId="1447" totalsRowDxfId="1570"/>
    <tableColumn id="7" xr3:uid="{00000000-0010-0000-2B00-000007000000}" name="اجمالي التكلفة للعامل" dataDxfId="1448" totalsRowDxfId="1596">
      <calculatedColumnFormula>Table16126744[[#This Row],[Column12]]</calculatedColumnFormula>
    </tableColumn>
    <tableColumn id="8" xr3:uid="{00000000-0010-0000-2B00-000008000000}" name="اجمالي" totalsRowFunction="sum" dataDxfId="1574" totalsRowDxfId="1597">
      <calculatedColumnFormula>M55*U55</calculatedColumnFormula>
    </tableColumn>
    <tableColumn id="9" xr3:uid="{00000000-0010-0000-2B00-000009000000}" name="%" totalsRowFunction="custom" totalsRowDxfId="1598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87"/>
    <tableColumn id="2" xr3:uid="{00000000-0010-0000-2C00-000002000000}" name="عدد" dataDxfId="1601">
      <calculatedColumnFormula>IF((Q65="الاسكندرية"),0.25,0.1)</calculatedColumnFormula>
    </tableColumn>
    <tableColumn id="3" xr3:uid="{00000000-0010-0000-2C00-000003000000}" name="بيان" totalsRowLabel="Total" dataDxfId="1587"/>
    <tableColumn id="11" xr3:uid="{00000000-0010-0000-2C00-00000B000000}" name="Column2" dataDxfId="1587"/>
    <tableColumn id="10" xr3:uid="{00000000-0010-0000-2C00-00000A000000}" name="Column1" dataDxfId="1587"/>
    <tableColumn id="12" xr3:uid="{00000000-0010-0000-2C00-00000C000000}" name="Column12" totalsRowFunction="sum" dataDxfId="1613"/>
    <tableColumn id="4" xr3:uid="{00000000-0010-0000-2C00-000004000000}" name="الوحده" dataDxfId="1594"/>
    <tableColumn id="5" xr3:uid="{00000000-0010-0000-2C00-000005000000}" name="الوزن" dataDxfId="1587"/>
    <tableColumn id="6" xr3:uid="{00000000-0010-0000-2C00-000006000000}" name="سعر الكيلو" dataDxfId="1587"/>
    <tableColumn id="7" xr3:uid="{00000000-0010-0000-2C00-000007000000}" name="سعر الشبك " dataDxfId="1614">
      <calculatedColumnFormula>V48</calculatedColumnFormula>
    </tableColumn>
    <tableColumn id="8" xr3:uid="{00000000-0010-0000-2C00-000008000000}" name="اجمالي" totalsRowFunction="sum" dataDxfId="1574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586">
  <autoFilter ref="Y1:AE20" xr:uid="{00000000-0009-0000-0100-00002D000000}"/>
  <tableColumns count="7">
    <tableColumn id="1" xr3:uid="{00000000-0010-0000-2D00-000001000000}" name="Column1" dataDxfId="1586"/>
    <tableColumn id="2" xr3:uid="{00000000-0010-0000-2D00-000002000000}" name="خارجي" dataDxfId="1586"/>
    <tableColumn id="3" xr3:uid="{00000000-0010-0000-2D00-000003000000}" name="داخلي" dataDxfId="1586"/>
    <tableColumn id="4" xr3:uid="{00000000-0010-0000-2D00-000004000000}" name="بدل الوجبة" dataDxfId="1586"/>
    <tableColumn id="5" xr3:uid="{00000000-0010-0000-2D00-000005000000}" name="دبابة" dataDxfId="1586"/>
    <tableColumn id="6" xr3:uid="{00000000-0010-0000-2D00-000006000000}" name="جامبو" dataDxfId="1586"/>
    <tableColumn id="7" xr3:uid="{00000000-0010-0000-2D00-000007000000}" name="الاقامة" dataDxfId="1586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87"/>
    <tableColumn id="4" xr3:uid="{00000000-0010-0000-2E00-000004000000}" name="Column22" dataDxfId="1587"/>
    <tableColumn id="5" xr3:uid="{00000000-0010-0000-2E00-000005000000}" name="Column23" dataDxfId="1587"/>
    <tableColumn id="3" xr3:uid="{00000000-0010-0000-2E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60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99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64"/>
    <tableColumn id="2" xr3:uid="{00000000-0010-0000-2F00-000002000000}" name="عدد" dataDxfId="1564">
      <calculatedColumnFormula>IF((N2="c1"),3,IF((N2="c2"),4,IF((N2="d1"),4,IF((N2="d2"),5,0))))</calculatedColumnFormula>
    </tableColumn>
    <tableColumn id="3" xr3:uid="{00000000-0010-0000-2F00-000003000000}" name="بيان" totalsRowLabel="Total" dataDxfId="1564"/>
    <tableColumn id="11" xr3:uid="{00000000-0010-0000-2F00-00000B000000}" name="Column2" dataDxfId="1564"/>
    <tableColumn id="10" xr3:uid="{00000000-0010-0000-2F00-00000A000000}" name="Column1" dataDxfId="1564"/>
    <tableColumn id="12" xr3:uid="{00000000-0010-0000-2F00-00000C000000}" name="المسطح" totalsRowFunction="sum" dataDxfId="158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6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68"/>
    <tableColumn id="7" xr3:uid="{00000000-0010-0000-2F00-000007000000}" name="سعر الشبك " dataDxfId="1455">
      <calculatedColumnFormula>S6*$S$2/1000</calculatedColumnFormula>
    </tableColumn>
    <tableColumn id="8" xr3:uid="{00000000-0010-0000-2F00-000008000000}" name="اجمالي" totalsRowFunction="sum" dataDxfId="1574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32"/>
    <tableColumn id="2" xr3:uid="{00000000-0010-0000-3000-000002000000}" name="المقاس" dataDxfId="1604"/>
    <tableColumn id="4" xr3:uid="{00000000-0010-0000-3000-000004000000}" name="ميزان" dataDxfId="70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06"/>
    <tableColumn id="2" xr3:uid="{00000000-0010-0000-3100-000002000000}" name="Column2" dataDxfId="1604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604" totalsRowDxfId="726"/>
    <tableColumn id="2" xr3:uid="{00000000-0010-0000-3200-000002000000}" name="عدد/الشمسية" dataDxfId="702" totalsRowDxfId="722"/>
    <tableColumn id="3" xr3:uid="{00000000-0010-0000-3200-000003000000}" name="سعر الوحدة" dataDxfId="1604" totalsRowDxfId="1456"/>
    <tableColumn id="4" xr3:uid="{00000000-0010-0000-3200-000004000000}" name="قيمة" totalsRowFunction="sum" dataDxfId="1604" totalsRowDxfId="720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604"/>
    <tableColumn id="2" xr3:uid="{00000000-0010-0000-3300-000002000000}" name="امتار عادية" dataDxfId="1604"/>
    <tableColumn id="4" xr3:uid="{00000000-0010-0000-3300-000004000000}" name="امتار single" dataDxfId="1604"/>
    <tableColumn id="6" xr3:uid="{00000000-0010-0000-3300-000006000000}" name="امتار douple" dataDxfId="1604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604"/>
    <tableColumn id="2" xr3:uid="{00000000-0010-0000-3400-000002000000}" name="Column2" dataDxfId="1604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09"/>
    <tableColumn id="2" xr3:uid="{00000000-0010-0000-3600-000002000000}" name="الناتج" dataDxfId="710"/>
    <tableColumn id="3" xr3:uid="{00000000-0010-0000-3600-000003000000}" name="Column1" dataDxfId="1457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08"/>
    <tableColumn id="4" xr3:uid="{00000000-0010-0000-3700-000004000000}" name="ميزان" dataDxfId="1450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459"/>
    <tableColumn id="2" xr3:uid="{00000000-0010-0000-3800-000002000000}" name="Column2" dataDxfId="1604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89" totalsRowDxfId="1396"/>
    <tableColumn id="2" xr3:uid="{BFD71D91-82BE-4E36-ABA2-D621CC74A72F}" name="الصنف" dataDxfId="1417" totalsRowDxfId="1392"/>
    <tableColumn id="3" xr3:uid="{FA2200A0-4790-4626-B4EF-26AF375E7D08}" name="الوحده" dataDxfId="1561" totalsRowDxfId="1418"/>
    <tableColumn id="13" xr3:uid="{1B9DE2C2-E66F-49FF-BF0C-4005C087BC2A}" name="متطلبات انتاج الشمسيه 2.5" dataDxfId="1391" totalsRowDxfId="1388"/>
    <tableColumn id="4" xr3:uid="{A25EDD6F-7BF8-4633-A44E-9AA34FABA3E5}" name="متطلبات انتاج الشمسيه 3" dataDxfId="1417" totalsRowDxfId="1419"/>
    <tableColumn id="9" xr3:uid="{F8C4B6ED-C6D0-4793-8425-4DB2E6AEB8C7}" name="حهة التصنيع" dataDxfId="1387" totalsRowDxfId="1386"/>
    <tableColumn id="10" xr3:uid="{07E26081-B66A-4CF4-A6F3-959C28FB1681}" name="سعر" dataDxfId="1385" totalsRowDxfId="1384"/>
    <tableColumn id="11" xr3:uid="{533F2344-E7A1-4D72-BD1C-8B42EA41C0CA}" name="3" totalsRowFunction="sum" dataDxfId="1383" totalsRowDxfId="91">
      <calculatedColumnFormula>U4*S4</calculatedColumnFormula>
    </tableColumn>
    <tableColumn id="12" xr3:uid="{D07D845E-2930-453E-8278-6592A65F5FE9}" name="2.5" totalsRowFunction="sum" dataDxfId="1381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604" totalsRowDxfId="1606"/>
    <tableColumn id="2" xr3:uid="{00000000-0010-0000-3900-000002000000}" name="عدد/الشمسية" dataDxfId="1460" totalsRowDxfId="1606"/>
    <tableColumn id="3" xr3:uid="{00000000-0010-0000-3900-000003000000}" name="سعر الوحدة" dataDxfId="1604" totalsRowDxfId="1606"/>
    <tableColumn id="4" xr3:uid="{00000000-0010-0000-3900-000004000000}" name="قيمة" totalsRowFunction="sum" dataDxfId="1604" totalsRowDxfId="1606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604"/>
    <tableColumn id="2" xr3:uid="{00000000-0010-0000-3A00-000002000000}" name="امتار عادية" dataDxfId="1604"/>
    <tableColumn id="4" xr3:uid="{00000000-0010-0000-3A00-000004000000}" name="امتار single" dataDxfId="1604"/>
    <tableColumn id="6" xr3:uid="{00000000-0010-0000-3A00-000006000000}" name="امتار douple" dataDxfId="1604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604"/>
    <tableColumn id="2" xr3:uid="{00000000-0010-0000-3B00-000002000000}" name="Column2" dataDxfId="1604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86"/>
    <tableColumn id="2" xr3:uid="{00000000-0010-0000-3C00-000002000000}" name="Column2" dataDxfId="1461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615"/>
    <tableColumn id="2" xr3:uid="{00000000-0010-0000-3D00-000002000000}" name="الناتج" dataDxfId="687"/>
    <tableColumn id="3" xr3:uid="{00000000-0010-0000-3D00-000003000000}" name="Column1" dataDxfId="1461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46" totalsRowDxfId="645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636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616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601" totalsRowDxfId="1570">
      <calculatedColumnFormula>I28</calculatedColumnFormula>
    </tableColumn>
    <tableColumn id="3" xr3:uid="{00000000-0010-0000-3F00-000003000000}" name="بيان" totalsRowLabel="Total" dataDxfId="631" totalsRowDxfId="1570"/>
    <tableColumn id="5" xr3:uid="{00000000-0010-0000-3F00-000005000000}" name="اليومية / الاجرة" dataDxfId="1607" totalsRowDxfId="1570"/>
    <tableColumn id="6" xr3:uid="{00000000-0010-0000-3F00-000006000000}" name="بدل الوجبة" dataDxfId="1608" totalsRowDxfId="1570"/>
    <tableColumn id="11" xr3:uid="{00000000-0010-0000-3F00-00000B000000}" name="موقع العمل" dataDxfId="1587" totalsRowDxfId="1570">
      <calculatedColumnFormula>تسعير!$T$45</calculatedColumnFormula>
    </tableColumn>
    <tableColumn id="10" xr3:uid="{00000000-0010-0000-3F00-00000A000000}" name="شيفت العمل" dataDxfId="1564" totalsRowDxfId="1570"/>
    <tableColumn id="12" xr3:uid="{00000000-0010-0000-3F00-00000C000000}" name="Column12" totalsRowFunction="sum" dataDxfId="1581" totalsRowDxfId="1592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617" totalsRowDxfId="1570"/>
    <tableColumn id="7" xr3:uid="{00000000-0010-0000-3F00-000007000000}" name="اجمالي التكلفة للعامل" dataDxfId="1618" totalsRowDxfId="1596">
      <calculatedColumnFormula>Table161243[[#This Row],[Column12]]</calculatedColumnFormula>
    </tableColumn>
    <tableColumn id="8" xr3:uid="{00000000-0010-0000-3F00-000008000000}" name="اجمالي" totalsRowFunction="sum" dataDxfId="1574" totalsRowDxfId="1597">
      <calculatedColumnFormula>I31*Q31</calculatedColumnFormula>
    </tableColumn>
    <tableColumn id="9" xr3:uid="{00000000-0010-0000-3F00-000009000000}" name="%" totalsRowFunction="custom" totalsRowDxfId="1598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87"/>
    <tableColumn id="4" xr3:uid="{00000000-0010-0000-4000-000004000000}" name="Column22" dataDxfId="1587"/>
    <tableColumn id="5" xr3:uid="{00000000-0010-0000-4000-000005000000}" name="Column23" dataDxfId="1587"/>
    <tableColumn id="3" xr3:uid="{00000000-0010-0000-4000-000003000000}" name="Column3" dataDxfId="161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60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646" totalsRowDxfId="645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636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620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601" totalsRowDxfId="1570">
      <calculatedColumnFormula>I61</calculatedColumnFormula>
    </tableColumn>
    <tableColumn id="3" xr3:uid="{00000000-0010-0000-4200-000003000000}" name="بيان" totalsRowLabel="Total" dataDxfId="1465" totalsRowDxfId="1570"/>
    <tableColumn id="5" xr3:uid="{00000000-0010-0000-4200-000005000000}" name="اليومية / الاجرة" dataDxfId="1607" totalsRowDxfId="1570"/>
    <tableColumn id="6" xr3:uid="{00000000-0010-0000-4200-000006000000}" name="بدل الوجبة" dataDxfId="1608" totalsRowDxfId="1570"/>
    <tableColumn id="11" xr3:uid="{00000000-0010-0000-4200-00000B000000}" name="موقع العمل" dataDxfId="1587" totalsRowDxfId="1570">
      <calculatedColumnFormula>تسعير!$T$63</calculatedColumnFormula>
    </tableColumn>
    <tableColumn id="10" xr3:uid="{00000000-0010-0000-4200-00000A000000}" name="شيفت العمل" dataDxfId="1564" totalsRowDxfId="1570"/>
    <tableColumn id="12" xr3:uid="{00000000-0010-0000-4200-00000C000000}" name="Column12" totalsRowFunction="sum" dataDxfId="1581" totalsRowDxfId="1592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617" totalsRowDxfId="1570"/>
    <tableColumn id="7" xr3:uid="{00000000-0010-0000-4200-000007000000}" name="اجمالي التكلفة للعامل" dataDxfId="1618" totalsRowDxfId="1596">
      <calculatedColumnFormula>Table16124360[[#This Row],[Column12]]</calculatedColumnFormula>
    </tableColumn>
    <tableColumn id="8" xr3:uid="{00000000-0010-0000-4200-000008000000}" name="اجمالي" totalsRowFunction="sum" dataDxfId="1574" totalsRowDxfId="1597">
      <calculatedColumnFormula>I64*Q64</calculatedColumnFormula>
    </tableColumn>
    <tableColumn id="9" xr3:uid="{00000000-0010-0000-4200-000009000000}" name="%" totalsRowFunction="custom" totalsRowDxfId="1598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420" totalsRowDxfId="14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562" totalsRowDxfId="1563"/>
    <tableColumn id="11" xr3:uid="{00000000-0010-0000-0400-00000B000000}" name="Column2" dataDxfId="1420" totalsRowDxfId="1421"/>
    <tableColumn id="10" xr3:uid="{00000000-0010-0000-0400-00000A000000}" name="Column1" dataDxfId="1564" totalsRowDxfId="1565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64" totalsRowDxfId="1565"/>
    <tableColumn id="5" xr3:uid="{00000000-0010-0000-0400-000005000000}" name="الوزن" totalsRowFunction="custom" totalsRowDxfId="1565">
      <totalsRowFormula>(H6*B6)+(H8*B8)+(H7*B7)</totalsRowFormula>
    </tableColumn>
    <tableColumn id="6" xr3:uid="{00000000-0010-0000-0400-000006000000}" name="مسطح" dataDxfId="47" totalsRowDxfId="1565"/>
    <tableColumn id="7" xr3:uid="{00000000-0010-0000-0400-000007000000}" name="سعر الشبك " dataDxfId="119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87"/>
    <tableColumn id="4" xr3:uid="{00000000-0010-0000-4300-000004000000}" name="Column22" dataDxfId="1587"/>
    <tableColumn id="5" xr3:uid="{00000000-0010-0000-4300-000005000000}" name="Column23" dataDxfId="1587"/>
    <tableColumn id="3" xr3:uid="{00000000-0010-0000-4300-000003000000}" name="Column3" dataDxfId="161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60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64" totalsRowDxfId="1565"/>
    <tableColumn id="2" xr3:uid="{00000000-0010-0000-4400-000002000000}" name="عدد" dataDxfId="1568" totalsRowDxfId="1565"/>
    <tableColumn id="3" xr3:uid="{00000000-0010-0000-4400-000003000000}" name="بيان" totalsRowLabel="Total" dataDxfId="1564" totalsRowDxfId="1565"/>
    <tableColumn id="11" xr3:uid="{00000000-0010-0000-4400-00000B000000}" name="Column2" dataDxfId="1564" totalsRowDxfId="1565"/>
    <tableColumn id="10" xr3:uid="{00000000-0010-0000-4400-00000A000000}" name="Column1" dataDxfId="1564" totalsRowDxfId="1565"/>
    <tableColumn id="12" xr3:uid="{00000000-0010-0000-4400-00000C000000}" name="Column12" dataDxfId="1564" totalsRowDxfId="1565"/>
    <tableColumn id="4" xr3:uid="{00000000-0010-0000-4400-000004000000}" name="الوحده" totalsRowLabel="total" dataDxfId="1564" totalsRowDxfId="1565"/>
    <tableColumn id="5" xr3:uid="{00000000-0010-0000-4400-000005000000}" name="الوزن" dataDxfId="1564" totalsRowDxfId="1565"/>
    <tableColumn id="6" xr3:uid="{00000000-0010-0000-4400-000006000000}" name="سعر الكيلو" dataDxfId="1564" totalsRowDxfId="1565"/>
    <tableColumn id="7" xr3:uid="{00000000-0010-0000-4400-000007000000}" name="سعر الشبك " dataDxfId="1572" totalsRowDxfId="1589">
      <calculatedColumnFormula>Sheet2!B6</calculatedColumnFormula>
    </tableColumn>
    <tableColumn id="8" xr3:uid="{00000000-0010-0000-4400-000008000000}" name="اجمالي" totalsRowFunction="sum" dataDxfId="1574" totalsRowDxfId="1590">
      <calculatedColumnFormula>M28*U28</calculatedColumnFormula>
    </tableColumn>
    <tableColumn id="9" xr3:uid="{00000000-0010-0000-4400-000009000000}" name="%" totalsRowFunction="custom" totalsRowDxfId="1591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64" totalsRowDxfId="1565"/>
    <tableColumn id="2" xr3:uid="{00000000-0010-0000-4500-000002000000}" name="عدد" dataDxfId="1568" totalsRowDxfId="1565"/>
    <tableColumn id="3" xr3:uid="{00000000-0010-0000-4500-000003000000}" name="بيان" totalsRowLabel="Total" dataDxfId="1564" totalsRowDxfId="1565"/>
    <tableColumn id="11" xr3:uid="{00000000-0010-0000-4500-00000B000000}" name="Column2" dataDxfId="1564" totalsRowDxfId="1565"/>
    <tableColumn id="10" xr3:uid="{00000000-0010-0000-4500-00000A000000}" name="Column1" dataDxfId="1564" totalsRowDxfId="1565"/>
    <tableColumn id="12" xr3:uid="{00000000-0010-0000-4500-00000C000000}" name="Column12" dataDxfId="1581" totalsRowDxfId="1606"/>
    <tableColumn id="4" xr3:uid="{00000000-0010-0000-4500-000004000000}" name="الوحده" dataDxfId="1564" totalsRowDxfId="1565"/>
    <tableColumn id="5" xr3:uid="{00000000-0010-0000-4500-000005000000}" name="الوزن" dataDxfId="1564" totalsRowDxfId="1565"/>
    <tableColumn id="6" xr3:uid="{00000000-0010-0000-4500-000006000000}" name="سعر الكيلو" dataDxfId="1564" totalsRowDxfId="1565"/>
    <tableColumn id="7" xr3:uid="{00000000-0010-0000-4500-000007000000}" name="سعر الشبك " dataDxfId="1572" totalsRowDxfId="1589">
      <calculatedColumnFormula>Sheet2!B26</calculatedColumnFormula>
    </tableColumn>
    <tableColumn id="8" xr3:uid="{00000000-0010-0000-4500-000008000000}" name="اجمالي" totalsRowFunction="sum" dataDxfId="1574" totalsRowDxfId="1590">
      <calculatedColumnFormula>M14*U14</calculatedColumnFormula>
    </tableColumn>
    <tableColumn id="9" xr3:uid="{00000000-0010-0000-4500-000009000000}" name="%" totalsRowFunction="custom" totalsRowDxfId="1591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64"/>
    <tableColumn id="2" xr3:uid="{00000000-0010-0000-4600-000002000000}" name="عدد" totalsRowFunction="count" dataDxfId="1564">
      <calculatedColumnFormula>M20*4</calculatedColumnFormula>
    </tableColumn>
    <tableColumn id="3" xr3:uid="{00000000-0010-0000-4600-000003000000}" name="بيان" totalsRowLabel="Total" dataDxfId="1564"/>
    <tableColumn id="11" xr3:uid="{00000000-0010-0000-4600-00000B000000}" name="Column2" dataDxfId="1564"/>
    <tableColumn id="10" xr3:uid="{00000000-0010-0000-4600-00000A000000}" name="Column1" dataDxfId="1564"/>
    <tableColumn id="12" xr3:uid="{00000000-0010-0000-4600-00000C000000}" name="Column12" totalsRowFunction="sum" dataDxfId="158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6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68"/>
    <tableColumn id="7" xr3:uid="{00000000-0010-0000-4600-000007000000}" name="سعر الشبك " dataDxfId="1572">
      <calculatedColumnFormula>S22*$S$2/1000</calculatedColumnFormula>
    </tableColumn>
    <tableColumn id="8" xr3:uid="{00000000-0010-0000-4600-000008000000}" name="اجمالي" totalsRowFunction="sum" dataDxfId="1574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93"/>
    <tableColumn id="2" xr3:uid="{00000000-0010-0000-4700-000002000000}" name="المعدل" dataDxfId="1593"/>
    <tableColumn id="3" xr3:uid="{00000000-0010-0000-4700-000003000000}" name="الوحدة" dataDxfId="1593"/>
    <tableColumn id="4" xr3:uid="{00000000-0010-0000-4700-000004000000}" name="Column4" dataDxfId="1612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93"/>
    <tableColumn id="2" xr3:uid="{00000000-0010-0000-4800-000002000000}" name="Column2" dataDxfId="1612"/>
    <tableColumn id="3" xr3:uid="{00000000-0010-0000-4800-000003000000}" name="Column3" dataDxfId="1593"/>
    <tableColumn id="4" xr3:uid="{00000000-0010-0000-4800-000004000000}" name="Column4" dataDxfId="1593"/>
    <tableColumn id="5" xr3:uid="{00000000-0010-0000-4800-000005000000}" name="Column5" dataDxfId="1593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64" totalsRowDxfId="1570"/>
    <tableColumn id="2" xr3:uid="{00000000-0010-0000-4900-000002000000}" name="عدد" dataDxfId="1601" totalsRowDxfId="1570">
      <calculatedColumnFormula>IF((تسعير!$AU$14="بالتات"),0,M49-2)</calculatedColumnFormula>
    </tableColumn>
    <tableColumn id="3" xr3:uid="{00000000-0010-0000-4900-000003000000}" name="بيان" totalsRowLabel="Total" dataDxfId="1607" totalsRowDxfId="1570"/>
    <tableColumn id="5" xr3:uid="{00000000-0010-0000-4900-000005000000}" name="اليومية / الاجرة" dataDxfId="1607" totalsRowDxfId="1570"/>
    <tableColumn id="6" xr3:uid="{00000000-0010-0000-4900-000006000000}" name="بدل الوجبة" dataDxfId="1608" totalsRowDxfId="1570"/>
    <tableColumn id="11" xr3:uid="{00000000-0010-0000-4900-00000B000000}" name="موقع العمل" dataDxfId="1587" totalsRowDxfId="1570">
      <calculatedColumnFormula>تسعير!$AT$24</calculatedColumnFormula>
    </tableColumn>
    <tableColumn id="10" xr3:uid="{00000000-0010-0000-4900-00000A000000}" name="شيفت العمل" dataDxfId="1564" totalsRowDxfId="1570"/>
    <tableColumn id="12" xr3:uid="{00000000-0010-0000-4900-00000C000000}" name="Column12" totalsRowFunction="sum" dataDxfId="1581" totalsRowDxfId="1592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617" totalsRowDxfId="1570"/>
    <tableColumn id="7" xr3:uid="{00000000-0010-0000-4900-000007000000}" name="اجمالي التكلفة للعامل" dataDxfId="1618" totalsRowDxfId="1596">
      <calculatedColumnFormula>Table16126776[[#This Row],[Column12]]</calculatedColumnFormula>
    </tableColumn>
    <tableColumn id="8" xr3:uid="{00000000-0010-0000-4900-000008000000}" name="اجمالي" totalsRowFunction="sum" dataDxfId="1574" totalsRowDxfId="1597">
      <calculatedColumnFormula>M52*U52</calculatedColumnFormula>
    </tableColumn>
    <tableColumn id="9" xr3:uid="{00000000-0010-0000-4900-000009000000}" name="%" totalsRowFunction="custom" totalsRowDxfId="1598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87" totalsRowDxfId="1565"/>
    <tableColumn id="2" xr3:uid="{00000000-0010-0000-4A00-000002000000}" name="عدد" dataDxfId="1601" totalsRowDxfId="1565">
      <calculatedColumnFormula>IF((Q63="الاسكندرية"),0.25,0.1)</calculatedColumnFormula>
    </tableColumn>
    <tableColumn id="3" xr3:uid="{00000000-0010-0000-4A00-000003000000}" name="بيان" totalsRowLabel="Total" dataDxfId="1587" totalsRowDxfId="1565"/>
    <tableColumn id="11" xr3:uid="{00000000-0010-0000-4A00-00000B000000}" name="Column2" dataDxfId="1587" totalsRowDxfId="1565"/>
    <tableColumn id="10" xr3:uid="{00000000-0010-0000-4A00-00000A000000}" name="Column1" dataDxfId="1587" totalsRowDxfId="1565"/>
    <tableColumn id="12" xr3:uid="{00000000-0010-0000-4A00-00000C000000}" name="Column12" totalsRowFunction="sum" dataDxfId="1452" totalsRowDxfId="1606"/>
    <tableColumn id="4" xr3:uid="{00000000-0010-0000-4A00-000004000000}" name="الوحده" dataDxfId="1594" totalsRowDxfId="1565"/>
    <tableColumn id="5" xr3:uid="{00000000-0010-0000-4A00-000005000000}" name="الوزن" dataDxfId="1587" totalsRowDxfId="1565"/>
    <tableColumn id="6" xr3:uid="{00000000-0010-0000-4A00-000006000000}" name="سعر الكيلو" dataDxfId="1587" totalsRowDxfId="1565"/>
    <tableColumn id="7" xr3:uid="{00000000-0010-0000-4A00-000007000000}" name="سعر الشبك " dataDxfId="1614" totalsRowDxfId="1589">
      <calculatedColumnFormula>Table80102114[[#Totals],[price]]</calculatedColumnFormula>
    </tableColumn>
    <tableColumn id="8" xr3:uid="{00000000-0010-0000-4A00-000008000000}" name="اجمالي" totalsRowFunction="sum" dataDxfId="1574" totalsRowDxfId="1590">
      <calculatedColumnFormula>M47*Table16136877[[#This Row],[سعر الشبك ]]</calculatedColumnFormula>
    </tableColumn>
    <tableColumn id="9" xr3:uid="{00000000-0010-0000-4A00-000009000000}" name="%" totalsRowFunction="custom" totalsRowDxfId="1591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93"/>
    <tableColumn id="2" xr3:uid="{00000000-0010-0000-4B00-000002000000}" name="خارجي" dataDxfId="1593"/>
    <tableColumn id="3" xr3:uid="{00000000-0010-0000-4B00-000003000000}" name="داخلي" dataDxfId="1593"/>
    <tableColumn id="4" xr3:uid="{00000000-0010-0000-4B00-000004000000}" name="بدل الوجبة" dataDxfId="1593"/>
    <tableColumn id="5" xr3:uid="{00000000-0010-0000-4B00-000005000000}" name="دبابة" dataDxfId="1593"/>
    <tableColumn id="6" xr3:uid="{00000000-0010-0000-4B00-000006000000}" name="جامبو" dataDxfId="1593"/>
    <tableColumn id="7" xr3:uid="{00000000-0010-0000-4B00-000007000000}" name="الاقامة" dataDxfId="1593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87"/>
    <tableColumn id="4" xr3:uid="{00000000-0010-0000-4C00-000004000000}" name="Column22" dataDxfId="1587"/>
    <tableColumn id="5" xr3:uid="{00000000-0010-0000-4C00-000005000000}" name="Column23" dataDxfId="1587"/>
    <tableColumn id="3" xr3:uid="{00000000-0010-0000-4C00-000003000000}" name="Column3" dataDxfId="161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60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64" totalsRowDxfId="1565"/>
    <tableColumn id="2" xr3:uid="{00000000-0010-0000-0500-000002000000}" name="عدد" dataDxfId="1420" totalsRowDxfId="156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64" totalsRowDxfId="1565"/>
    <tableColumn id="11" xr3:uid="{00000000-0010-0000-0500-00000B000000}" name="Column2" dataDxfId="1564" totalsRowDxfId="1565"/>
    <tableColumn id="10" xr3:uid="{00000000-0010-0000-0500-00000A000000}" name="Column1" dataDxfId="1564" totalsRowDxfId="1565"/>
    <tableColumn id="12" xr3:uid="{00000000-0010-0000-0500-00000C000000}" name="Column12" dataDxfId="1564" totalsRowDxfId="1565"/>
    <tableColumn id="4" xr3:uid="{00000000-0010-0000-0500-000004000000}" name="الوحده" totalsRowLabel="total" dataDxfId="1564" totalsRowDxfId="1565"/>
    <tableColumn id="5" xr3:uid="{00000000-0010-0000-0500-000005000000}" name="الوزن" dataDxfId="1564" totalsRowDxfId="1565"/>
    <tableColumn id="6" xr3:uid="{00000000-0010-0000-0500-000006000000}" name="سعر الكيلو" dataDxfId="1564" totalsRowDxfId="1565"/>
    <tableColumn id="7" xr3:uid="{00000000-0010-0000-0500-000007000000}" name="سعر الشبك " dataDxfId="1423" totalsRowDxfId="1424">
      <calculatedColumnFormula>Sheet2!B8</calculatedColumnFormula>
    </tableColumn>
    <tableColumn id="8" xr3:uid="{00000000-0010-0000-0500-000008000000}" name="اجمالي" totalsRowFunction="sum" dataDxfId="1425" totalsRowDxfId="1426">
      <calculatedColumnFormula>B35*J35</calculatedColumnFormula>
    </tableColumn>
    <tableColumn id="9" xr3:uid="{00000000-0010-0000-0500-000009000000}" name="%" totalsRowFunction="custom" totalsRowDxfId="1427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64" totalsRowDxfId="1565"/>
    <tableColumn id="2" xr3:uid="{00000000-0010-0000-4D00-000002000000}" name="عدد" dataDxfId="1564" totalsRowDxfId="1565"/>
    <tableColumn id="3" xr3:uid="{00000000-0010-0000-4D00-000003000000}" name="بيان" totalsRowLabel="Total" dataDxfId="1564" totalsRowDxfId="1565"/>
    <tableColumn id="11" xr3:uid="{00000000-0010-0000-4D00-00000B000000}" name="Column2" dataDxfId="1564" totalsRowDxfId="1565"/>
    <tableColumn id="10" xr3:uid="{00000000-0010-0000-4D00-00000A000000}" name="Column1" dataDxfId="1564" totalsRowDxfId="1565"/>
    <tableColumn id="12" xr3:uid="{00000000-0010-0000-4D00-00000C000000}" name="المسطح" totalsRowFunction="sum" dataDxfId="1581" totalsRowDxfId="1606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64" totalsRowDxfId="1565"/>
    <tableColumn id="5" xr3:uid="{00000000-0010-0000-4D00-000005000000}" name="الوزن" totalsRowFunction="custom" totalsRowDxfId="1565">
      <totalsRowFormula>(S6*M6)+(S7*M7)+(M8*S8)+(S9*M9)</totalsRowFormula>
    </tableColumn>
    <tableColumn id="6" xr3:uid="{00000000-0010-0000-4D00-000006000000}" name="اجمالي المسطح" totalsRowFunction="sum" dataDxfId="1568" totalsRowDxfId="1565">
      <calculatedColumnFormula>Table15880[[#This Row],[المسطح]]*Table15880[[#This Row],[عدد]]</calculatedColumnFormula>
    </tableColumn>
    <tableColumn id="7" xr3:uid="{00000000-0010-0000-4D00-000007000000}" name="سعر الشبك " dataDxfId="1621" totalsRowDxfId="1589">
      <calculatedColumnFormula>S6*$S$2/1000</calculatedColumnFormula>
    </tableColumn>
    <tableColumn id="8" xr3:uid="{00000000-0010-0000-4D00-000008000000}" name="اجمالي" totalsRowFunction="sum" dataDxfId="1574" totalsRowDxfId="1590">
      <calculatedColumnFormula>M6*U6</calculatedColumnFormula>
    </tableColumn>
    <tableColumn id="9" xr3:uid="{00000000-0010-0000-4D00-000009000000}" name="%" totalsRowFunction="custom" totalsRowDxfId="1591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64" totalsRowDxfId="1565"/>
    <tableColumn id="2" xr3:uid="{00000000-0010-0000-4E00-000002000000}" name="عدد" dataDxfId="1568" totalsRowDxfId="156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64" totalsRowDxfId="1565"/>
    <tableColumn id="11" xr3:uid="{00000000-0010-0000-4E00-00000B000000}" name="Column2" dataDxfId="1564" totalsRowDxfId="1565"/>
    <tableColumn id="10" xr3:uid="{00000000-0010-0000-4E00-00000A000000}" name="Column1" dataDxfId="1564" totalsRowDxfId="1565"/>
    <tableColumn id="12" xr3:uid="{00000000-0010-0000-4E00-00000C000000}" name="Column12" dataDxfId="1564" totalsRowDxfId="1565"/>
    <tableColumn id="4" xr3:uid="{00000000-0010-0000-4E00-000004000000}" name="الوحده" totalsRowLabel="total" dataDxfId="1564" totalsRowDxfId="1565"/>
    <tableColumn id="5" xr3:uid="{00000000-0010-0000-4E00-000005000000}" name="الوزن" dataDxfId="1564" totalsRowDxfId="1565"/>
    <tableColumn id="6" xr3:uid="{00000000-0010-0000-4E00-000006000000}" name="سعر الكيلو" dataDxfId="1564" totalsRowDxfId="1565"/>
    <tableColumn id="7" xr3:uid="{00000000-0010-0000-4E00-000007000000}" name="سعر الشبك " dataDxfId="1572" totalsRowDxfId="1589">
      <calculatedColumnFormula>Sheet2!B6</calculatedColumnFormula>
    </tableColumn>
    <tableColumn id="8" xr3:uid="{00000000-0010-0000-4E00-000008000000}" name="اجمالي" totalsRowFunction="sum" dataDxfId="1574" totalsRowDxfId="1590">
      <calculatedColumnFormula>M99*U100</calculatedColumnFormula>
    </tableColumn>
    <tableColumn id="9" xr3:uid="{00000000-0010-0000-4E00-000009000000}" name="%" totalsRowFunction="custom" totalsRowDxfId="1591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64" totalsRowDxfId="1565"/>
    <tableColumn id="2" xr3:uid="{00000000-0010-0000-4F00-000002000000}" name="عدد" dataDxfId="1568" totalsRowDxfId="1565">
      <calculatedColumnFormula>IF((I70="بالتات"),0,4)</calculatedColumnFormula>
    </tableColumn>
    <tableColumn id="3" xr3:uid="{00000000-0010-0000-4F00-000003000000}" name="بيان" totalsRowLabel="Total" dataDxfId="1564" totalsRowDxfId="1565"/>
    <tableColumn id="11" xr3:uid="{00000000-0010-0000-4F00-00000B000000}" name="Column2" dataDxfId="1564" totalsRowDxfId="1565"/>
    <tableColumn id="10" xr3:uid="{00000000-0010-0000-4F00-00000A000000}" name="Column1" dataDxfId="1564" totalsRowDxfId="1565"/>
    <tableColumn id="12" xr3:uid="{00000000-0010-0000-4F00-00000C000000}" name="Column12" dataDxfId="1581" totalsRowDxfId="1606"/>
    <tableColumn id="4" xr3:uid="{00000000-0010-0000-4F00-000004000000}" name="الوحده" dataDxfId="1564" totalsRowDxfId="1565"/>
    <tableColumn id="5" xr3:uid="{00000000-0010-0000-4F00-000005000000}" name="الوزن" dataDxfId="1564" totalsRowDxfId="1565"/>
    <tableColumn id="6" xr3:uid="{00000000-0010-0000-4F00-000006000000}" name="سعر الكيلو" dataDxfId="1564" totalsRowDxfId="1565"/>
    <tableColumn id="7" xr3:uid="{00000000-0010-0000-4F00-000007000000}" name="سعر الشبك " dataDxfId="1572" totalsRowDxfId="1589">
      <calculatedColumnFormula>Sheet2!B26</calculatedColumnFormula>
    </tableColumn>
    <tableColumn id="8" xr3:uid="{00000000-0010-0000-4F00-000008000000}" name="اجمالي" totalsRowFunction="sum" dataDxfId="1574" totalsRowDxfId="1590">
      <calculatedColumnFormula>M85*U85</calculatedColumnFormula>
    </tableColumn>
    <tableColumn id="9" xr3:uid="{00000000-0010-0000-4F00-000009000000}" name="%" totalsRowFunction="custom" totalsRowDxfId="1591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64"/>
    <tableColumn id="2" xr3:uid="{00000000-0010-0000-5000-000002000000}" name="عدد" totalsRowFunction="sum" dataDxfId="1564">
      <calculatedColumnFormula>M91*4</calculatedColumnFormula>
    </tableColumn>
    <tableColumn id="3" xr3:uid="{00000000-0010-0000-5000-000003000000}" name="بيان" totalsRowLabel="Total" dataDxfId="1564"/>
    <tableColumn id="11" xr3:uid="{00000000-0010-0000-5000-00000B000000}" name="Column2" dataDxfId="1564"/>
    <tableColumn id="10" xr3:uid="{00000000-0010-0000-5000-00000A000000}" name="Column1" dataDxfId="1564"/>
    <tableColumn id="12" xr3:uid="{00000000-0010-0000-5000-00000C000000}" name="Column12" totalsRowFunction="sum" dataDxfId="158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6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68"/>
    <tableColumn id="7" xr3:uid="{00000000-0010-0000-5000-000007000000}" name="سعر الشبك " dataDxfId="1572">
      <calculatedColumnFormula>S93*$S$2/1000</calculatedColumnFormula>
    </tableColumn>
    <tableColumn id="8" xr3:uid="{00000000-0010-0000-5000-000008000000}" name="اجمالي" totalsRowFunction="sum" dataDxfId="1574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93"/>
    <tableColumn id="2" xr3:uid="{00000000-0010-0000-5100-000002000000}" name="المعدل" dataDxfId="1593"/>
    <tableColumn id="3" xr3:uid="{00000000-0010-0000-5100-000003000000}" name="الوحدة" dataDxfId="1593"/>
    <tableColumn id="4" xr3:uid="{00000000-0010-0000-5100-000004000000}" name="Column4" dataDxfId="1612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93"/>
    <tableColumn id="2" xr3:uid="{00000000-0010-0000-5200-000002000000}" name="Column2" dataDxfId="1612"/>
    <tableColumn id="3" xr3:uid="{00000000-0010-0000-5200-000003000000}" name="Column3" dataDxfId="1593"/>
    <tableColumn id="4" xr3:uid="{00000000-0010-0000-5200-000004000000}" name="Column4" dataDxfId="1593"/>
    <tableColumn id="5" xr3:uid="{00000000-0010-0000-5200-000005000000}" name="Column5" dataDxfId="1593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64" totalsRowDxfId="1570"/>
    <tableColumn id="2" xr3:uid="{00000000-0010-0000-5300-000002000000}" name="عدد" dataDxfId="1601" totalsRowDxfId="1570">
      <calculatedColumnFormula>IF((تسعير!$AU$14="بالتات"),0,M120-2)</calculatedColumnFormula>
    </tableColumn>
    <tableColumn id="3" xr3:uid="{00000000-0010-0000-5300-000003000000}" name="بيان" totalsRowLabel="Total" dataDxfId="1607" totalsRowDxfId="1570"/>
    <tableColumn id="5" xr3:uid="{00000000-0010-0000-5300-000005000000}" name="اليومية / الاجرة" dataDxfId="1607" totalsRowDxfId="1570"/>
    <tableColumn id="6" xr3:uid="{00000000-0010-0000-5300-000006000000}" name="بدل الوجبة" dataDxfId="1608" totalsRowDxfId="1570"/>
    <tableColumn id="11" xr3:uid="{00000000-0010-0000-5300-00000B000000}" name="موقع العمل" dataDxfId="1587" totalsRowDxfId="1570">
      <calculatedColumnFormula>تسعير!$AT$44</calculatedColumnFormula>
    </tableColumn>
    <tableColumn id="10" xr3:uid="{00000000-0010-0000-5300-00000A000000}" name="شيفت العمل" dataDxfId="1564" totalsRowDxfId="1570"/>
    <tableColumn id="12" xr3:uid="{00000000-0010-0000-5300-00000C000000}" name="Column12" totalsRowFunction="sum" dataDxfId="1581" totalsRowDxfId="1592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617" totalsRowDxfId="1570"/>
    <tableColumn id="7" xr3:uid="{00000000-0010-0000-5300-000007000000}" name="اجمالي التكلفة للعامل" dataDxfId="1618" totalsRowDxfId="1596">
      <calculatedColumnFormula>Table1612677697[[#This Row],[Column12]]</calculatedColumnFormula>
    </tableColumn>
    <tableColumn id="8" xr3:uid="{00000000-0010-0000-5300-000008000000}" name="اجمالي" totalsRowFunction="sum" dataDxfId="1574" totalsRowDxfId="1597">
      <calculatedColumnFormula>M123*U123</calculatedColumnFormula>
    </tableColumn>
    <tableColumn id="9" xr3:uid="{00000000-0010-0000-5300-000009000000}" name="%" totalsRowFunction="custom" totalsRowDxfId="1598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87" totalsRowDxfId="1565"/>
    <tableColumn id="2" xr3:uid="{00000000-0010-0000-5400-000002000000}" name="عدد" dataDxfId="1601" totalsRowDxfId="1565">
      <calculatedColumnFormula>IF((Q134="الاسكندرية"),0.25,0.1)</calculatedColumnFormula>
    </tableColumn>
    <tableColumn id="3" xr3:uid="{00000000-0010-0000-5400-000003000000}" name="بيان" totalsRowLabel="Total" dataDxfId="1587" totalsRowDxfId="1565"/>
    <tableColumn id="11" xr3:uid="{00000000-0010-0000-5400-00000B000000}" name="Column2" dataDxfId="1587" totalsRowDxfId="1565"/>
    <tableColumn id="10" xr3:uid="{00000000-0010-0000-5400-00000A000000}" name="Column1" dataDxfId="1587" totalsRowDxfId="1565"/>
    <tableColumn id="12" xr3:uid="{00000000-0010-0000-5400-00000C000000}" name="Column12" totalsRowFunction="sum" dataDxfId="1622" totalsRowDxfId="1606"/>
    <tableColumn id="4" xr3:uid="{00000000-0010-0000-5400-000004000000}" name="الوحده" dataDxfId="1594" totalsRowDxfId="1565"/>
    <tableColumn id="5" xr3:uid="{00000000-0010-0000-5400-000005000000}" name="الوزن" dataDxfId="1587" totalsRowDxfId="1565"/>
    <tableColumn id="6" xr3:uid="{00000000-0010-0000-5400-000006000000}" name="سعر الكيلو" dataDxfId="1587" totalsRowDxfId="1565"/>
    <tableColumn id="7" xr3:uid="{00000000-0010-0000-5400-000007000000}" name="سعر الشبك " dataDxfId="1614" totalsRowDxfId="1589">
      <calculatedColumnFormula>F96</calculatedColumnFormula>
    </tableColumn>
    <tableColumn id="8" xr3:uid="{00000000-0010-0000-5400-000008000000}" name="اجمالي" totalsRowFunction="sum" dataDxfId="1574" totalsRowDxfId="1590">
      <calculatedColumnFormula>M118*Table1613687798[[#This Row],[سعر الشبك ]]</calculatedColumnFormula>
    </tableColumn>
    <tableColumn id="9" xr3:uid="{00000000-0010-0000-5400-000009000000}" name="%" totalsRowFunction="custom" totalsRowDxfId="1591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93"/>
    <tableColumn id="2" xr3:uid="{00000000-0010-0000-5500-000002000000}" name="خارجي" dataDxfId="1593"/>
    <tableColumn id="3" xr3:uid="{00000000-0010-0000-5500-000003000000}" name="داخلي" dataDxfId="1593"/>
    <tableColumn id="4" xr3:uid="{00000000-0010-0000-5500-000004000000}" name="بدل الوجبة" dataDxfId="1593"/>
    <tableColumn id="5" xr3:uid="{00000000-0010-0000-5500-000005000000}" name="دبابة" dataDxfId="1593"/>
    <tableColumn id="6" xr3:uid="{00000000-0010-0000-5500-000006000000}" name="جامبو" dataDxfId="1593"/>
    <tableColumn id="7" xr3:uid="{00000000-0010-0000-5500-000007000000}" name="الاقامة" dataDxfId="1593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87"/>
    <tableColumn id="4" xr3:uid="{00000000-0010-0000-5600-000004000000}" name="Column22" dataDxfId="1587"/>
    <tableColumn id="5" xr3:uid="{00000000-0010-0000-5600-000005000000}" name="Column23" dataDxfId="1587"/>
    <tableColumn id="3" xr3:uid="{00000000-0010-0000-5600-000003000000}" name="Column3" dataDxfId="161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60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64"/>
    <tableColumn id="2" xr3:uid="{00000000-0010-0000-0600-000002000000}" name="عدد" dataDxfId="156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64"/>
    <tableColumn id="11" xr3:uid="{00000000-0010-0000-0600-00000B000000}" name="Column2" dataDxfId="1564"/>
    <tableColumn id="10" xr3:uid="{00000000-0010-0000-0600-00000A000000}" name="Column1" dataDxfId="1564"/>
    <tableColumn id="12" xr3:uid="{00000000-0010-0000-0600-00000C000000}" name="Column12" totalsRowFunction="sum" dataDxfId="1562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6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420">
      <calculatedColumnFormula>Table14[[#This Row],[Column12]]*Table14[[#This Row],[عدد]]</calculatedColumnFormula>
    </tableColumn>
    <tableColumn id="7" xr3:uid="{00000000-0010-0000-0600-000007000000}" name="سعر الشبك " dataDxfId="1566">
      <calculatedColumnFormula>H12*$I$2/1000</calculatedColumnFormula>
    </tableColumn>
    <tableColumn id="8" xr3:uid="{00000000-0010-0000-0600-000008000000}" name="اجمالي" totalsRowFunction="sum" dataDxfId="1567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64" totalsRowDxfId="1565"/>
    <tableColumn id="2" xr3:uid="{00000000-0010-0000-5700-000002000000}" name="عدد" dataDxfId="1564" totalsRowDxfId="156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64" totalsRowDxfId="1565"/>
    <tableColumn id="11" xr3:uid="{00000000-0010-0000-5700-00000B000000}" name="Column2" dataDxfId="1564" totalsRowDxfId="1565"/>
    <tableColumn id="10" xr3:uid="{00000000-0010-0000-5700-00000A000000}" name="Column1" dataDxfId="1564" totalsRowDxfId="1565"/>
    <tableColumn id="12" xr3:uid="{00000000-0010-0000-5700-00000C000000}" name="المسطح" totalsRowFunction="sum" dataDxfId="1581" totalsRowDxfId="1606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64" totalsRowDxfId="1565"/>
    <tableColumn id="5" xr3:uid="{00000000-0010-0000-5700-000005000000}" name="الوزن" totalsRowFunction="custom" totalsRowDxfId="1565">
      <totalsRowFormula>(S77*M77)+(S78*M78)+(M79*S79)+(S80*M80)</totalsRowFormula>
    </tableColumn>
    <tableColumn id="6" xr3:uid="{00000000-0010-0000-5700-000006000000}" name="اجمالي المسطح" totalsRowFunction="sum" dataDxfId="1568" totalsRowDxfId="1565">
      <calculatedColumnFormula>Table15880101[[#This Row],[المسطح]]*Table15880101[[#This Row],[عدد]]</calculatedColumnFormula>
    </tableColumn>
    <tableColumn id="7" xr3:uid="{00000000-0010-0000-5700-000007000000}" name="سعر الشبك " dataDxfId="1455" totalsRowDxfId="1589">
      <calculatedColumnFormula>S77*$S$2/1000</calculatedColumnFormula>
    </tableColumn>
    <tableColumn id="8" xr3:uid="{00000000-0010-0000-5700-000008000000}" name="اجمالي" totalsRowFunction="sum" dataDxfId="1574" totalsRowDxfId="1590">
      <calculatedColumnFormula>M77*U77</calculatedColumnFormula>
    </tableColumn>
    <tableColumn id="9" xr3:uid="{00000000-0010-0000-5700-000009000000}" name="%" totalsRowFunction="custom" totalsRowDxfId="1591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64" totalsRowDxfId="1565"/>
    <tableColumn id="2" xr3:uid="{00000000-0010-0000-5800-000002000000}" name="عدد" dataDxfId="1568" totalsRowDxfId="1565"/>
    <tableColumn id="3" xr3:uid="{00000000-0010-0000-5800-000003000000}" name="بيان" totalsRowLabel="Total" dataDxfId="1564" totalsRowDxfId="1565"/>
    <tableColumn id="11" xr3:uid="{00000000-0010-0000-5800-00000B000000}" name="Column2" dataDxfId="1564" totalsRowDxfId="1565"/>
    <tableColumn id="10" xr3:uid="{00000000-0010-0000-5800-00000A000000}" name="Column1" dataDxfId="1564" totalsRowDxfId="1565"/>
    <tableColumn id="12" xr3:uid="{00000000-0010-0000-5800-00000C000000}" name="Column12" dataDxfId="1564" totalsRowDxfId="1565"/>
    <tableColumn id="4" xr3:uid="{00000000-0010-0000-5800-000004000000}" name="الوحده" totalsRowLabel="total" dataDxfId="1564" totalsRowDxfId="1565"/>
    <tableColumn id="5" xr3:uid="{00000000-0010-0000-5800-000005000000}" name="الوزن" dataDxfId="1564" totalsRowDxfId="1565"/>
    <tableColumn id="6" xr3:uid="{00000000-0010-0000-5800-000006000000}" name="سعر الكيلو" dataDxfId="1564" totalsRowDxfId="1565"/>
    <tableColumn id="7" xr3:uid="{00000000-0010-0000-5800-000007000000}" name="سعر الشبك " dataDxfId="1572" totalsRowDxfId="1589">
      <calculatedColumnFormula>Sheet2!AW6</calculatedColumnFormula>
    </tableColumn>
    <tableColumn id="8" xr3:uid="{00000000-0010-0000-5800-000008000000}" name="اجمالي" totalsRowFunction="sum" dataDxfId="1574" totalsRowDxfId="1590">
      <calculatedColumnFormula>BH28*BP28</calculatedColumnFormula>
    </tableColumn>
    <tableColumn id="9" xr3:uid="{00000000-0010-0000-5800-000009000000}" name="%" totalsRowFunction="custom" totalsRowDxfId="1591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64" totalsRowDxfId="1565"/>
    <tableColumn id="2" xr3:uid="{00000000-0010-0000-5900-000002000000}" name="عدد" dataDxfId="1568" totalsRowDxfId="1565"/>
    <tableColumn id="3" xr3:uid="{00000000-0010-0000-5900-000003000000}" name="بيان" totalsRowLabel="Total" dataDxfId="1564" totalsRowDxfId="1565"/>
    <tableColumn id="11" xr3:uid="{00000000-0010-0000-5900-00000B000000}" name="Column2" dataDxfId="1564" totalsRowDxfId="1565"/>
    <tableColumn id="10" xr3:uid="{00000000-0010-0000-5900-00000A000000}" name="Column1" dataDxfId="1564" totalsRowDxfId="1565"/>
    <tableColumn id="12" xr3:uid="{00000000-0010-0000-5900-00000C000000}" name="Column12" dataDxfId="1581" totalsRowDxfId="1606"/>
    <tableColumn id="4" xr3:uid="{00000000-0010-0000-5900-000004000000}" name="الوحده" dataDxfId="1564" totalsRowDxfId="1565"/>
    <tableColumn id="5" xr3:uid="{00000000-0010-0000-5900-000005000000}" name="الوزن" dataDxfId="1564" totalsRowDxfId="1565"/>
    <tableColumn id="6" xr3:uid="{00000000-0010-0000-5900-000006000000}" name="سعر الكيلو" dataDxfId="1564" totalsRowDxfId="1565"/>
    <tableColumn id="7" xr3:uid="{00000000-0010-0000-5900-000007000000}" name="سعر الشبك " dataDxfId="1572" totalsRowDxfId="1589">
      <calculatedColumnFormula>Sheet2!AW26</calculatedColumnFormula>
    </tableColumn>
    <tableColumn id="8" xr3:uid="{00000000-0010-0000-5900-000008000000}" name="اجمالي" totalsRowFunction="sum" dataDxfId="1574" totalsRowDxfId="1590">
      <calculatedColumnFormula>BH14*BP14</calculatedColumnFormula>
    </tableColumn>
    <tableColumn id="9" xr3:uid="{00000000-0010-0000-5900-000009000000}" name="%" totalsRowFunction="custom" totalsRowDxfId="1591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64"/>
    <tableColumn id="2" xr3:uid="{00000000-0010-0000-5A00-000002000000}" name="عدد" totalsRowFunction="count" dataDxfId="1564">
      <calculatedColumnFormula>BH20*4</calculatedColumnFormula>
    </tableColumn>
    <tableColumn id="3" xr3:uid="{00000000-0010-0000-5A00-000003000000}" name="بيان" totalsRowLabel="Total" dataDxfId="1564"/>
    <tableColumn id="11" xr3:uid="{00000000-0010-0000-5A00-00000B000000}" name="Column2" dataDxfId="1564"/>
    <tableColumn id="10" xr3:uid="{00000000-0010-0000-5A00-00000A000000}" name="Column1" dataDxfId="1564"/>
    <tableColumn id="12" xr3:uid="{00000000-0010-0000-5A00-00000C000000}" name="Column12" totalsRowFunction="sum" dataDxfId="158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6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68"/>
    <tableColumn id="7" xr3:uid="{00000000-0010-0000-5A00-000007000000}" name="سعر الشبك " dataDxfId="1572">
      <calculatedColumnFormula>BN22*$S$2/1000</calculatedColumnFormula>
    </tableColumn>
    <tableColumn id="8" xr3:uid="{00000000-0010-0000-5A00-000008000000}" name="اجمالي" totalsRowFunction="sum" dataDxfId="1574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93"/>
    <tableColumn id="2" xr3:uid="{00000000-0010-0000-5B00-000002000000}" name="المعدل" dataDxfId="1593"/>
    <tableColumn id="3" xr3:uid="{00000000-0010-0000-5B00-000003000000}" name="الوحدة" dataDxfId="1593"/>
    <tableColumn id="4" xr3:uid="{00000000-0010-0000-5B00-000004000000}" name="Column4" dataDxfId="1612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93"/>
    <tableColumn id="2" xr3:uid="{00000000-0010-0000-5C00-000002000000}" name="Column2" dataDxfId="1612"/>
    <tableColumn id="3" xr3:uid="{00000000-0010-0000-5C00-000003000000}" name="Column3" dataDxfId="1593"/>
    <tableColumn id="4" xr3:uid="{00000000-0010-0000-5C00-000004000000}" name="Column4" dataDxfId="1593"/>
    <tableColumn id="5" xr3:uid="{00000000-0010-0000-5C00-000005000000}" name="Column5" dataDxfId="1593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64" totalsRowDxfId="1570"/>
    <tableColumn id="2" xr3:uid="{00000000-0010-0000-5D00-000002000000}" name="عدد" dataDxfId="1601" totalsRowDxfId="1570">
      <calculatedColumnFormula>IF((تسعير!$AU$14="بالتات"),0,BH48-2)</calculatedColumnFormula>
    </tableColumn>
    <tableColumn id="3" xr3:uid="{00000000-0010-0000-5D00-000003000000}" name="بيان" totalsRowLabel="Total" dataDxfId="1607" totalsRowDxfId="1570"/>
    <tableColumn id="5" xr3:uid="{00000000-0010-0000-5D00-000005000000}" name="اليومية / الاجرة" dataDxfId="1607" totalsRowDxfId="1570"/>
    <tableColumn id="6" xr3:uid="{00000000-0010-0000-5D00-000006000000}" name="بدل الوجبة" dataDxfId="1608" totalsRowDxfId="1570"/>
    <tableColumn id="11" xr3:uid="{00000000-0010-0000-5D00-00000B000000}" name="موقع العمل" dataDxfId="1587" totalsRowDxfId="1570">
      <calculatedColumnFormula>تسعير!$AT$44</calculatedColumnFormula>
    </tableColumn>
    <tableColumn id="10" xr3:uid="{00000000-0010-0000-5D00-00000A000000}" name="شيفت العمل" dataDxfId="1564" totalsRowDxfId="1570"/>
    <tableColumn id="12" xr3:uid="{00000000-0010-0000-5D00-00000C000000}" name="Column12" totalsRowFunction="sum" dataDxfId="1581" totalsRowDxfId="1592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617" totalsRowDxfId="1570"/>
    <tableColumn id="7" xr3:uid="{00000000-0010-0000-5D00-000007000000}" name="اجمالي التكلفة للعامل" dataDxfId="1618" totalsRowDxfId="1596">
      <calculatedColumnFormula>Table1612677686[[#This Row],[Column12]]</calculatedColumnFormula>
    </tableColumn>
    <tableColumn id="8" xr3:uid="{00000000-0010-0000-5D00-000008000000}" name="اجمالي" totalsRowFunction="sum" dataDxfId="1574" totalsRowDxfId="1597">
      <calculatedColumnFormula>BH51*BP51</calculatedColumnFormula>
    </tableColumn>
    <tableColumn id="9" xr3:uid="{00000000-0010-0000-5D00-000009000000}" name="%" totalsRowFunction="custom" totalsRowDxfId="1598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87"/>
    <tableColumn id="2" xr3:uid="{00000000-0010-0000-5E00-000002000000}" name="عدد" dataDxfId="1601">
      <calculatedColumnFormula>IF((BL62="الاسكندرية"),0.25,0.1)</calculatedColumnFormula>
    </tableColumn>
    <tableColumn id="3" xr3:uid="{00000000-0010-0000-5E00-000003000000}" name="بيان" totalsRowLabel="Total" dataDxfId="1587"/>
    <tableColumn id="11" xr3:uid="{00000000-0010-0000-5E00-00000B000000}" name="Column2" dataDxfId="1587"/>
    <tableColumn id="10" xr3:uid="{00000000-0010-0000-5E00-00000A000000}" name="Column1" dataDxfId="1587"/>
    <tableColumn id="12" xr3:uid="{00000000-0010-0000-5E00-00000C000000}" name="Column12" totalsRowFunction="sum" dataDxfId="1622"/>
    <tableColumn id="4" xr3:uid="{00000000-0010-0000-5E00-000004000000}" name="الوحده" dataDxfId="1594"/>
    <tableColumn id="5" xr3:uid="{00000000-0010-0000-5E00-000005000000}" name="الوزن" dataDxfId="1587"/>
    <tableColumn id="6" xr3:uid="{00000000-0010-0000-5E00-000006000000}" name="سعر الكيلو" dataDxfId="1587"/>
    <tableColumn id="7" xr3:uid="{00000000-0010-0000-5E00-000007000000}" name="سعر الشبك " dataDxfId="1614">
      <calculatedColumnFormula>BQ45</calculatedColumnFormula>
    </tableColumn>
    <tableColumn id="8" xr3:uid="{00000000-0010-0000-5E00-000008000000}" name="اجمالي" totalsRowFunction="sum" dataDxfId="1574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93"/>
    <tableColumn id="2" xr3:uid="{00000000-0010-0000-5F00-000002000000}" name="خارجي" dataDxfId="1593"/>
    <tableColumn id="3" xr3:uid="{00000000-0010-0000-5F00-000003000000}" name="داخلي" dataDxfId="1593"/>
    <tableColumn id="4" xr3:uid="{00000000-0010-0000-5F00-000004000000}" name="بدل الوجبة" dataDxfId="1593"/>
    <tableColumn id="5" xr3:uid="{00000000-0010-0000-5F00-000005000000}" name="دبابة" dataDxfId="1593"/>
    <tableColumn id="6" xr3:uid="{00000000-0010-0000-5F00-000006000000}" name="جامبو" dataDxfId="1593"/>
    <tableColumn id="7" xr3:uid="{00000000-0010-0000-5F00-000007000000}" name="الاقامة" dataDxfId="1593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87"/>
    <tableColumn id="4" xr3:uid="{00000000-0010-0000-6000-000004000000}" name="Column22" dataDxfId="1587"/>
    <tableColumn id="5" xr3:uid="{00000000-0010-0000-6000-000005000000}" name="Column23" dataDxfId="1587"/>
    <tableColumn id="3" xr3:uid="{00000000-0010-0000-6000-000003000000}" name="Column3" dataDxfId="161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60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abSelected="1" topLeftCell="A44" zoomScale="145" zoomScaleNormal="145" zoomScaleSheetLayoutView="70" workbookViewId="0">
      <selection activeCell="B54" sqref="B54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16710.5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53281.75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45000</v>
      </c>
    </row>
    <row r="13">
      <c r="A13" s="233" t="s">
        <v>620</v>
      </c>
      <c r="B13" s="233">
        <v>50000</v>
      </c>
    </row>
    <row r="14">
      <c r="A14" s="233" t="s">
        <v>15</v>
      </c>
      <c r="B14" s="233">
        <v>202000</v>
      </c>
    </row>
    <row r="15">
      <c r="A15" s="233" t="s">
        <v>621</v>
      </c>
      <c r="B15" s="233">
        <v>70000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1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Φωτισμου'!B9</f>
        <v>3</v>
      </c>
    </row>
    <row r="19" ht="18" customHeight="1">
      <c r="A19" s="711" t="s">
        <v>436</v>
      </c>
      <c r="B19" s="712"/>
      <c r="C19" s="14">
        <f>'Format Φωτισμου'!B12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571500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571500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571500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571500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571500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571500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342900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571500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447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IF(تسعير!T6="سادة",Royal!J2+20000,IF(تسعير!T6="خشبي",Royal!J2+40000,0))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تسجيل1!C7</f>
        <v>400</v>
      </c>
      <c r="L6" s="734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3467.2738127311732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55476.381003698771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οδηγου'!F8</f>
        <v>365</v>
      </c>
      <c r="J11" s="753"/>
      <c r="K11" s="106"/>
      <c r="L11" s="754">
        <f>IF(تسعير!T10=Sheet2!A3,2,IF(Format!A7=1,تسجيل1!H27,IF(Format!A7=2,تسجيل1!H27,IF(Format!A7=3,تسجيل1!H27,IF(Format!A7=4,تسجيل1!H27,IF(Format!A7=5,تسجيل1!H27,"-------"))))))</f>
        <v>2</v>
      </c>
      <c r="M11" s="754"/>
      <c r="N11" s="75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IF(تسعير!T10=Sheet2!A3,0,(G12+G13)/2)</f>
        <v>0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IF(Format!E7=1,"-------",IF(Format!E7=5,"-------",تسجيل1!H30))</f>
        <v>2</v>
      </c>
      <c r="M21" s="759" t="str">
        <f>IF(L21="-------","-------",تسجيل1!D11)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19205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55476.381003698771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2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 (2)'!B9</f>
        <v>3</v>
      </c>
    </row>
    <row r="19" ht="18" customHeight="1">
      <c r="A19" s="711" t="s">
        <v>436</v>
      </c>
      <c r="B19" s="712"/>
      <c r="C19" s="14">
        <f>'Format Φωτισμου (2)'!B12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571500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571500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571500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571500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571500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571500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342900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571500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517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IF(تسعير!T26="سادة",Royal2!J2+20000,IF(تسعير!T26="خشبي",Royal2!J2+40000,0))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تسجيل2!C7</f>
        <v>400</v>
      </c>
      <c r="L6" s="734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3473.5238127311732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55576.381003698771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 (2)'!F8</f>
        <v>365</v>
      </c>
      <c r="J11" s="753"/>
      <c r="K11" s="106"/>
      <c r="L11" s="748">
        <f>IF((تسعير!T31=Sheet2!A6),2,IF(Format!A7=1,تسجيل2!H27,IF(Format!A7=2,تسجيل2!H27,IF(Format!A7=3,تسجيل2!H27,IF(Format!A7=4,تسجيل2!H27,IF(Format!A7=5,تسجيل2!H27,"-------"))))))</f>
        <v>2</v>
      </c>
      <c r="M11" s="748"/>
      <c r="N11" s="74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(G12+G13)/2</f>
        <v>1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1465.1999999999998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IF(Format!E7=1,"-------",IF(Format!E7=5,"-------",تسجيل2!H30))</f>
        <v>2</v>
      </c>
      <c r="M21" s="759" t="str">
        <f>IF(L21="-------","-------",تسجيل2!D11)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19305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55576.381003698771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AC17" zoomScale="55" zoomScaleNormal="55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63"/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51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29"/>
      <c r="BG1" s="629"/>
      <c r="BH1" s="629"/>
      <c r="BI1" s="629"/>
      <c r="BJ1" s="629"/>
      <c r="BK1" s="629"/>
      <c r="BL1" s="629"/>
      <c r="BM1" s="629"/>
      <c r="BN1" s="629"/>
    </row>
    <row r="2" ht="45" customHeight="1">
      <c r="A2" s="663"/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51"/>
      <c r="S2" s="410" t="s">
        <v>646</v>
      </c>
      <c r="T2" s="411">
        <f>IF((V14="ok"),Royal!G84,"R")</f>
        <v>182889.72007338447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52" t="s">
        <v>646</v>
      </c>
      <c r="AG2" s="628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628"/>
      <c r="AI2" s="414"/>
      <c r="AJ2" s="414"/>
      <c r="AK2" s="414"/>
      <c r="AR2" s="406"/>
      <c r="AS2" s="464" t="s">
        <v>646</v>
      </c>
      <c r="AT2" s="465">
        <f>IF((AV14="OK"),wavy1!R72,"R")</f>
        <v>105702.19833333333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148729.5376666667</v>
      </c>
      <c r="BF2" s="629"/>
      <c r="BG2" s="629"/>
      <c r="BH2" s="629"/>
      <c r="BI2" s="629"/>
      <c r="BJ2" s="629"/>
      <c r="BK2" s="629"/>
      <c r="BL2" s="629"/>
      <c r="BM2" s="629"/>
      <c r="BN2" s="629"/>
    </row>
    <row r="3" ht="54.75" customHeight="1">
      <c r="A3" s="663"/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51"/>
      <c r="S3" s="517" t="s">
        <v>215</v>
      </c>
      <c r="T3" s="413">
        <f>T2/(AA10*X8)*10000</f>
        <v>11430.607504586529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52"/>
      <c r="AG3" s="628"/>
      <c r="AH3" s="628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8456.1758666666665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4249.4153619047629</v>
      </c>
      <c r="BF3" s="629"/>
      <c r="BG3" s="629"/>
      <c r="BH3" s="629"/>
      <c r="BI3" s="629"/>
      <c r="BJ3" s="629"/>
      <c r="BK3" s="629"/>
      <c r="BL3" s="629"/>
      <c r="BM3" s="629"/>
      <c r="BN3" s="629"/>
    </row>
    <row r="4" ht="55.5" customHeight="1">
      <c r="A4" s="663"/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51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52"/>
      <c r="AG4" s="628"/>
      <c r="AH4" s="628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30"/>
      <c r="BG4" s="631"/>
      <c r="BH4" s="631"/>
      <c r="BI4" s="631"/>
      <c r="BJ4" s="631"/>
      <c r="BK4" s="631"/>
      <c r="BL4" s="631"/>
      <c r="BM4" s="631"/>
      <c r="BN4" s="627"/>
    </row>
    <row r="5" ht="55.5" customHeight="1">
      <c r="A5" s="663"/>
      <c r="B5" s="663"/>
      <c r="C5" s="663"/>
      <c r="D5" s="663"/>
      <c r="E5" s="663"/>
      <c r="F5" s="663"/>
      <c r="G5" s="663"/>
      <c r="H5" s="663"/>
      <c r="I5" s="663"/>
      <c r="J5" s="663"/>
      <c r="K5" s="663"/>
      <c r="L5" s="663"/>
      <c r="M5" s="663"/>
      <c r="N5" s="663"/>
      <c r="O5" s="663"/>
      <c r="P5" s="663"/>
      <c r="Q5" s="663"/>
      <c r="R5" s="651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30"/>
      <c r="BG5" s="631"/>
      <c r="BH5" s="631"/>
      <c r="BI5" s="631"/>
      <c r="BJ5" s="631"/>
      <c r="BK5" s="631"/>
      <c r="BL5" s="631"/>
      <c r="BM5" s="631"/>
      <c r="BN5" s="627"/>
      <c r="BT5" s="0">
        <v>0</v>
      </c>
    </row>
    <row r="6" ht="55.5" customHeight="1">
      <c r="A6" s="663"/>
      <c r="B6" s="663"/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3"/>
      <c r="O6" s="663"/>
      <c r="P6" s="663"/>
      <c r="Q6" s="663"/>
      <c r="R6" s="651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4" t="s">
        <v>653</v>
      </c>
      <c r="AP6" s="635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27"/>
    </row>
    <row r="7" ht="18.75" customHeight="1">
      <c r="A7" s="663"/>
      <c r="B7" s="663"/>
      <c r="C7" s="663"/>
      <c r="D7" s="663"/>
      <c r="E7" s="663"/>
      <c r="F7" s="663"/>
      <c r="G7" s="663"/>
      <c r="H7" s="663"/>
      <c r="I7" s="663"/>
      <c r="J7" s="663"/>
      <c r="K7" s="663"/>
      <c r="L7" s="663"/>
      <c r="M7" s="663"/>
      <c r="N7" s="663"/>
      <c r="O7" s="663"/>
      <c r="P7" s="663"/>
      <c r="Q7" s="663"/>
      <c r="R7" s="651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7"/>
    </row>
    <row r="8" ht="55.5" customHeight="1">
      <c r="A8" s="407"/>
      <c r="B8" s="672"/>
      <c r="C8" s="672"/>
      <c r="D8" s="672"/>
      <c r="E8" s="407"/>
      <c r="F8" s="674"/>
      <c r="G8" s="674"/>
      <c r="H8" s="674"/>
      <c r="I8" s="663"/>
      <c r="J8" s="671"/>
      <c r="K8" s="671"/>
      <c r="L8" s="671"/>
      <c r="M8" s="663"/>
      <c r="N8" s="673"/>
      <c r="O8" s="673"/>
      <c r="P8" s="673"/>
      <c r="Q8" s="407"/>
      <c r="R8" s="651"/>
      <c r="S8" s="675"/>
      <c r="T8" s="675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3</v>
      </c>
      <c r="AL8" s="462" t="s">
        <v>36</v>
      </c>
      <c r="AM8" s="462" t="s">
        <v>39</v>
      </c>
      <c r="AN8" s="463" t="s">
        <v>347</v>
      </c>
      <c r="AO8" s="636"/>
      <c r="AP8" s="637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7"/>
    </row>
    <row r="9" ht="55.5" customHeight="1">
      <c r="A9" s="407"/>
      <c r="B9" s="672"/>
      <c r="C9" s="672"/>
      <c r="D9" s="672"/>
      <c r="E9" s="407"/>
      <c r="F9" s="674"/>
      <c r="G9" s="674"/>
      <c r="H9" s="674"/>
      <c r="I9" s="663"/>
      <c r="J9" s="671"/>
      <c r="K9" s="671"/>
      <c r="L9" s="671"/>
      <c r="M9" s="663"/>
      <c r="N9" s="673"/>
      <c r="O9" s="673"/>
      <c r="P9" s="673"/>
      <c r="Q9" s="407"/>
      <c r="R9" s="651"/>
      <c r="S9" s="676"/>
      <c r="T9" s="676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27"/>
    </row>
    <row r="10" ht="55.5" customHeight="1">
      <c r="A10" s="407"/>
      <c r="B10" s="672"/>
      <c r="C10" s="672"/>
      <c r="D10" s="672"/>
      <c r="E10" s="407"/>
      <c r="F10" s="674"/>
      <c r="G10" s="674"/>
      <c r="H10" s="674"/>
      <c r="I10" s="663"/>
      <c r="J10" s="671"/>
      <c r="K10" s="671"/>
      <c r="L10" s="671"/>
      <c r="M10" s="663"/>
      <c r="N10" s="673"/>
      <c r="O10" s="673"/>
      <c r="P10" s="673"/>
      <c r="Q10" s="407"/>
      <c r="R10" s="651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8" t="s">
        <v>656</v>
      </c>
      <c r="AF10" s="638"/>
      <c r="AG10" s="638"/>
      <c r="AH10" s="638"/>
      <c r="AI10" s="638"/>
      <c r="AJ10" s="638"/>
      <c r="AK10" s="638"/>
      <c r="AL10" s="638"/>
      <c r="AM10" s="638"/>
      <c r="AN10" s="638"/>
      <c r="AO10" s="638"/>
      <c r="AP10" s="638"/>
      <c r="AQ10" s="638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7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7"/>
    </row>
    <row r="12" ht="42" customHeight="1" s="405" customFormat="1">
      <c r="A12" s="407"/>
      <c r="B12" s="671"/>
      <c r="C12" s="671"/>
      <c r="D12" s="671"/>
      <c r="E12" s="407"/>
      <c r="F12" s="678"/>
      <c r="G12" s="678"/>
      <c r="H12" s="678"/>
      <c r="I12" s="663"/>
      <c r="J12" s="671"/>
      <c r="K12" s="671"/>
      <c r="L12" s="671"/>
      <c r="M12" s="663"/>
      <c r="N12" s="677"/>
      <c r="O12" s="677"/>
      <c r="P12" s="677"/>
      <c r="Q12" s="407"/>
      <c r="R12" s="651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7"/>
    </row>
    <row r="13" ht="55.5" customHeight="1" s="405" customFormat="1">
      <c r="A13" s="407"/>
      <c r="B13" s="671"/>
      <c r="C13" s="671"/>
      <c r="D13" s="671"/>
      <c r="E13" s="407"/>
      <c r="F13" s="678"/>
      <c r="G13" s="678"/>
      <c r="H13" s="678"/>
      <c r="I13" s="663"/>
      <c r="J13" s="671"/>
      <c r="K13" s="671"/>
      <c r="L13" s="671"/>
      <c r="M13" s="663"/>
      <c r="N13" s="677"/>
      <c r="O13" s="677"/>
      <c r="P13" s="677"/>
      <c r="Q13" s="407"/>
      <c r="R13" s="651"/>
      <c r="S13" s="524" t="s">
        <v>659</v>
      </c>
      <c r="T13" s="488"/>
      <c r="AC13" s="407"/>
      <c r="AD13" s="406"/>
      <c r="AE13" s="407"/>
      <c r="AF13" s="640" t="s">
        <v>646</v>
      </c>
      <c r="AG13" s="639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13740.738750000002</v>
      </c>
      <c r="AH13" s="639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7"/>
    </row>
    <row r="14" ht="55.5" customHeight="1" s="405" customFormat="1">
      <c r="A14" s="407"/>
      <c r="B14" s="671"/>
      <c r="C14" s="671"/>
      <c r="D14" s="671"/>
      <c r="E14" s="407"/>
      <c r="F14" s="678"/>
      <c r="G14" s="678"/>
      <c r="H14" s="678"/>
      <c r="I14" s="663"/>
      <c r="J14" s="671"/>
      <c r="K14" s="671"/>
      <c r="L14" s="671"/>
      <c r="M14" s="663"/>
      <c r="N14" s="677"/>
      <c r="O14" s="677"/>
      <c r="P14" s="677"/>
      <c r="Q14" s="407"/>
      <c r="R14" s="651"/>
      <c r="S14" s="525" t="s">
        <v>661</v>
      </c>
      <c r="T14" s="523"/>
      <c r="U14" s="489" t="s">
        <v>616</v>
      </c>
      <c r="V14" s="632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33"/>
      <c r="X14" s="633"/>
      <c r="Y14" s="633"/>
      <c r="Z14" s="633"/>
      <c r="AA14" s="633"/>
      <c r="AB14" s="633"/>
      <c r="AC14" s="633"/>
      <c r="AD14" s="406"/>
      <c r="AE14" s="407"/>
      <c r="AF14" s="640"/>
      <c r="AG14" s="639"/>
      <c r="AH14" s="639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32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33"/>
      <c r="AX14" s="633"/>
      <c r="AY14" s="633"/>
      <c r="AZ14" s="633"/>
      <c r="BA14" s="633"/>
      <c r="BB14" s="633"/>
      <c r="BC14" s="406"/>
      <c r="BD14" s="484" t="s">
        <v>661</v>
      </c>
      <c r="BE14" s="484"/>
      <c r="BF14" s="489" t="s">
        <v>613</v>
      </c>
      <c r="BG14" s="632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33"/>
      <c r="BI14" s="633"/>
      <c r="BJ14" s="633"/>
      <c r="BK14" s="633"/>
      <c r="BL14" s="633"/>
      <c r="BM14" s="633"/>
      <c r="BN14" s="529"/>
    </row>
    <row r="15" ht="18.75" customHeight="1" s="405" customFormat="1">
      <c r="A15" s="407"/>
      <c r="B15" s="663"/>
      <c r="C15" s="663"/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407"/>
      <c r="R15" s="6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63"/>
      <c r="B16" s="663"/>
      <c r="C16" s="663"/>
      <c r="D16" s="663"/>
      <c r="E16" s="663"/>
      <c r="F16" s="663"/>
      <c r="G16" s="663"/>
      <c r="H16" s="663"/>
      <c r="I16" s="663"/>
      <c r="J16" s="663"/>
      <c r="K16" s="663"/>
      <c r="L16" s="663"/>
      <c r="M16" s="663"/>
      <c r="N16" s="663"/>
      <c r="O16" s="663"/>
      <c r="P16" s="663"/>
      <c r="Q16" s="663"/>
      <c r="R16" s="6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4" t="s">
        <v>653</v>
      </c>
      <c r="AP16" s="635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63"/>
      <c r="B17" s="663"/>
      <c r="C17" s="663"/>
      <c r="D17" s="663"/>
      <c r="E17" s="663"/>
      <c r="F17" s="663"/>
      <c r="G17" s="663"/>
      <c r="H17" s="663"/>
      <c r="I17" s="663"/>
      <c r="J17" s="663"/>
      <c r="K17" s="663"/>
      <c r="L17" s="663"/>
      <c r="M17" s="663"/>
      <c r="N17" s="663"/>
      <c r="O17" s="663"/>
      <c r="P17" s="663"/>
      <c r="Q17" s="663"/>
      <c r="R17" s="6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63"/>
      <c r="B18" s="663"/>
      <c r="C18" s="663"/>
      <c r="D18" s="663"/>
      <c r="E18" s="663"/>
      <c r="F18" s="663"/>
      <c r="G18" s="663"/>
      <c r="H18" s="663"/>
      <c r="I18" s="663"/>
      <c r="J18" s="663"/>
      <c r="K18" s="663"/>
      <c r="L18" s="663"/>
      <c r="M18" s="663"/>
      <c r="N18" s="663"/>
      <c r="O18" s="663"/>
      <c r="P18" s="663"/>
      <c r="Q18" s="663"/>
      <c r="R18" s="6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6"/>
      <c r="AP18" s="63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63"/>
      <c r="B19" s="663"/>
      <c r="C19" s="663"/>
      <c r="D19" s="663"/>
      <c r="E19" s="663"/>
      <c r="F19" s="663"/>
      <c r="G19" s="663"/>
      <c r="H19" s="663"/>
      <c r="I19" s="663"/>
      <c r="J19" s="663"/>
      <c r="K19" s="663"/>
      <c r="L19" s="663"/>
      <c r="M19" s="663"/>
      <c r="N19" s="663"/>
      <c r="O19" s="663"/>
      <c r="P19" s="663"/>
      <c r="Q19" s="663"/>
      <c r="R19" s="6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63"/>
      <c r="B20" s="663"/>
      <c r="C20" s="663"/>
      <c r="D20" s="663"/>
      <c r="E20" s="663"/>
      <c r="F20" s="663"/>
      <c r="G20" s="663"/>
      <c r="H20" s="663"/>
      <c r="I20" s="663"/>
      <c r="J20" s="663"/>
      <c r="K20" s="663"/>
      <c r="L20" s="663"/>
      <c r="M20" s="663"/>
      <c r="N20" s="663"/>
      <c r="O20" s="663"/>
      <c r="P20" s="663"/>
      <c r="Q20" s="663"/>
      <c r="R20" s="6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8" t="s">
        <v>662</v>
      </c>
      <c r="AF20" s="638"/>
      <c r="AG20" s="638"/>
      <c r="AH20" s="638"/>
      <c r="AI20" s="638"/>
      <c r="AJ20" s="638"/>
      <c r="AK20" s="638"/>
      <c r="AL20" s="638"/>
      <c r="AM20" s="638"/>
      <c r="AN20" s="638"/>
      <c r="AO20" s="638"/>
      <c r="AP20" s="638"/>
      <c r="AQ20" s="638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62"/>
      <c r="B21" s="662"/>
      <c r="C21" s="662"/>
      <c r="D21" s="662"/>
      <c r="E21" s="662"/>
      <c r="F21" s="662"/>
      <c r="G21" s="662"/>
      <c r="H21" s="662"/>
      <c r="I21" s="662"/>
      <c r="J21" s="662"/>
      <c r="K21" s="662"/>
      <c r="L21" s="662"/>
      <c r="M21" s="662"/>
      <c r="N21" s="662"/>
      <c r="O21" s="662"/>
      <c r="P21" s="662"/>
      <c r="Q21" s="662"/>
      <c r="R21" s="651"/>
      <c r="S21" s="649" t="s">
        <v>663</v>
      </c>
      <c r="T21" s="650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8"/>
      <c r="AF21" s="638"/>
      <c r="AG21" s="638"/>
      <c r="AH21" s="638"/>
      <c r="AI21" s="638"/>
      <c r="AJ21" s="638"/>
      <c r="AK21" s="638"/>
      <c r="AL21" s="638"/>
      <c r="AM21" s="638"/>
      <c r="AN21" s="638"/>
      <c r="AO21" s="638"/>
      <c r="AP21" s="638"/>
      <c r="AQ21" s="638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62"/>
      <c r="B22" s="662"/>
      <c r="C22" s="662"/>
      <c r="D22" s="662"/>
      <c r="E22" s="662"/>
      <c r="F22" s="662"/>
      <c r="G22" s="662"/>
      <c r="H22" s="662"/>
      <c r="I22" s="662"/>
      <c r="J22" s="662"/>
      <c r="K22" s="662"/>
      <c r="L22" s="662"/>
      <c r="M22" s="662"/>
      <c r="N22" s="662"/>
      <c r="O22" s="662"/>
      <c r="P22" s="662"/>
      <c r="Q22" s="662"/>
      <c r="R22" s="651"/>
      <c r="S22" s="434" t="s">
        <v>646</v>
      </c>
      <c r="T22" s="435">
        <f>Royal2!G86</f>
        <v>208462.49983528923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353289</v>
      </c>
      <c r="AU22" s="472"/>
      <c r="BC22" s="406"/>
      <c r="BD22" s="464" t="s">
        <v>646</v>
      </c>
      <c r="BE22" s="465">
        <f>'بيرسا و لوفرز'!R140</f>
        <v>230906.83849999998</v>
      </c>
      <c r="BF22" s="472"/>
      <c r="BN22" s="407"/>
    </row>
    <row r="23" ht="39.75" customHeight="1" s="405" customFormat="1">
      <c r="A23" s="662"/>
      <c r="B23" s="662"/>
      <c r="C23" s="662"/>
      <c r="D23" s="662"/>
      <c r="E23" s="662"/>
      <c r="F23" s="662"/>
      <c r="G23" s="662"/>
      <c r="H23" s="662"/>
      <c r="I23" s="662"/>
      <c r="J23" s="662"/>
      <c r="K23" s="662"/>
      <c r="L23" s="662"/>
      <c r="M23" s="662"/>
      <c r="N23" s="662"/>
      <c r="O23" s="662"/>
      <c r="P23" s="662"/>
      <c r="Q23" s="662"/>
      <c r="R23" s="651"/>
      <c r="S23" s="436" t="s">
        <v>215</v>
      </c>
      <c r="T23" s="435">
        <f>T22/(AA33*X31)*10000</f>
        <v>13028.906239705577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52" t="s">
        <v>646</v>
      </c>
      <c r="AF23" s="652"/>
      <c r="AG23" s="679">
        <f>'شماسي و كانتليفر'!AE12</f>
        <v>25920.7</v>
      </c>
      <c r="AH23" s="679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17318.088235294119</v>
      </c>
      <c r="AU23" s="472"/>
      <c r="AV23" s="473"/>
      <c r="BC23" s="406"/>
      <c r="BD23" s="464" t="s">
        <v>215</v>
      </c>
      <c r="BE23" s="466">
        <f>BE22/(BE33*BE34/10000)</f>
        <v>26725.328530092589</v>
      </c>
      <c r="BF23" s="472"/>
      <c r="BG23" s="473"/>
      <c r="BN23" s="407"/>
    </row>
    <row r="24" ht="39.75" customHeight="1" s="405" customFormat="1">
      <c r="A24" s="662"/>
      <c r="B24" s="662"/>
      <c r="C24" s="662"/>
      <c r="D24" s="662"/>
      <c r="E24" s="662"/>
      <c r="F24" s="662"/>
      <c r="G24" s="662"/>
      <c r="H24" s="662"/>
      <c r="I24" s="662"/>
      <c r="J24" s="662"/>
      <c r="K24" s="662"/>
      <c r="L24" s="662"/>
      <c r="M24" s="662"/>
      <c r="N24" s="662"/>
      <c r="O24" s="662"/>
      <c r="P24" s="662"/>
      <c r="Q24" s="662"/>
      <c r="R24" s="651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52"/>
      <c r="AF24" s="652"/>
      <c r="AG24" s="679"/>
      <c r="AH24" s="679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62"/>
      <c r="B25" s="662"/>
      <c r="C25" s="662"/>
      <c r="D25" s="662"/>
      <c r="E25" s="662"/>
      <c r="F25" s="662"/>
      <c r="G25" s="662"/>
      <c r="H25" s="662"/>
      <c r="I25" s="662"/>
      <c r="J25" s="662"/>
      <c r="K25" s="662"/>
      <c r="L25" s="662"/>
      <c r="M25" s="662"/>
      <c r="N25" s="662"/>
      <c r="O25" s="662"/>
      <c r="P25" s="662"/>
      <c r="Q25" s="662"/>
      <c r="R25" s="651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62"/>
      <c r="B26" s="662"/>
      <c r="C26" s="662"/>
      <c r="D26" s="662"/>
      <c r="E26" s="662"/>
      <c r="F26" s="662"/>
      <c r="G26" s="662"/>
      <c r="H26" s="662"/>
      <c r="I26" s="662"/>
      <c r="J26" s="662"/>
      <c r="K26" s="662"/>
      <c r="L26" s="662"/>
      <c r="M26" s="662"/>
      <c r="N26" s="662"/>
      <c r="O26" s="662"/>
      <c r="P26" s="662"/>
      <c r="Q26" s="662"/>
      <c r="R26" s="651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53" t="s">
        <v>648</v>
      </c>
      <c r="AH26" s="657" t="s">
        <v>288</v>
      </c>
      <c r="AI26" s="653" t="s">
        <v>376</v>
      </c>
      <c r="AJ26" s="653" t="s">
        <v>651</v>
      </c>
      <c r="AK26" s="653" t="s">
        <v>652</v>
      </c>
      <c r="AL26" s="666" t="s">
        <v>653</v>
      </c>
      <c r="AM26" s="666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62"/>
      <c r="B27" s="662"/>
      <c r="C27" s="662"/>
      <c r="D27" s="662"/>
      <c r="E27" s="662"/>
      <c r="F27" s="662"/>
      <c r="G27" s="662"/>
      <c r="H27" s="662"/>
      <c r="I27" s="662"/>
      <c r="J27" s="662"/>
      <c r="K27" s="662"/>
      <c r="L27" s="662"/>
      <c r="M27" s="662"/>
      <c r="N27" s="662"/>
      <c r="O27" s="662"/>
      <c r="P27" s="662"/>
      <c r="Q27" s="662"/>
      <c r="R27" s="6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54"/>
      <c r="AH27" s="658"/>
      <c r="AI27" s="654"/>
      <c r="AJ27" s="654"/>
      <c r="AK27" s="654"/>
      <c r="AL27" s="667"/>
      <c r="AM27" s="667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62"/>
      <c r="B28" s="662"/>
      <c r="C28" s="662"/>
      <c r="D28" s="662"/>
      <c r="E28" s="662"/>
      <c r="F28" s="662"/>
      <c r="G28" s="662"/>
      <c r="H28" s="662"/>
      <c r="I28" s="662"/>
      <c r="J28" s="662"/>
      <c r="K28" s="662"/>
      <c r="L28" s="662"/>
      <c r="M28" s="662"/>
      <c r="N28" s="662"/>
      <c r="O28" s="662"/>
      <c r="P28" s="662"/>
      <c r="Q28" s="662"/>
      <c r="R28" s="6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55" t="s">
        <v>339</v>
      </c>
      <c r="AH28" s="655" t="s">
        <v>261</v>
      </c>
      <c r="AI28" s="655" t="s">
        <v>318</v>
      </c>
      <c r="AJ28" s="655" t="s">
        <v>44</v>
      </c>
      <c r="AK28" s="655" t="s">
        <v>344</v>
      </c>
      <c r="AL28" s="664"/>
      <c r="AM28" s="664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62"/>
      <c r="B29" s="662"/>
      <c r="C29" s="662"/>
      <c r="D29" s="662"/>
      <c r="E29" s="662"/>
      <c r="F29" s="662"/>
      <c r="G29" s="662"/>
      <c r="H29" s="662"/>
      <c r="I29" s="662"/>
      <c r="J29" s="662"/>
      <c r="K29" s="662"/>
      <c r="L29" s="662"/>
      <c r="M29" s="662"/>
      <c r="N29" s="662"/>
      <c r="O29" s="662"/>
      <c r="P29" s="662"/>
      <c r="Q29" s="662"/>
      <c r="R29" s="6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56"/>
      <c r="AH29" s="656"/>
      <c r="AI29" s="656"/>
      <c r="AJ29" s="656"/>
      <c r="AK29" s="656"/>
      <c r="AL29" s="665"/>
      <c r="AM29" s="665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62"/>
      <c r="B30" s="662"/>
      <c r="C30" s="662"/>
      <c r="D30" s="662"/>
      <c r="E30" s="662"/>
      <c r="F30" s="662"/>
      <c r="G30" s="662"/>
      <c r="H30" s="662"/>
      <c r="I30" s="662"/>
      <c r="J30" s="662"/>
      <c r="K30" s="662"/>
      <c r="L30" s="662"/>
      <c r="M30" s="662"/>
      <c r="N30" s="662"/>
      <c r="O30" s="662"/>
      <c r="P30" s="662"/>
      <c r="Q30" s="662"/>
      <c r="R30" s="651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62"/>
      <c r="B31" s="662"/>
      <c r="C31" s="662"/>
      <c r="D31" s="662"/>
      <c r="E31" s="662"/>
      <c r="F31" s="662"/>
      <c r="G31" s="662"/>
      <c r="H31" s="662"/>
      <c r="I31" s="662"/>
      <c r="J31" s="662"/>
      <c r="K31" s="662"/>
      <c r="L31" s="662"/>
      <c r="M31" s="662"/>
      <c r="N31" s="662"/>
      <c r="O31" s="662"/>
      <c r="P31" s="662"/>
      <c r="Q31" s="662"/>
      <c r="R31" s="651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69" t="s">
        <v>667</v>
      </c>
      <c r="AF31" s="669"/>
      <c r="AG31" s="669"/>
      <c r="AH31" s="669"/>
      <c r="AI31" s="669"/>
      <c r="AJ31" s="669"/>
      <c r="AK31" s="669"/>
      <c r="AL31" s="669"/>
      <c r="AM31" s="669"/>
      <c r="AN31" s="669"/>
      <c r="AO31" s="669"/>
      <c r="AP31" s="669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62"/>
      <c r="B32" s="662"/>
      <c r="C32" s="662"/>
      <c r="D32" s="662"/>
      <c r="E32" s="662"/>
      <c r="F32" s="662"/>
      <c r="G32" s="662"/>
      <c r="H32" s="662"/>
      <c r="I32" s="662"/>
      <c r="J32" s="662"/>
      <c r="K32" s="662"/>
      <c r="L32" s="662"/>
      <c r="M32" s="662"/>
      <c r="N32" s="662"/>
      <c r="O32" s="662"/>
      <c r="P32" s="662"/>
      <c r="Q32" s="662"/>
      <c r="R32" s="651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62"/>
      <c r="B33" s="662"/>
      <c r="C33" s="662"/>
      <c r="D33" s="662"/>
      <c r="E33" s="662"/>
      <c r="F33" s="662"/>
      <c r="G33" s="662"/>
      <c r="H33" s="662"/>
      <c r="I33" s="662"/>
      <c r="J33" s="662"/>
      <c r="K33" s="662"/>
      <c r="L33" s="662"/>
      <c r="M33" s="662"/>
      <c r="N33" s="662"/>
      <c r="O33" s="662"/>
      <c r="P33" s="662"/>
      <c r="Q33" s="662"/>
      <c r="R33" s="651"/>
      <c r="S33" s="432" t="s">
        <v>659</v>
      </c>
      <c r="T33" s="447"/>
      <c r="U33" s="446"/>
      <c r="V33" s="670"/>
      <c r="W33" s="670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62"/>
      <c r="B34" s="662"/>
      <c r="C34" s="662"/>
      <c r="D34" s="662"/>
      <c r="E34" s="662"/>
      <c r="F34" s="662"/>
      <c r="G34" s="662"/>
      <c r="H34" s="662"/>
      <c r="I34" s="662"/>
      <c r="J34" s="662"/>
      <c r="K34" s="662"/>
      <c r="L34" s="662"/>
      <c r="M34" s="662"/>
      <c r="N34" s="662"/>
      <c r="O34" s="662"/>
      <c r="P34" s="662"/>
      <c r="Q34" s="662"/>
      <c r="R34" s="651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41"/>
      <c r="BA34" s="641"/>
      <c r="BB34" s="641"/>
      <c r="BD34" s="430" t="s">
        <v>661</v>
      </c>
      <c r="BE34" s="430">
        <v>270</v>
      </c>
      <c r="BF34" s="478"/>
      <c r="BK34" s="641"/>
      <c r="BL34" s="641"/>
      <c r="BM34" s="641"/>
      <c r="BN34" s="407"/>
    </row>
    <row r="35" ht="41.25" customHeight="1">
      <c r="A35" s="662"/>
      <c r="B35" s="662"/>
      <c r="C35" s="662"/>
      <c r="D35" s="662"/>
      <c r="E35" s="662"/>
      <c r="F35" s="662"/>
      <c r="G35" s="662"/>
      <c r="H35" s="662"/>
      <c r="I35" s="662"/>
      <c r="J35" s="662"/>
      <c r="K35" s="662"/>
      <c r="L35" s="662"/>
      <c r="M35" s="662"/>
      <c r="N35" s="662"/>
      <c r="O35" s="662"/>
      <c r="P35" s="662"/>
      <c r="Q35" s="662"/>
      <c r="R35" s="65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62"/>
      <c r="B36" s="662"/>
      <c r="C36" s="662"/>
      <c r="D36" s="662"/>
      <c r="E36" s="662"/>
      <c r="F36" s="662"/>
      <c r="G36" s="662"/>
      <c r="H36" s="662"/>
      <c r="I36" s="662"/>
      <c r="J36" s="662"/>
      <c r="K36" s="662"/>
      <c r="L36" s="662"/>
      <c r="M36" s="662"/>
      <c r="N36" s="662"/>
      <c r="O36" s="662"/>
      <c r="P36" s="662"/>
      <c r="Q36" s="662"/>
      <c r="R36" s="65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62"/>
      <c r="B37" s="662"/>
      <c r="C37" s="662"/>
      <c r="D37" s="662"/>
      <c r="E37" s="662"/>
      <c r="F37" s="662"/>
      <c r="G37" s="662"/>
      <c r="H37" s="662"/>
      <c r="I37" s="662"/>
      <c r="J37" s="662"/>
      <c r="K37" s="662"/>
      <c r="L37" s="662"/>
      <c r="M37" s="662"/>
      <c r="N37" s="662"/>
      <c r="O37" s="662"/>
      <c r="P37" s="662"/>
      <c r="Q37" s="662"/>
      <c r="R37" s="651"/>
      <c r="S37" s="407"/>
      <c r="T37" s="407"/>
      <c r="U37" s="66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68"/>
      <c r="W37" s="668"/>
      <c r="X37" s="668"/>
      <c r="Y37" s="668"/>
      <c r="Z37" s="668"/>
      <c r="AA37" s="668"/>
      <c r="AB37" s="668"/>
      <c r="AC37" s="668"/>
      <c r="AD37" s="406"/>
      <c r="AR37" s="406"/>
      <c r="AS37" s="644">
        <f>('بيرسا و لوفرز'!F24+'بيرسا و لوفرز'!V55+'بيرسا و لوفرز'!V63)*1.35</f>
        <v>214443.72000000003</v>
      </c>
      <c r="AT37" s="645"/>
      <c r="BD37" s="644">
        <f>('بيرسا و لوفرز'!F97+'بيرسا و لوفرز'!V126+'بيرسا و لوفرز'!V134)*1.35</f>
        <v>122467.8825</v>
      </c>
      <c r="BE37" s="645"/>
      <c r="BN37" s="407"/>
    </row>
    <row r="38" ht="41.25" customHeight="1">
      <c r="A38" s="663"/>
      <c r="B38" s="663"/>
      <c r="C38" s="663"/>
      <c r="D38" s="663"/>
      <c r="E38" s="663"/>
      <c r="F38" s="663"/>
      <c r="G38" s="663"/>
      <c r="H38" s="663"/>
      <c r="I38" s="663"/>
      <c r="J38" s="663"/>
      <c r="K38" s="663"/>
      <c r="L38" s="663"/>
      <c r="M38" s="663"/>
      <c r="N38" s="663"/>
      <c r="O38" s="663"/>
      <c r="P38" s="663"/>
      <c r="Q38" s="663"/>
      <c r="R38" s="6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44">
        <f>AS37/(AT34*AT33/10000)</f>
        <v>10511.947058823531</v>
      </c>
      <c r="AT38" s="645"/>
      <c r="BD38" s="644">
        <f>BD37/(BE33*BE34/10000)</f>
        <v>14174.5234375</v>
      </c>
      <c r="BE38" s="645"/>
      <c r="BK38" s="485">
        <f>BE33</f>
        <v>320</v>
      </c>
      <c r="BN38" s="407"/>
    </row>
    <row r="39" ht="41.25" customHeight="1">
      <c r="A39" s="663"/>
      <c r="B39" s="663"/>
      <c r="C39" s="663"/>
      <c r="D39" s="663"/>
      <c r="E39" s="663"/>
      <c r="F39" s="663"/>
      <c r="G39" s="663"/>
      <c r="H39" s="663"/>
      <c r="I39" s="663"/>
      <c r="J39" s="663"/>
      <c r="K39" s="663"/>
      <c r="L39" s="663"/>
      <c r="M39" s="663"/>
      <c r="N39" s="663"/>
      <c r="O39" s="663"/>
      <c r="P39" s="663"/>
      <c r="Q39" s="663"/>
      <c r="R39" s="651"/>
      <c r="S39" s="663"/>
      <c r="T39" s="663"/>
      <c r="U39" s="663"/>
      <c r="V39" s="663"/>
      <c r="W39" s="663"/>
      <c r="X39" s="663"/>
      <c r="Y39" s="663"/>
      <c r="Z39" s="663"/>
      <c r="AA39" s="663"/>
      <c r="AB39" s="663"/>
      <c r="AC39" s="663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63"/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3"/>
      <c r="M40" s="663"/>
      <c r="N40" s="663"/>
      <c r="O40" s="663"/>
      <c r="P40" s="663"/>
      <c r="Q40" s="663"/>
      <c r="R40" s="651"/>
      <c r="S40" s="663"/>
      <c r="T40" s="663"/>
      <c r="U40" s="663"/>
      <c r="V40" s="663"/>
      <c r="W40" s="663"/>
      <c r="X40" s="663"/>
      <c r="Y40" s="663"/>
      <c r="Z40" s="663"/>
      <c r="AA40" s="663"/>
      <c r="AB40" s="663"/>
      <c r="AC40" s="663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63"/>
      <c r="B41" s="663"/>
      <c r="C41" s="663"/>
      <c r="D41" s="663"/>
      <c r="E41" s="663"/>
      <c r="F41" s="663"/>
      <c r="G41" s="663"/>
      <c r="H41" s="663"/>
      <c r="I41" s="663"/>
      <c r="J41" s="663"/>
      <c r="K41" s="663"/>
      <c r="L41" s="663"/>
      <c r="M41" s="663"/>
      <c r="N41" s="663"/>
      <c r="O41" s="663"/>
      <c r="P41" s="663"/>
      <c r="Q41" s="663"/>
      <c r="R41" s="651"/>
      <c r="S41" s="663"/>
      <c r="T41" s="663"/>
      <c r="U41" s="663"/>
      <c r="V41" s="663"/>
      <c r="W41" s="663"/>
      <c r="X41" s="663"/>
      <c r="Y41" s="663"/>
      <c r="Z41" s="663"/>
      <c r="AA41" s="663"/>
      <c r="AB41" s="663"/>
      <c r="AC41" s="663"/>
      <c r="AD41" s="406"/>
      <c r="AE41" s="660" t="s">
        <v>669</v>
      </c>
      <c r="AF41" s="660"/>
      <c r="AG41" s="660"/>
      <c r="AH41" s="660"/>
      <c r="AI41" s="660"/>
      <c r="AJ41" s="660"/>
      <c r="AK41" s="660"/>
      <c r="AL41" s="660"/>
      <c r="AM41" s="660"/>
      <c r="AN41" s="660"/>
      <c r="AO41" s="660"/>
      <c r="AP41" s="660"/>
      <c r="AQ41" s="660"/>
      <c r="AR41" s="406"/>
      <c r="AS41" s="646" t="s">
        <v>670</v>
      </c>
      <c r="AT41" s="646"/>
      <c r="AU41" s="646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63"/>
      <c r="B42" s="663"/>
      <c r="C42" s="663"/>
      <c r="D42" s="663"/>
      <c r="E42" s="663"/>
      <c r="F42" s="663"/>
      <c r="G42" s="663"/>
      <c r="H42" s="663"/>
      <c r="I42" s="663"/>
      <c r="J42" s="663"/>
      <c r="K42" s="663"/>
      <c r="L42" s="663"/>
      <c r="M42" s="663"/>
      <c r="N42" s="663"/>
      <c r="O42" s="663"/>
      <c r="P42" s="663"/>
      <c r="Q42" s="663"/>
      <c r="R42" s="651"/>
      <c r="S42" s="649" t="s">
        <v>672</v>
      </c>
      <c r="T42" s="650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60"/>
      <c r="AF42" s="660"/>
      <c r="AG42" s="660"/>
      <c r="AH42" s="660"/>
      <c r="AI42" s="660"/>
      <c r="AJ42" s="660"/>
      <c r="AK42" s="660"/>
      <c r="AL42" s="660"/>
      <c r="AM42" s="660"/>
      <c r="AN42" s="660"/>
      <c r="AO42" s="660"/>
      <c r="AP42" s="660"/>
      <c r="AQ42" s="660"/>
      <c r="AR42" s="406"/>
      <c r="AS42" s="464" t="s">
        <v>646</v>
      </c>
      <c r="AT42" s="465">
        <f>'بيرسا و لوفرز'!BM68</f>
        <v>230663.12099999999</v>
      </c>
      <c r="AU42" s="472"/>
      <c r="BD42" s="464" t="s">
        <v>646</v>
      </c>
      <c r="BE42" s="465">
        <f>'بيرسا و لوفرز'!BM139</f>
        <v>245652.12099999999</v>
      </c>
      <c r="BF42" s="472"/>
      <c r="BN42" s="407"/>
    </row>
    <row r="43" ht="42" customHeight="1">
      <c r="A43" s="662" t="s">
        <v>673</v>
      </c>
      <c r="B43" s="662"/>
      <c r="C43" s="662"/>
      <c r="D43" s="662"/>
      <c r="E43" s="662"/>
      <c r="F43" s="662"/>
      <c r="G43" s="662"/>
      <c r="H43" s="662"/>
      <c r="I43" s="662"/>
      <c r="J43" s="662"/>
      <c r="K43" s="662"/>
      <c r="L43" s="662"/>
      <c r="M43" s="662"/>
      <c r="N43" s="662"/>
      <c r="O43" s="662"/>
      <c r="P43" s="662"/>
      <c r="Q43" s="662"/>
      <c r="R43" s="651"/>
      <c r="S43" s="434" t="s">
        <v>646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60"/>
      <c r="AF43" s="660"/>
      <c r="AG43" s="660"/>
      <c r="AH43" s="660"/>
      <c r="AI43" s="660"/>
      <c r="AJ43" s="660"/>
      <c r="AK43" s="660"/>
      <c r="AL43" s="660"/>
      <c r="AM43" s="660"/>
      <c r="AN43" s="660"/>
      <c r="AO43" s="660"/>
      <c r="AP43" s="660"/>
      <c r="AQ43" s="660"/>
      <c r="AR43" s="406"/>
      <c r="AS43" s="464" t="s">
        <v>215</v>
      </c>
      <c r="AT43" s="466">
        <f>AT42/(AT53*AT54/10000)</f>
        <v>11533.15605</v>
      </c>
      <c r="AU43" s="472"/>
      <c r="AV43" s="473"/>
      <c r="BD43" s="464" t="s">
        <v>215</v>
      </c>
      <c r="BE43" s="466">
        <f>BE42/(BE53*BE54/10000)</f>
        <v>12282.606049999999</v>
      </c>
      <c r="BF43" s="472"/>
      <c r="BG43" s="473"/>
      <c r="BN43" s="407"/>
    </row>
    <row r="44" ht="42" customHeight="1">
      <c r="A44" s="662"/>
      <c r="B44" s="662"/>
      <c r="C44" s="662"/>
      <c r="D44" s="662"/>
      <c r="E44" s="662"/>
      <c r="F44" s="662"/>
      <c r="G44" s="662"/>
      <c r="H44" s="662"/>
      <c r="I44" s="662"/>
      <c r="J44" s="662"/>
      <c r="K44" s="662"/>
      <c r="L44" s="662"/>
      <c r="M44" s="662"/>
      <c r="N44" s="662"/>
      <c r="O44" s="662"/>
      <c r="P44" s="662"/>
      <c r="Q44" s="662"/>
      <c r="R44" s="651"/>
      <c r="S44" s="436" t="s">
        <v>215</v>
      </c>
      <c r="T44" s="435">
        <f>T43/T51</f>
        <v>3741.92</v>
      </c>
      <c r="U44" s="450"/>
      <c r="V44" s="450"/>
      <c r="W44" s="450"/>
      <c r="X44" s="450"/>
      <c r="Y44" s="661"/>
      <c r="Z44" s="661"/>
      <c r="AA44" s="450"/>
      <c r="AB44" s="450"/>
      <c r="AC44" s="450"/>
      <c r="AD44" s="406"/>
      <c r="AE44" s="660"/>
      <c r="AF44" s="660"/>
      <c r="AG44" s="660"/>
      <c r="AH44" s="660"/>
      <c r="AI44" s="660"/>
      <c r="AJ44" s="660"/>
      <c r="AK44" s="660"/>
      <c r="AL44" s="660"/>
      <c r="AM44" s="660"/>
      <c r="AN44" s="660"/>
      <c r="AO44" s="660"/>
      <c r="AP44" s="660"/>
      <c r="AQ44" s="660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62"/>
      <c r="B45" s="662"/>
      <c r="C45" s="662"/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2"/>
      <c r="O45" s="662"/>
      <c r="P45" s="662"/>
      <c r="Q45" s="662"/>
      <c r="R45" s="651"/>
      <c r="S45" s="432" t="s">
        <v>647</v>
      </c>
      <c r="T45" s="433" t="s">
        <v>114</v>
      </c>
      <c r="U45" s="450"/>
      <c r="V45" s="450"/>
      <c r="W45" s="450"/>
      <c r="X45" s="450"/>
      <c r="Y45" s="661"/>
      <c r="Z45" s="661"/>
      <c r="AA45" s="450"/>
      <c r="AB45" s="450"/>
      <c r="AC45" s="450"/>
      <c r="AD45" s="406"/>
      <c r="AE45" s="660"/>
      <c r="AF45" s="660"/>
      <c r="AG45" s="660"/>
      <c r="AH45" s="660"/>
      <c r="AI45" s="660"/>
      <c r="AJ45" s="660"/>
      <c r="AK45" s="660"/>
      <c r="AL45" s="660"/>
      <c r="AM45" s="660"/>
      <c r="AN45" s="660"/>
      <c r="AO45" s="660"/>
      <c r="AP45" s="660"/>
      <c r="AQ45" s="660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62"/>
      <c r="B46" s="662"/>
      <c r="C46" s="662"/>
      <c r="D46" s="662"/>
      <c r="E46" s="662"/>
      <c r="F46" s="662"/>
      <c r="G46" s="662"/>
      <c r="H46" s="662"/>
      <c r="I46" s="662"/>
      <c r="J46" s="662"/>
      <c r="K46" s="662"/>
      <c r="L46" s="662"/>
      <c r="M46" s="662"/>
      <c r="N46" s="662"/>
      <c r="O46" s="662"/>
      <c r="P46" s="662"/>
      <c r="Q46" s="662"/>
      <c r="R46" s="651"/>
      <c r="S46" s="437" t="s">
        <v>608</v>
      </c>
      <c r="T46" s="438" t="s">
        <v>612</v>
      </c>
      <c r="U46" s="450"/>
      <c r="V46" s="450"/>
      <c r="W46" s="450"/>
      <c r="X46" s="450"/>
      <c r="Y46" s="661"/>
      <c r="Z46" s="661"/>
      <c r="AA46" s="450"/>
      <c r="AB46" s="450"/>
      <c r="AC46" s="450"/>
      <c r="AD46" s="406"/>
      <c r="AE46" s="660"/>
      <c r="AF46" s="660"/>
      <c r="AG46" s="660"/>
      <c r="AH46" s="660"/>
      <c r="AI46" s="660"/>
      <c r="AJ46" s="660"/>
      <c r="AK46" s="660"/>
      <c r="AL46" s="660"/>
      <c r="AM46" s="660"/>
      <c r="AN46" s="660"/>
      <c r="AO46" s="660"/>
      <c r="AP46" s="660"/>
      <c r="AQ46" s="660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62"/>
      <c r="B47" s="662"/>
      <c r="C47" s="662"/>
      <c r="D47" s="662"/>
      <c r="E47" s="662"/>
      <c r="F47" s="662"/>
      <c r="G47" s="662"/>
      <c r="H47" s="662"/>
      <c r="I47" s="662"/>
      <c r="J47" s="662"/>
      <c r="K47" s="662"/>
      <c r="L47" s="662"/>
      <c r="M47" s="662"/>
      <c r="N47" s="662"/>
      <c r="O47" s="662"/>
      <c r="P47" s="662"/>
      <c r="Q47" s="662"/>
      <c r="R47" s="651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60"/>
      <c r="AF47" s="660"/>
      <c r="AG47" s="660"/>
      <c r="AH47" s="660"/>
      <c r="AI47" s="660"/>
      <c r="AJ47" s="660"/>
      <c r="AK47" s="660"/>
      <c r="AL47" s="660"/>
      <c r="AM47" s="660"/>
      <c r="AN47" s="660"/>
      <c r="AO47" s="660"/>
      <c r="AP47" s="660"/>
      <c r="AQ47" s="660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62"/>
      <c r="B48" s="662"/>
      <c r="C48" s="662"/>
      <c r="D48" s="662"/>
      <c r="E48" s="662"/>
      <c r="F48" s="662"/>
      <c r="G48" s="662"/>
      <c r="H48" s="662"/>
      <c r="I48" s="662"/>
      <c r="J48" s="662"/>
      <c r="K48" s="662"/>
      <c r="L48" s="662"/>
      <c r="M48" s="662"/>
      <c r="N48" s="662"/>
      <c r="O48" s="662"/>
      <c r="P48" s="662"/>
      <c r="Q48" s="662"/>
      <c r="R48" s="65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60"/>
      <c r="AF48" s="660"/>
      <c r="AG48" s="660"/>
      <c r="AH48" s="660"/>
      <c r="AI48" s="660"/>
      <c r="AJ48" s="660"/>
      <c r="AK48" s="660"/>
      <c r="AL48" s="660"/>
      <c r="AM48" s="660"/>
      <c r="AN48" s="660"/>
      <c r="AO48" s="660"/>
      <c r="AP48" s="660"/>
      <c r="AQ48" s="660"/>
      <c r="AR48" s="406"/>
      <c r="AS48" s="431"/>
      <c r="AT48" s="431"/>
      <c r="BD48" s="431"/>
      <c r="BE48" s="431"/>
      <c r="BN48" s="407"/>
    </row>
    <row r="49" ht="42" customHeight="1">
      <c r="A49" s="662"/>
      <c r="B49" s="662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5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60"/>
      <c r="AF49" s="660"/>
      <c r="AG49" s="660"/>
      <c r="AH49" s="660"/>
      <c r="AI49" s="660"/>
      <c r="AJ49" s="660"/>
      <c r="AK49" s="660"/>
      <c r="AL49" s="660"/>
      <c r="AM49" s="660"/>
      <c r="AN49" s="660"/>
      <c r="AO49" s="660"/>
      <c r="AP49" s="660"/>
      <c r="AQ49" s="660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62"/>
      <c r="B50" s="662"/>
      <c r="C50" s="662"/>
      <c r="D50" s="662"/>
      <c r="E50" s="662"/>
      <c r="F50" s="662"/>
      <c r="G50" s="662"/>
      <c r="H50" s="662"/>
      <c r="I50" s="662"/>
      <c r="J50" s="662"/>
      <c r="K50" s="662"/>
      <c r="L50" s="662"/>
      <c r="M50" s="662"/>
      <c r="N50" s="662"/>
      <c r="O50" s="662"/>
      <c r="P50" s="662"/>
      <c r="Q50" s="662"/>
      <c r="R50" s="65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60"/>
      <c r="AF50" s="660"/>
      <c r="AG50" s="660"/>
      <c r="AH50" s="660"/>
      <c r="AI50" s="660"/>
      <c r="AJ50" s="660"/>
      <c r="AK50" s="660"/>
      <c r="AL50" s="660"/>
      <c r="AM50" s="660"/>
      <c r="AN50" s="660"/>
      <c r="AO50" s="660"/>
      <c r="AP50" s="660"/>
      <c r="AQ50" s="660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62"/>
      <c r="B51" s="662"/>
      <c r="C51" s="662"/>
      <c r="D51" s="662"/>
      <c r="E51" s="662"/>
      <c r="F51" s="662"/>
      <c r="G51" s="662"/>
      <c r="H51" s="662"/>
      <c r="I51" s="662"/>
      <c r="J51" s="662"/>
      <c r="K51" s="662"/>
      <c r="L51" s="662"/>
      <c r="M51" s="662"/>
      <c r="N51" s="662"/>
      <c r="O51" s="662"/>
      <c r="P51" s="662"/>
      <c r="Q51" s="662"/>
      <c r="R51" s="651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60"/>
      <c r="AF51" s="660"/>
      <c r="AG51" s="660"/>
      <c r="AH51" s="660"/>
      <c r="AI51" s="660"/>
      <c r="AJ51" s="660"/>
      <c r="AK51" s="660"/>
      <c r="AL51" s="660"/>
      <c r="AM51" s="660"/>
      <c r="AN51" s="660"/>
      <c r="AO51" s="660"/>
      <c r="AP51" s="660"/>
      <c r="AQ51" s="660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62"/>
      <c r="B52" s="662"/>
      <c r="C52" s="662"/>
      <c r="D52" s="662"/>
      <c r="E52" s="662"/>
      <c r="F52" s="662"/>
      <c r="G52" s="662"/>
      <c r="H52" s="662"/>
      <c r="I52" s="662"/>
      <c r="J52" s="662"/>
      <c r="K52" s="662"/>
      <c r="L52" s="662"/>
      <c r="M52" s="662"/>
      <c r="N52" s="662"/>
      <c r="O52" s="662"/>
      <c r="P52" s="662"/>
      <c r="Q52" s="662"/>
      <c r="R52" s="651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60"/>
      <c r="AF52" s="660"/>
      <c r="AG52" s="660"/>
      <c r="AH52" s="660"/>
      <c r="AI52" s="660"/>
      <c r="AJ52" s="660"/>
      <c r="AK52" s="660"/>
      <c r="AL52" s="660"/>
      <c r="AM52" s="660"/>
      <c r="AN52" s="660"/>
      <c r="AO52" s="660"/>
      <c r="AP52" s="660"/>
      <c r="AQ52" s="660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62"/>
      <c r="B53" s="662"/>
      <c r="C53" s="662"/>
      <c r="D53" s="662"/>
      <c r="E53" s="662"/>
      <c r="F53" s="662"/>
      <c r="G53" s="662"/>
      <c r="H53" s="662"/>
      <c r="I53" s="662"/>
      <c r="J53" s="662"/>
      <c r="K53" s="662"/>
      <c r="L53" s="662"/>
      <c r="M53" s="662"/>
      <c r="N53" s="662"/>
      <c r="O53" s="662"/>
      <c r="P53" s="662"/>
      <c r="Q53" s="662"/>
      <c r="R53" s="651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60"/>
      <c r="AF53" s="660"/>
      <c r="AG53" s="660"/>
      <c r="AH53" s="660"/>
      <c r="AI53" s="660"/>
      <c r="AJ53" s="660"/>
      <c r="AK53" s="660"/>
      <c r="AL53" s="660"/>
      <c r="AM53" s="660"/>
      <c r="AN53" s="660"/>
      <c r="AO53" s="660"/>
      <c r="AP53" s="660"/>
      <c r="AQ53" s="660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62"/>
      <c r="B54" s="662"/>
      <c r="C54" s="662"/>
      <c r="D54" s="662"/>
      <c r="E54" s="662"/>
      <c r="F54" s="662"/>
      <c r="G54" s="662"/>
      <c r="H54" s="662"/>
      <c r="I54" s="662"/>
      <c r="J54" s="662"/>
      <c r="K54" s="662"/>
      <c r="L54" s="662"/>
      <c r="M54" s="662"/>
      <c r="N54" s="662"/>
      <c r="O54" s="662"/>
      <c r="P54" s="662"/>
      <c r="Q54" s="662"/>
      <c r="R54" s="651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60"/>
      <c r="AF54" s="660"/>
      <c r="AG54" s="660"/>
      <c r="AH54" s="660"/>
      <c r="AI54" s="660"/>
      <c r="AJ54" s="660"/>
      <c r="AK54" s="660"/>
      <c r="AL54" s="660"/>
      <c r="AM54" s="660"/>
      <c r="AN54" s="660"/>
      <c r="AO54" s="660"/>
      <c r="AP54" s="660"/>
      <c r="AQ54" s="660"/>
      <c r="AR54" s="406"/>
      <c r="AS54" s="430" t="s">
        <v>661</v>
      </c>
      <c r="AT54" s="430">
        <v>400</v>
      </c>
      <c r="AU54" s="478"/>
      <c r="AZ54" s="641"/>
      <c r="BA54" s="641"/>
      <c r="BB54" s="641"/>
      <c r="BD54" s="430" t="s">
        <v>661</v>
      </c>
      <c r="BE54" s="430">
        <v>400</v>
      </c>
      <c r="BF54" s="478"/>
      <c r="BK54" s="641"/>
      <c r="BL54" s="641"/>
      <c r="BM54" s="641"/>
      <c r="BN54" s="407"/>
    </row>
    <row r="55" ht="42" customHeight="1">
      <c r="A55" s="662"/>
      <c r="B55" s="662"/>
      <c r="C55" s="662"/>
      <c r="D55" s="662"/>
      <c r="E55" s="662"/>
      <c r="F55" s="662"/>
      <c r="G55" s="662"/>
      <c r="H55" s="662"/>
      <c r="I55" s="662"/>
      <c r="J55" s="662"/>
      <c r="K55" s="662"/>
      <c r="L55" s="662"/>
      <c r="M55" s="662"/>
      <c r="N55" s="662"/>
      <c r="O55" s="662"/>
      <c r="P55" s="662"/>
      <c r="Q55" s="662"/>
      <c r="R55" s="651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60"/>
      <c r="AF55" s="660"/>
      <c r="AG55" s="660"/>
      <c r="AH55" s="660"/>
      <c r="AI55" s="660"/>
      <c r="AJ55" s="660"/>
      <c r="AK55" s="660"/>
      <c r="AL55" s="660"/>
      <c r="AM55" s="660"/>
      <c r="AN55" s="660"/>
      <c r="AO55" s="660"/>
      <c r="AP55" s="660"/>
      <c r="AQ55" s="660"/>
      <c r="AR55" s="406"/>
      <c r="AS55" s="407"/>
      <c r="AT55" s="407"/>
      <c r="BD55" s="407"/>
      <c r="BE55" s="407"/>
      <c r="BN55" s="407"/>
    </row>
    <row r="56" ht="42" customHeight="1">
      <c r="A56" s="662"/>
      <c r="B56" s="662"/>
      <c r="C56" s="662"/>
      <c r="D56" s="662"/>
      <c r="E56" s="662"/>
      <c r="F56" s="662"/>
      <c r="G56" s="662"/>
      <c r="H56" s="662"/>
      <c r="I56" s="662"/>
      <c r="J56" s="662"/>
      <c r="K56" s="662"/>
      <c r="L56" s="662"/>
      <c r="M56" s="662"/>
      <c r="N56" s="662"/>
      <c r="O56" s="662"/>
      <c r="P56" s="662"/>
      <c r="Q56" s="662"/>
      <c r="R56" s="65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60"/>
      <c r="AF56" s="660"/>
      <c r="AG56" s="660"/>
      <c r="AH56" s="660"/>
      <c r="AI56" s="660"/>
      <c r="AJ56" s="660"/>
      <c r="AK56" s="660"/>
      <c r="AL56" s="660"/>
      <c r="AM56" s="660"/>
      <c r="AN56" s="660"/>
      <c r="AO56" s="660"/>
      <c r="AP56" s="660"/>
      <c r="AQ56" s="660"/>
      <c r="AR56" s="406"/>
      <c r="AS56" s="407"/>
      <c r="AT56" s="407"/>
      <c r="BD56" s="407"/>
      <c r="BE56" s="407"/>
      <c r="BN56" s="407"/>
    </row>
    <row r="57" ht="42" customHeight="1">
      <c r="A57" s="662"/>
      <c r="B57" s="662"/>
      <c r="C57" s="662"/>
      <c r="D57" s="662"/>
      <c r="E57" s="662"/>
      <c r="F57" s="662"/>
      <c r="G57" s="662"/>
      <c r="H57" s="662"/>
      <c r="I57" s="662"/>
      <c r="J57" s="662"/>
      <c r="K57" s="662"/>
      <c r="L57" s="662"/>
      <c r="M57" s="662"/>
      <c r="N57" s="662"/>
      <c r="O57" s="662"/>
      <c r="P57" s="662"/>
      <c r="Q57" s="662"/>
      <c r="R57" s="65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60"/>
      <c r="AF57" s="660"/>
      <c r="AG57" s="660"/>
      <c r="AH57" s="660"/>
      <c r="AI57" s="660"/>
      <c r="AJ57" s="660"/>
      <c r="AK57" s="660"/>
      <c r="AL57" s="660"/>
      <c r="AM57" s="660"/>
      <c r="AN57" s="660"/>
      <c r="AO57" s="660"/>
      <c r="AP57" s="660"/>
      <c r="AQ57" s="660"/>
      <c r="AR57" s="406"/>
      <c r="AS57" s="642">
        <f>('بيرسا و لوفرز'!BA14+'بيرسا و لوفرز'!BP62+'بيرسا و لوفرز'!BQ54)*1.35</f>
        <v>133494.345</v>
      </c>
      <c r="AT57" s="643"/>
      <c r="BD57" s="642">
        <f>('بيرسا و لوفرز'!BA85+'بيرسا و لوفرز'!BP133+'بيرسا و لوفرز'!BQ125)*1.35</f>
        <v>133494.345</v>
      </c>
      <c r="BE57" s="643"/>
      <c r="BN57" s="407"/>
    </row>
    <row r="58" ht="42" customHeight="1">
      <c r="A58" s="662"/>
      <c r="B58" s="662"/>
      <c r="C58" s="662"/>
      <c r="D58" s="662"/>
      <c r="E58" s="662"/>
      <c r="F58" s="662"/>
      <c r="G58" s="662"/>
      <c r="H58" s="662"/>
      <c r="I58" s="662"/>
      <c r="J58" s="662"/>
      <c r="K58" s="662"/>
      <c r="L58" s="662"/>
      <c r="M58" s="662"/>
      <c r="N58" s="662"/>
      <c r="O58" s="662"/>
      <c r="P58" s="662"/>
      <c r="Q58" s="662"/>
      <c r="R58" s="65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60"/>
      <c r="AF58" s="660"/>
      <c r="AG58" s="660"/>
      <c r="AH58" s="660"/>
      <c r="AI58" s="660"/>
      <c r="AJ58" s="660"/>
      <c r="AK58" s="660"/>
      <c r="AL58" s="660"/>
      <c r="AM58" s="660"/>
      <c r="AN58" s="660"/>
      <c r="AO58" s="660"/>
      <c r="AP58" s="660"/>
      <c r="AQ58" s="660"/>
      <c r="AR58" s="406"/>
      <c r="AS58" s="647">
        <f>AS57/(AT53*AT54/10000)</f>
        <v>6674.71725</v>
      </c>
      <c r="AT58" s="648"/>
      <c r="BD58" s="647">
        <f>BD57/(BE53*BE54/10000)</f>
        <v>6674.71725</v>
      </c>
      <c r="BE58" s="648"/>
      <c r="BN58" s="407"/>
    </row>
    <row r="59" ht="39" customHeight="1">
      <c r="A59" s="662"/>
      <c r="B59" s="662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62" t="s">
        <v>677</v>
      </c>
      <c r="B60" s="662"/>
      <c r="C60" s="662"/>
      <c r="D60" s="662"/>
      <c r="E60" s="662"/>
      <c r="F60" s="662"/>
      <c r="G60" s="662"/>
      <c r="H60" s="662"/>
      <c r="I60" s="662"/>
      <c r="J60" s="662"/>
      <c r="K60" s="662"/>
      <c r="L60" s="662"/>
      <c r="M60" s="662"/>
      <c r="N60" s="662"/>
      <c r="O60" s="662"/>
      <c r="P60" s="662"/>
      <c r="Q60" s="662"/>
      <c r="R60" s="651"/>
      <c r="S60" s="649" t="s">
        <v>672</v>
      </c>
      <c r="T60" s="650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62"/>
      <c r="B61" s="662"/>
      <c r="C61" s="662"/>
      <c r="D61" s="662"/>
      <c r="E61" s="662"/>
      <c r="F61" s="662"/>
      <c r="G61" s="662"/>
      <c r="H61" s="662"/>
      <c r="I61" s="662"/>
      <c r="J61" s="662"/>
      <c r="K61" s="662"/>
      <c r="L61" s="662"/>
      <c r="M61" s="662"/>
      <c r="N61" s="662"/>
      <c r="O61" s="662"/>
      <c r="P61" s="662"/>
      <c r="Q61" s="662"/>
      <c r="R61" s="651"/>
      <c r="S61" s="434" t="s">
        <v>646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62"/>
      <c r="B62" s="662"/>
      <c r="C62" s="662"/>
      <c r="D62" s="662"/>
      <c r="E62" s="662"/>
      <c r="F62" s="662"/>
      <c r="G62" s="662"/>
      <c r="H62" s="662"/>
      <c r="I62" s="662"/>
      <c r="J62" s="662"/>
      <c r="K62" s="662"/>
      <c r="L62" s="662"/>
      <c r="M62" s="662"/>
      <c r="N62" s="662"/>
      <c r="O62" s="662"/>
      <c r="P62" s="662"/>
      <c r="Q62" s="662"/>
      <c r="R62" s="651"/>
      <c r="S62" s="436" t="s">
        <v>215</v>
      </c>
      <c r="T62" s="435">
        <f>T61/T69</f>
        <v>4222.322</v>
      </c>
      <c r="U62" s="450"/>
      <c r="V62" s="450"/>
      <c r="W62" s="450"/>
      <c r="X62" s="450"/>
      <c r="Y62" s="661"/>
      <c r="Z62" s="661"/>
      <c r="AA62" s="450"/>
      <c r="AB62" s="450"/>
      <c r="AC62" s="450"/>
      <c r="AD62" s="406"/>
      <c r="AR62" s="406"/>
      <c r="BN62" s="407"/>
    </row>
    <row r="63" ht="40.5" customHeight="1">
      <c r="A63" s="662"/>
      <c r="B63" s="662"/>
      <c r="C63" s="662"/>
      <c r="D63" s="662"/>
      <c r="E63" s="662"/>
      <c r="F63" s="662"/>
      <c r="G63" s="662"/>
      <c r="H63" s="662"/>
      <c r="I63" s="662"/>
      <c r="J63" s="662"/>
      <c r="K63" s="662"/>
      <c r="L63" s="662"/>
      <c r="M63" s="662"/>
      <c r="N63" s="662"/>
      <c r="O63" s="662"/>
      <c r="P63" s="662"/>
      <c r="Q63" s="662"/>
      <c r="R63" s="651"/>
      <c r="S63" s="432" t="s">
        <v>647</v>
      </c>
      <c r="T63" s="433" t="s">
        <v>114</v>
      </c>
      <c r="U63" s="450"/>
      <c r="V63" s="450"/>
      <c r="W63" s="450"/>
      <c r="X63" s="450"/>
      <c r="Y63" s="661"/>
      <c r="Z63" s="661"/>
      <c r="AA63" s="450"/>
      <c r="AB63" s="450"/>
      <c r="AC63" s="450"/>
      <c r="AD63" s="406"/>
      <c r="AR63" s="406"/>
      <c r="BN63" s="407"/>
    </row>
    <row r="64" ht="40.5" customHeight="1">
      <c r="A64" s="662"/>
      <c r="B64" s="662"/>
      <c r="C64" s="662"/>
      <c r="D64" s="662"/>
      <c r="E64" s="662"/>
      <c r="F64" s="662"/>
      <c r="G64" s="662"/>
      <c r="H64" s="662"/>
      <c r="I64" s="662"/>
      <c r="J64" s="662"/>
      <c r="K64" s="662"/>
      <c r="L64" s="662"/>
      <c r="M64" s="662"/>
      <c r="N64" s="662"/>
      <c r="O64" s="662"/>
      <c r="P64" s="662"/>
      <c r="Q64" s="662"/>
      <c r="R64" s="651"/>
      <c r="S64" s="437" t="s">
        <v>608</v>
      </c>
      <c r="T64" s="438" t="s">
        <v>612</v>
      </c>
      <c r="U64" s="450"/>
      <c r="V64" s="450"/>
      <c r="W64" s="450"/>
      <c r="X64" s="450"/>
      <c r="Y64" s="661"/>
      <c r="Z64" s="661"/>
      <c r="AA64" s="450"/>
      <c r="AB64" s="450"/>
      <c r="AC64" s="450"/>
      <c r="AD64" s="406"/>
      <c r="AR64" s="406"/>
      <c r="BN64" s="407"/>
    </row>
    <row r="65" ht="40.5" customHeight="1">
      <c r="A65" s="662"/>
      <c r="B65" s="662"/>
      <c r="C65" s="662"/>
      <c r="D65" s="662"/>
      <c r="E65" s="662"/>
      <c r="F65" s="662"/>
      <c r="G65" s="662"/>
      <c r="H65" s="662"/>
      <c r="I65" s="662"/>
      <c r="J65" s="662"/>
      <c r="K65" s="662"/>
      <c r="L65" s="662"/>
      <c r="M65" s="662"/>
      <c r="N65" s="662"/>
      <c r="O65" s="662"/>
      <c r="P65" s="662"/>
      <c r="Q65" s="662"/>
      <c r="R65" s="651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62"/>
      <c r="B66" s="662"/>
      <c r="C66" s="662"/>
      <c r="D66" s="662"/>
      <c r="E66" s="662"/>
      <c r="F66" s="662"/>
      <c r="G66" s="662"/>
      <c r="H66" s="662"/>
      <c r="I66" s="662"/>
      <c r="J66" s="662"/>
      <c r="K66" s="662"/>
      <c r="L66" s="662"/>
      <c r="M66" s="662"/>
      <c r="N66" s="662"/>
      <c r="O66" s="662"/>
      <c r="P66" s="662"/>
      <c r="Q66" s="662"/>
      <c r="R66" s="65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62"/>
      <c r="B67" s="662"/>
      <c r="C67" s="662"/>
      <c r="D67" s="662"/>
      <c r="E67" s="662"/>
      <c r="F67" s="662"/>
      <c r="G67" s="662"/>
      <c r="H67" s="662"/>
      <c r="I67" s="662"/>
      <c r="J67" s="662"/>
      <c r="K67" s="662"/>
      <c r="L67" s="662"/>
      <c r="M67" s="662"/>
      <c r="N67" s="662"/>
      <c r="O67" s="662"/>
      <c r="P67" s="662"/>
      <c r="Q67" s="662"/>
      <c r="R67" s="65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62"/>
      <c r="B68" s="662"/>
      <c r="C68" s="662"/>
      <c r="D68" s="662"/>
      <c r="E68" s="662"/>
      <c r="F68" s="662"/>
      <c r="G68" s="662"/>
      <c r="H68" s="662"/>
      <c r="I68" s="662"/>
      <c r="J68" s="662"/>
      <c r="K68" s="662"/>
      <c r="L68" s="662"/>
      <c r="M68" s="662"/>
      <c r="N68" s="662"/>
      <c r="O68" s="662"/>
      <c r="P68" s="662"/>
      <c r="Q68" s="662"/>
      <c r="R68" s="65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62"/>
      <c r="B69" s="662"/>
      <c r="C69" s="662"/>
      <c r="D69" s="662"/>
      <c r="E69" s="662"/>
      <c r="F69" s="662"/>
      <c r="G69" s="662"/>
      <c r="H69" s="662"/>
      <c r="I69" s="662"/>
      <c r="J69" s="662"/>
      <c r="K69" s="662"/>
      <c r="L69" s="662"/>
      <c r="M69" s="662"/>
      <c r="N69" s="662"/>
      <c r="O69" s="662"/>
      <c r="P69" s="662"/>
      <c r="Q69" s="662"/>
      <c r="R69" s="651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62"/>
      <c r="B70" s="662"/>
      <c r="C70" s="662"/>
      <c r="D70" s="662"/>
      <c r="E70" s="662"/>
      <c r="F70" s="662"/>
      <c r="G70" s="662"/>
      <c r="H70" s="662"/>
      <c r="I70" s="662"/>
      <c r="J70" s="662"/>
      <c r="K70" s="662"/>
      <c r="L70" s="662"/>
      <c r="M70" s="662"/>
      <c r="N70" s="662"/>
      <c r="O70" s="662"/>
      <c r="P70" s="662"/>
      <c r="Q70" s="662"/>
      <c r="R70" s="651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62"/>
      <c r="B71" s="662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2"/>
      <c r="N71" s="662"/>
      <c r="O71" s="662"/>
      <c r="P71" s="662"/>
      <c r="Q71" s="662"/>
      <c r="R71" s="651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62"/>
      <c r="B72" s="662"/>
      <c r="C72" s="662"/>
      <c r="D72" s="662"/>
      <c r="E72" s="662"/>
      <c r="F72" s="662"/>
      <c r="G72" s="662"/>
      <c r="H72" s="662"/>
      <c r="I72" s="662"/>
      <c r="J72" s="662"/>
      <c r="K72" s="662"/>
      <c r="L72" s="662"/>
      <c r="M72" s="662"/>
      <c r="N72" s="662"/>
      <c r="O72" s="662"/>
      <c r="P72" s="662"/>
      <c r="Q72" s="662"/>
      <c r="R72" s="651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62"/>
      <c r="B73" s="662"/>
      <c r="C73" s="662"/>
      <c r="D73" s="662"/>
      <c r="E73" s="662"/>
      <c r="F73" s="662"/>
      <c r="G73" s="662"/>
      <c r="H73" s="662"/>
      <c r="I73" s="662"/>
      <c r="J73" s="662"/>
      <c r="K73" s="662"/>
      <c r="L73" s="662"/>
      <c r="M73" s="662"/>
      <c r="N73" s="662"/>
      <c r="O73" s="662"/>
      <c r="P73" s="662"/>
      <c r="Q73" s="662"/>
      <c r="R73" s="651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62"/>
      <c r="B74" s="662"/>
      <c r="C74" s="662"/>
      <c r="D74" s="662"/>
      <c r="E74" s="662"/>
      <c r="F74" s="662"/>
      <c r="G74" s="662"/>
      <c r="H74" s="662"/>
      <c r="I74" s="662"/>
      <c r="J74" s="662"/>
      <c r="K74" s="662"/>
      <c r="L74" s="662"/>
      <c r="M74" s="662"/>
      <c r="N74" s="662"/>
      <c r="O74" s="662"/>
      <c r="P74" s="662"/>
      <c r="Q74" s="662"/>
      <c r="R74" s="65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62"/>
      <c r="B75" s="662"/>
      <c r="C75" s="662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5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62"/>
      <c r="B76" s="662"/>
      <c r="C76" s="662"/>
      <c r="D76" s="662"/>
      <c r="E76" s="662"/>
      <c r="F76" s="662"/>
      <c r="G76" s="662"/>
      <c r="H76" s="662"/>
      <c r="I76" s="662"/>
      <c r="J76" s="662"/>
      <c r="K76" s="662"/>
      <c r="L76" s="662"/>
      <c r="M76" s="662"/>
      <c r="N76" s="662"/>
      <c r="O76" s="662"/>
      <c r="P76" s="662"/>
      <c r="Q76" s="662"/>
      <c r="R76" s="65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51"/>
      <c r="AD77" s="406"/>
      <c r="AR77" s="406"/>
      <c r="BN77" s="407"/>
    </row>
    <row r="78" ht="15" customHeight="1">
      <c r="A78" s="659" t="s">
        <v>678</v>
      </c>
      <c r="B78" s="659"/>
      <c r="C78" s="659"/>
      <c r="D78" s="659"/>
      <c r="E78" s="659"/>
      <c r="F78" s="659"/>
      <c r="G78" s="659"/>
      <c r="H78" s="659"/>
      <c r="I78" s="659"/>
      <c r="J78" s="659"/>
      <c r="K78" s="659"/>
      <c r="L78" s="659"/>
      <c r="M78" s="659"/>
      <c r="N78" s="659"/>
      <c r="O78" s="659"/>
      <c r="P78" s="659"/>
      <c r="Q78" s="659"/>
      <c r="R78" s="65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59"/>
      <c r="B79" s="659"/>
      <c r="C79" s="659"/>
      <c r="D79" s="659"/>
      <c r="E79" s="659"/>
      <c r="F79" s="659"/>
      <c r="G79" s="659"/>
      <c r="H79" s="659"/>
      <c r="I79" s="659"/>
      <c r="J79" s="659"/>
      <c r="K79" s="659"/>
      <c r="L79" s="659"/>
      <c r="M79" s="659"/>
      <c r="N79" s="659"/>
      <c r="O79" s="659"/>
      <c r="P79" s="659"/>
      <c r="Q79" s="659"/>
      <c r="R79" s="651"/>
      <c r="AC79" s="406"/>
      <c r="AQ79" s="406"/>
      <c r="BB79" s="406"/>
      <c r="BM79" s="407"/>
    </row>
    <row r="80" ht="38.25" customHeight="1">
      <c r="A80" s="659"/>
      <c r="B80" s="659"/>
      <c r="C80" s="659"/>
      <c r="D80" s="659"/>
      <c r="E80" s="659"/>
      <c r="F80" s="659"/>
      <c r="G80" s="659"/>
      <c r="H80" s="659"/>
      <c r="I80" s="659"/>
      <c r="J80" s="659"/>
      <c r="K80" s="659"/>
      <c r="L80" s="659"/>
      <c r="M80" s="659"/>
      <c r="N80" s="659"/>
      <c r="O80" s="659"/>
      <c r="P80" s="659"/>
      <c r="Q80" s="659"/>
      <c r="R80" s="651"/>
      <c r="AQ80" s="406"/>
      <c r="BB80" s="406"/>
      <c r="BM80" s="407"/>
    </row>
    <row r="81" ht="38.25" customHeight="1">
      <c r="A81" s="659"/>
      <c r="B81" s="659"/>
      <c r="C81" s="659"/>
      <c r="D81" s="659"/>
      <c r="E81" s="659"/>
      <c r="F81" s="659"/>
      <c r="G81" s="659"/>
      <c r="H81" s="659"/>
      <c r="I81" s="659"/>
      <c r="J81" s="659"/>
      <c r="K81" s="659"/>
      <c r="L81" s="659"/>
      <c r="M81" s="659"/>
      <c r="N81" s="659"/>
      <c r="O81" s="659"/>
      <c r="P81" s="659"/>
      <c r="Q81" s="659"/>
      <c r="R81" s="651"/>
      <c r="AQ81" s="406"/>
      <c r="BB81" s="406"/>
      <c r="BM81" s="407"/>
    </row>
    <row r="82" ht="38.25" customHeight="1">
      <c r="A82" s="659"/>
      <c r="B82" s="659"/>
      <c r="C82" s="659"/>
      <c r="D82" s="659"/>
      <c r="E82" s="659"/>
      <c r="F82" s="659"/>
      <c r="G82" s="659"/>
      <c r="H82" s="659"/>
      <c r="I82" s="659"/>
      <c r="J82" s="659"/>
      <c r="K82" s="659"/>
      <c r="L82" s="659"/>
      <c r="M82" s="659"/>
      <c r="N82" s="659"/>
      <c r="O82" s="659"/>
      <c r="P82" s="659"/>
      <c r="Q82" s="659"/>
      <c r="R82" s="651"/>
      <c r="AQ82" s="406"/>
      <c r="BB82" s="406"/>
      <c r="BM82" s="407"/>
    </row>
    <row r="83" ht="38.25" customHeight="1">
      <c r="A83" s="659"/>
      <c r="B83" s="659"/>
      <c r="C83" s="659"/>
      <c r="D83" s="659"/>
      <c r="E83" s="659"/>
      <c r="F83" s="659"/>
      <c r="G83" s="659"/>
      <c r="H83" s="659"/>
      <c r="I83" s="659"/>
      <c r="J83" s="659"/>
      <c r="K83" s="659"/>
      <c r="L83" s="659"/>
      <c r="M83" s="659"/>
      <c r="N83" s="659"/>
      <c r="O83" s="659"/>
      <c r="P83" s="659"/>
      <c r="Q83" s="659"/>
      <c r="R83" s="651"/>
      <c r="AQ83" s="406"/>
      <c r="BB83" s="406"/>
      <c r="BM83" s="407"/>
    </row>
    <row r="84" ht="38.25" customHeight="1">
      <c r="A84" s="659"/>
      <c r="B84" s="659"/>
      <c r="C84" s="659"/>
      <c r="D84" s="659"/>
      <c r="E84" s="659"/>
      <c r="F84" s="659"/>
      <c r="G84" s="659"/>
      <c r="H84" s="659"/>
      <c r="I84" s="659"/>
      <c r="J84" s="659"/>
      <c r="K84" s="659"/>
      <c r="L84" s="659"/>
      <c r="M84" s="659"/>
      <c r="N84" s="659"/>
      <c r="O84" s="659"/>
      <c r="P84" s="659"/>
      <c r="Q84" s="659"/>
      <c r="R84" s="651"/>
      <c r="AQ84" s="406"/>
      <c r="BB84" s="406"/>
      <c r="BM84" s="407"/>
    </row>
    <row r="85" ht="38.25" customHeight="1">
      <c r="A85" s="659"/>
      <c r="B85" s="659"/>
      <c r="C85" s="659"/>
      <c r="D85" s="659"/>
      <c r="E85" s="659"/>
      <c r="F85" s="659"/>
      <c r="G85" s="659"/>
      <c r="H85" s="659"/>
      <c r="I85" s="659"/>
      <c r="J85" s="659"/>
      <c r="K85" s="659"/>
      <c r="L85" s="659"/>
      <c r="M85" s="659"/>
      <c r="N85" s="659"/>
      <c r="O85" s="659"/>
      <c r="P85" s="659"/>
      <c r="Q85" s="659"/>
      <c r="R85" s="651"/>
      <c r="AQ85" s="406"/>
      <c r="BB85" s="406"/>
      <c r="BM85" s="407"/>
    </row>
    <row r="86" ht="38.25" customHeight="1">
      <c r="A86" s="659"/>
      <c r="B86" s="659"/>
      <c r="C86" s="659"/>
      <c r="D86" s="659"/>
      <c r="E86" s="659"/>
      <c r="F86" s="659"/>
      <c r="G86" s="659"/>
      <c r="H86" s="659"/>
      <c r="I86" s="659"/>
      <c r="J86" s="659"/>
      <c r="K86" s="659"/>
      <c r="L86" s="659"/>
      <c r="M86" s="659"/>
      <c r="N86" s="659"/>
      <c r="O86" s="659"/>
      <c r="P86" s="659"/>
      <c r="Q86" s="659"/>
      <c r="R86" s="651"/>
      <c r="AQ86" s="406"/>
      <c r="BB86" s="406"/>
      <c r="BM86" s="407"/>
    </row>
    <row r="87" ht="38.25" customHeight="1">
      <c r="A87" s="659"/>
      <c r="B87" s="659"/>
      <c r="C87" s="659"/>
      <c r="D87" s="659"/>
      <c r="E87" s="659"/>
      <c r="F87" s="659"/>
      <c r="G87" s="659"/>
      <c r="H87" s="659"/>
      <c r="I87" s="659"/>
      <c r="J87" s="659"/>
      <c r="K87" s="659"/>
      <c r="L87" s="659"/>
      <c r="M87" s="659"/>
      <c r="N87" s="659"/>
      <c r="O87" s="659"/>
      <c r="P87" s="659"/>
      <c r="Q87" s="659"/>
      <c r="R87" s="651"/>
      <c r="AQ87" s="406"/>
      <c r="BB87" s="406"/>
      <c r="BM87" s="407"/>
    </row>
    <row r="88" ht="38.25" customHeight="1">
      <c r="A88" s="659"/>
      <c r="B88" s="659"/>
      <c r="C88" s="659"/>
      <c r="D88" s="659"/>
      <c r="E88" s="659"/>
      <c r="F88" s="659"/>
      <c r="G88" s="659"/>
      <c r="H88" s="659"/>
      <c r="I88" s="659"/>
      <c r="J88" s="659"/>
      <c r="K88" s="659"/>
      <c r="L88" s="659"/>
      <c r="M88" s="659"/>
      <c r="N88" s="659"/>
      <c r="O88" s="659"/>
      <c r="P88" s="659"/>
      <c r="Q88" s="659"/>
      <c r="R88" s="651"/>
      <c r="AQ88" s="406"/>
      <c r="BB88" s="406"/>
      <c r="BM88" s="407"/>
    </row>
    <row r="89" ht="38.25" customHeight="1">
      <c r="A89" s="659"/>
      <c r="B89" s="659"/>
      <c r="C89" s="659"/>
      <c r="D89" s="659"/>
      <c r="E89" s="659"/>
      <c r="F89" s="659"/>
      <c r="G89" s="659"/>
      <c r="H89" s="659"/>
      <c r="I89" s="659"/>
      <c r="J89" s="659"/>
      <c r="K89" s="659"/>
      <c r="L89" s="659"/>
      <c r="M89" s="659"/>
      <c r="N89" s="659"/>
      <c r="O89" s="659"/>
      <c r="P89" s="659"/>
      <c r="Q89" s="659"/>
      <c r="R89" s="651"/>
      <c r="AQ89" s="406"/>
      <c r="BB89" s="406"/>
      <c r="BM89" s="407"/>
    </row>
    <row r="90" ht="38.25" customHeight="1">
      <c r="A90" s="659"/>
      <c r="B90" s="659"/>
      <c r="C90" s="659"/>
      <c r="D90" s="659"/>
      <c r="E90" s="659"/>
      <c r="F90" s="659"/>
      <c r="G90" s="659"/>
      <c r="H90" s="659"/>
      <c r="I90" s="659"/>
      <c r="J90" s="659"/>
      <c r="K90" s="659"/>
      <c r="L90" s="659"/>
      <c r="M90" s="659"/>
      <c r="N90" s="659"/>
      <c r="O90" s="659"/>
      <c r="P90" s="659"/>
      <c r="Q90" s="659"/>
      <c r="R90" s="651"/>
      <c r="AQ90" s="406"/>
      <c r="BB90" s="406"/>
      <c r="BM90" s="407"/>
    </row>
    <row r="91" ht="38.25" customHeight="1">
      <c r="A91" s="659"/>
      <c r="B91" s="659"/>
      <c r="C91" s="659"/>
      <c r="D91" s="659"/>
      <c r="E91" s="659"/>
      <c r="F91" s="659"/>
      <c r="G91" s="659"/>
      <c r="H91" s="659"/>
      <c r="I91" s="659"/>
      <c r="J91" s="659"/>
      <c r="K91" s="659"/>
      <c r="L91" s="659"/>
      <c r="M91" s="659"/>
      <c r="N91" s="659"/>
      <c r="O91" s="659"/>
      <c r="P91" s="659"/>
      <c r="Q91" s="659"/>
      <c r="R91" s="651"/>
      <c r="AQ91" s="406"/>
      <c r="BB91" s="406"/>
      <c r="BM91" s="407"/>
    </row>
    <row r="92" ht="38.25" customHeight="1">
      <c r="A92" s="659"/>
      <c r="B92" s="659"/>
      <c r="C92" s="659"/>
      <c r="D92" s="659"/>
      <c r="E92" s="659"/>
      <c r="F92" s="659"/>
      <c r="G92" s="659"/>
      <c r="H92" s="659"/>
      <c r="I92" s="659"/>
      <c r="J92" s="659"/>
      <c r="K92" s="659"/>
      <c r="L92" s="659"/>
      <c r="M92" s="659"/>
      <c r="N92" s="659"/>
      <c r="O92" s="659"/>
      <c r="P92" s="659"/>
      <c r="Q92" s="659"/>
      <c r="R92" s="651"/>
      <c r="AQ92" s="406"/>
      <c r="BB92" s="406"/>
      <c r="BM92" s="407"/>
    </row>
    <row r="93" ht="38.25" customHeight="1">
      <c r="A93" s="659"/>
      <c r="B93" s="659"/>
      <c r="C93" s="659"/>
      <c r="D93" s="659"/>
      <c r="E93" s="659"/>
      <c r="F93" s="659"/>
      <c r="G93" s="659"/>
      <c r="H93" s="659"/>
      <c r="I93" s="659"/>
      <c r="J93" s="659"/>
      <c r="K93" s="659"/>
      <c r="L93" s="659"/>
      <c r="M93" s="659"/>
      <c r="N93" s="659"/>
      <c r="O93" s="659"/>
      <c r="P93" s="659"/>
      <c r="Q93" s="659"/>
      <c r="R93" s="651"/>
      <c r="AQ93" s="406"/>
      <c r="BB93" s="406"/>
      <c r="BM93" s="407"/>
    </row>
    <row r="94" ht="38.25" customHeight="1">
      <c r="A94" s="659"/>
      <c r="B94" s="659"/>
      <c r="C94" s="659"/>
      <c r="D94" s="659"/>
      <c r="E94" s="659"/>
      <c r="F94" s="659"/>
      <c r="G94" s="659"/>
      <c r="H94" s="659"/>
      <c r="I94" s="659"/>
      <c r="J94" s="659"/>
      <c r="K94" s="659"/>
      <c r="L94" s="659"/>
      <c r="M94" s="659"/>
      <c r="N94" s="659"/>
      <c r="O94" s="659"/>
      <c r="P94" s="659"/>
      <c r="Q94" s="659"/>
      <c r="R94" s="651"/>
      <c r="AQ94" s="406"/>
      <c r="BB94" s="406"/>
      <c r="BM94" s="407"/>
    </row>
    <row r="95" ht="38.25" customHeight="1">
      <c r="A95" s="659"/>
      <c r="B95" s="659"/>
      <c r="C95" s="659"/>
      <c r="D95" s="659"/>
      <c r="E95" s="659"/>
      <c r="F95" s="659"/>
      <c r="G95" s="659"/>
      <c r="H95" s="659"/>
      <c r="I95" s="659"/>
      <c r="J95" s="659"/>
      <c r="K95" s="659"/>
      <c r="L95" s="659"/>
      <c r="M95" s="659"/>
      <c r="N95" s="659"/>
      <c r="O95" s="659"/>
      <c r="P95" s="659"/>
      <c r="Q95" s="659"/>
      <c r="R95" s="651"/>
      <c r="AQ95" s="406"/>
      <c r="BB95" s="406"/>
      <c r="BM95" s="407"/>
    </row>
    <row r="96" ht="38.25" customHeight="1">
      <c r="A96" s="659"/>
      <c r="B96" s="659"/>
      <c r="C96" s="659"/>
      <c r="D96" s="659"/>
      <c r="E96" s="659"/>
      <c r="F96" s="659"/>
      <c r="G96" s="659"/>
      <c r="H96" s="659"/>
      <c r="I96" s="659"/>
      <c r="J96" s="659"/>
      <c r="K96" s="659"/>
      <c r="L96" s="659"/>
      <c r="M96" s="659"/>
      <c r="N96" s="659"/>
      <c r="O96" s="659"/>
      <c r="P96" s="659"/>
      <c r="Q96" s="659"/>
      <c r="R96" s="651"/>
      <c r="AQ96" s="406"/>
      <c r="BB96" s="406"/>
      <c r="BM96" s="407"/>
    </row>
    <row r="97" ht="39" customHeight="1">
      <c r="A97" s="659"/>
      <c r="B97" s="659"/>
      <c r="C97" s="659"/>
      <c r="D97" s="659"/>
      <c r="E97" s="659"/>
      <c r="F97" s="659"/>
      <c r="G97" s="659"/>
      <c r="H97" s="659"/>
      <c r="I97" s="659"/>
      <c r="J97" s="659"/>
      <c r="K97" s="659"/>
      <c r="L97" s="659"/>
      <c r="M97" s="659"/>
      <c r="N97" s="659"/>
      <c r="O97" s="659"/>
      <c r="P97" s="659"/>
      <c r="Q97" s="659"/>
      <c r="R97" s="651"/>
      <c r="AQ97" s="406"/>
      <c r="BB97" s="406"/>
      <c r="BM97" s="407"/>
    </row>
    <row r="98" ht="39" customHeight="1">
      <c r="A98" s="659" t="s">
        <v>679</v>
      </c>
      <c r="B98" s="659"/>
      <c r="C98" s="659"/>
      <c r="D98" s="659"/>
      <c r="E98" s="659"/>
      <c r="F98" s="659"/>
      <c r="G98" s="659"/>
      <c r="H98" s="659"/>
      <c r="I98" s="659"/>
      <c r="J98" s="659"/>
      <c r="K98" s="659"/>
      <c r="L98" s="659"/>
      <c r="M98" s="659"/>
      <c r="N98" s="659"/>
      <c r="O98" s="659"/>
      <c r="P98" s="659"/>
      <c r="Q98" s="659"/>
      <c r="R98" s="651"/>
      <c r="AR98" s="406"/>
      <c r="BN98" s="407"/>
    </row>
    <row r="99" ht="39" customHeight="1">
      <c r="A99" s="659"/>
      <c r="B99" s="659"/>
      <c r="C99" s="659"/>
      <c r="D99" s="659"/>
      <c r="E99" s="659"/>
      <c r="F99" s="659"/>
      <c r="G99" s="659"/>
      <c r="H99" s="659"/>
      <c r="I99" s="659"/>
      <c r="J99" s="659"/>
      <c r="K99" s="659"/>
      <c r="L99" s="659"/>
      <c r="M99" s="659"/>
      <c r="N99" s="659"/>
      <c r="O99" s="659"/>
      <c r="P99" s="659"/>
      <c r="Q99" s="659"/>
      <c r="R99" s="651"/>
      <c r="AR99" s="406"/>
      <c r="BN99" s="407"/>
    </row>
    <row r="100" ht="39" customHeight="1">
      <c r="A100" s="659"/>
      <c r="B100" s="659"/>
      <c r="C100" s="659"/>
      <c r="D100" s="659"/>
      <c r="E100" s="659"/>
      <c r="F100" s="659"/>
      <c r="G100" s="659"/>
      <c r="H100" s="659"/>
      <c r="I100" s="659"/>
      <c r="J100" s="659"/>
      <c r="K100" s="659"/>
      <c r="L100" s="659"/>
      <c r="M100" s="659"/>
      <c r="N100" s="659"/>
      <c r="O100" s="659"/>
      <c r="P100" s="659"/>
      <c r="Q100" s="659"/>
      <c r="R100" s="651"/>
      <c r="AR100" s="406"/>
      <c r="BN100" s="407"/>
    </row>
    <row r="101" ht="39" customHeight="1">
      <c r="A101" s="659"/>
      <c r="B101" s="659"/>
      <c r="C101" s="659"/>
      <c r="D101" s="659"/>
      <c r="E101" s="659"/>
      <c r="F101" s="659"/>
      <c r="G101" s="659"/>
      <c r="H101" s="659"/>
      <c r="I101" s="659"/>
      <c r="J101" s="659"/>
      <c r="K101" s="659"/>
      <c r="L101" s="659"/>
      <c r="M101" s="659"/>
      <c r="N101" s="659"/>
      <c r="O101" s="659"/>
      <c r="P101" s="659"/>
      <c r="Q101" s="659"/>
      <c r="R101" s="651"/>
      <c r="AR101" s="406"/>
      <c r="BN101" s="407"/>
    </row>
    <row r="102" ht="39" customHeight="1">
      <c r="A102" s="659"/>
      <c r="B102" s="659"/>
      <c r="C102" s="659"/>
      <c r="D102" s="659"/>
      <c r="E102" s="659"/>
      <c r="F102" s="659"/>
      <c r="G102" s="659"/>
      <c r="H102" s="659"/>
      <c r="I102" s="659"/>
      <c r="J102" s="659"/>
      <c r="K102" s="659"/>
      <c r="L102" s="659"/>
      <c r="M102" s="659"/>
      <c r="N102" s="659"/>
      <c r="O102" s="659"/>
      <c r="P102" s="659"/>
      <c r="Q102" s="659"/>
      <c r="R102" s="651"/>
      <c r="AR102" s="406"/>
      <c r="BN102" s="407"/>
    </row>
    <row r="103" ht="39" customHeight="1">
      <c r="A103" s="659"/>
      <c r="B103" s="659"/>
      <c r="C103" s="659"/>
      <c r="D103" s="659"/>
      <c r="E103" s="659"/>
      <c r="F103" s="659"/>
      <c r="G103" s="659"/>
      <c r="H103" s="659"/>
      <c r="I103" s="659"/>
      <c r="J103" s="659"/>
      <c r="K103" s="659"/>
      <c r="L103" s="659"/>
      <c r="M103" s="659"/>
      <c r="N103" s="659"/>
      <c r="O103" s="659"/>
      <c r="P103" s="659"/>
      <c r="Q103" s="659"/>
      <c r="R103" s="651"/>
      <c r="AR103" s="406"/>
      <c r="BN103" s="407"/>
    </row>
    <row r="104" ht="39" customHeight="1">
      <c r="A104" s="659"/>
      <c r="B104" s="659"/>
      <c r="C104" s="659"/>
      <c r="D104" s="659"/>
      <c r="E104" s="659"/>
      <c r="F104" s="659"/>
      <c r="G104" s="659"/>
      <c r="H104" s="659"/>
      <c r="I104" s="659"/>
      <c r="J104" s="659"/>
      <c r="K104" s="659"/>
      <c r="L104" s="659"/>
      <c r="M104" s="659"/>
      <c r="N104" s="659"/>
      <c r="O104" s="659"/>
      <c r="P104" s="659"/>
      <c r="Q104" s="659"/>
      <c r="R104" s="651"/>
      <c r="AR104" s="406"/>
      <c r="BN104" s="407"/>
    </row>
    <row r="105" ht="39" customHeight="1">
      <c r="A105" s="659"/>
      <c r="B105" s="659"/>
      <c r="C105" s="659"/>
      <c r="D105" s="659"/>
      <c r="E105" s="659"/>
      <c r="F105" s="659"/>
      <c r="G105" s="659"/>
      <c r="H105" s="659"/>
      <c r="I105" s="659"/>
      <c r="J105" s="659"/>
      <c r="K105" s="659"/>
      <c r="L105" s="659"/>
      <c r="M105" s="659"/>
      <c r="N105" s="659"/>
      <c r="O105" s="659"/>
      <c r="P105" s="659"/>
      <c r="Q105" s="659"/>
      <c r="R105" s="651"/>
      <c r="AR105" s="406"/>
      <c r="BN105" s="407"/>
    </row>
    <row r="106" ht="39" customHeight="1">
      <c r="A106" s="659"/>
      <c r="B106" s="659"/>
      <c r="C106" s="659"/>
      <c r="D106" s="659"/>
      <c r="E106" s="659"/>
      <c r="F106" s="659"/>
      <c r="G106" s="659"/>
      <c r="H106" s="659"/>
      <c r="I106" s="659"/>
      <c r="J106" s="659"/>
      <c r="K106" s="659"/>
      <c r="L106" s="659"/>
      <c r="M106" s="659"/>
      <c r="N106" s="659"/>
      <c r="O106" s="659"/>
      <c r="P106" s="659"/>
      <c r="Q106" s="659"/>
      <c r="R106" s="651"/>
      <c r="AR106" s="406"/>
      <c r="BN106" s="407"/>
    </row>
    <row r="107" ht="39" customHeight="1">
      <c r="A107" s="659"/>
      <c r="B107" s="659"/>
      <c r="C107" s="659"/>
      <c r="D107" s="659"/>
      <c r="E107" s="659"/>
      <c r="F107" s="659"/>
      <c r="G107" s="659"/>
      <c r="H107" s="659"/>
      <c r="I107" s="659"/>
      <c r="J107" s="659"/>
      <c r="K107" s="659"/>
      <c r="L107" s="659"/>
      <c r="M107" s="659"/>
      <c r="N107" s="659"/>
      <c r="O107" s="659"/>
      <c r="P107" s="659"/>
      <c r="Q107" s="659"/>
      <c r="R107" s="651"/>
      <c r="AR107" s="406"/>
      <c r="BN107" s="407"/>
    </row>
    <row r="108" ht="39" customHeight="1">
      <c r="A108" s="659"/>
      <c r="B108" s="659"/>
      <c r="C108" s="659"/>
      <c r="D108" s="659"/>
      <c r="E108" s="659"/>
      <c r="F108" s="659"/>
      <c r="G108" s="659"/>
      <c r="H108" s="659"/>
      <c r="I108" s="659"/>
      <c r="J108" s="659"/>
      <c r="K108" s="659"/>
      <c r="L108" s="659"/>
      <c r="M108" s="659"/>
      <c r="N108" s="659"/>
      <c r="O108" s="659"/>
      <c r="P108" s="659"/>
      <c r="Q108" s="659"/>
      <c r="R108" s="651"/>
      <c r="AR108" s="406"/>
      <c r="BN108" s="407"/>
    </row>
    <row r="109" ht="39" customHeight="1">
      <c r="A109" s="659"/>
      <c r="B109" s="659"/>
      <c r="C109" s="659"/>
      <c r="D109" s="659"/>
      <c r="E109" s="659"/>
      <c r="F109" s="659"/>
      <c r="G109" s="659"/>
      <c r="H109" s="659"/>
      <c r="I109" s="659"/>
      <c r="J109" s="659"/>
      <c r="K109" s="659"/>
      <c r="L109" s="659"/>
      <c r="M109" s="659"/>
      <c r="N109" s="659"/>
      <c r="O109" s="659"/>
      <c r="P109" s="659"/>
      <c r="Q109" s="659"/>
      <c r="R109" s="651"/>
      <c r="AR109" s="406"/>
      <c r="BN109" s="407"/>
    </row>
    <row r="110" ht="39" customHeight="1">
      <c r="A110" s="659"/>
      <c r="B110" s="659"/>
      <c r="C110" s="659"/>
      <c r="D110" s="659"/>
      <c r="E110" s="659"/>
      <c r="F110" s="659"/>
      <c r="G110" s="659"/>
      <c r="H110" s="659"/>
      <c r="I110" s="659"/>
      <c r="J110" s="659"/>
      <c r="K110" s="659"/>
      <c r="L110" s="659"/>
      <c r="M110" s="659"/>
      <c r="N110" s="659"/>
      <c r="O110" s="659"/>
      <c r="P110" s="659"/>
      <c r="Q110" s="659"/>
      <c r="R110" s="651"/>
      <c r="AR110" s="406"/>
      <c r="BN110" s="407"/>
    </row>
    <row r="111" ht="39" customHeight="1">
      <c r="A111" s="659"/>
      <c r="B111" s="659"/>
      <c r="C111" s="659"/>
      <c r="D111" s="659"/>
      <c r="E111" s="659"/>
      <c r="F111" s="659"/>
      <c r="G111" s="659"/>
      <c r="H111" s="659"/>
      <c r="I111" s="659"/>
      <c r="J111" s="659"/>
      <c r="K111" s="659"/>
      <c r="L111" s="659"/>
      <c r="M111" s="659"/>
      <c r="N111" s="659"/>
      <c r="O111" s="659"/>
      <c r="P111" s="659"/>
      <c r="Q111" s="659"/>
      <c r="R111" s="651"/>
      <c r="AR111" s="406"/>
      <c r="BN111" s="407"/>
    </row>
    <row r="112" ht="39" customHeight="1">
      <c r="A112" s="659"/>
      <c r="B112" s="659"/>
      <c r="C112" s="659"/>
      <c r="D112" s="659"/>
      <c r="E112" s="659"/>
      <c r="F112" s="659"/>
      <c r="G112" s="659"/>
      <c r="H112" s="659"/>
      <c r="I112" s="659"/>
      <c r="J112" s="659"/>
      <c r="K112" s="659"/>
      <c r="L112" s="659"/>
      <c r="M112" s="659"/>
      <c r="N112" s="659"/>
      <c r="O112" s="659"/>
      <c r="P112" s="659"/>
      <c r="Q112" s="659"/>
      <c r="R112" s="651"/>
      <c r="AR112" s="406"/>
      <c r="BN112" s="407"/>
    </row>
    <row r="113" ht="39" customHeight="1">
      <c r="A113" s="659"/>
      <c r="B113" s="659"/>
      <c r="C113" s="659"/>
      <c r="D113" s="659"/>
      <c r="E113" s="659"/>
      <c r="F113" s="659"/>
      <c r="G113" s="659"/>
      <c r="H113" s="659"/>
      <c r="I113" s="659"/>
      <c r="J113" s="659"/>
      <c r="K113" s="659"/>
      <c r="L113" s="659"/>
      <c r="M113" s="659"/>
      <c r="N113" s="659"/>
      <c r="O113" s="659"/>
      <c r="P113" s="659"/>
      <c r="Q113" s="659"/>
      <c r="R113" s="651"/>
      <c r="AR113" s="406"/>
      <c r="BN113" s="407"/>
    </row>
    <row r="114" ht="39" customHeight="1">
      <c r="A114" s="659"/>
      <c r="B114" s="659"/>
      <c r="C114" s="659"/>
      <c r="D114" s="659"/>
      <c r="E114" s="659"/>
      <c r="F114" s="659"/>
      <c r="G114" s="659"/>
      <c r="H114" s="659"/>
      <c r="I114" s="659"/>
      <c r="J114" s="659"/>
      <c r="K114" s="659"/>
      <c r="L114" s="659"/>
      <c r="M114" s="659"/>
      <c r="N114" s="659"/>
      <c r="O114" s="659"/>
      <c r="P114" s="659"/>
      <c r="Q114" s="659"/>
      <c r="R114" s="651"/>
      <c r="AR114" s="406"/>
      <c r="BN114" s="407"/>
    </row>
    <row r="115" ht="39" customHeight="1">
      <c r="A115" s="659"/>
      <c r="B115" s="659"/>
      <c r="C115" s="659"/>
      <c r="D115" s="659"/>
      <c r="E115" s="659"/>
      <c r="F115" s="659"/>
      <c r="G115" s="659"/>
      <c r="H115" s="659"/>
      <c r="I115" s="659"/>
      <c r="J115" s="659"/>
      <c r="K115" s="659"/>
      <c r="L115" s="659"/>
      <c r="M115" s="659"/>
      <c r="N115" s="659"/>
      <c r="O115" s="659"/>
      <c r="P115" s="659"/>
      <c r="Q115" s="659"/>
      <c r="R115" s="6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AJ28:AJ29"/>
    <mergeCell ref="AK26:AK27"/>
    <mergeCell ref="AE23:AF24"/>
    <mergeCell ref="AG23:AH24"/>
    <mergeCell ref="AO16:AP16"/>
    <mergeCell ref="AO18:AP18"/>
    <mergeCell ref="AE20:AQ21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13231.822500000002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542.53</v>
      </c>
      <c r="V4" s="612">
        <f ref="V4:V21" t="shared" si="0">U4*S4</f>
        <v>542.53</v>
      </c>
      <c r="W4" s="612">
        <f>Table1102[[#This Row],[متطلبات انتاج الشمسيه 2.5]]*Table1102[[#This Row],[سعر]]</f>
        <v>271.265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996.53</v>
      </c>
      <c r="V5" s="612">
        <f t="shared" si="0"/>
        <v>1993.06</v>
      </c>
      <c r="W5" s="612">
        <f>Table1102[[#This Row],[متطلبات انتاج الشمسيه 2.5]]*Table1102[[#This Row],[سعر]]</f>
        <v>1993.06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11029.59</v>
      </c>
      <c r="W22" s="574">
        <f>SUBTOTAL(109,Table1102[2.5])</f>
        <v>10178.325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14889.946500000002</v>
      </c>
      <c r="W23" s="623">
        <f>IF(تسعير!AI18="قطاعي",Table1102[[#Totals],[2.5]]*1.35,IF(تسعير!AI18="جملة",Table1102[[#Totals],[2.5]]*1.25,IF(تسعير!AI18="نصف جملة",Table1102[[#Totals],[2.5]]*1.3,0)))</f>
        <v>13740.738750000002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46132.333028229164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0.013594257780056707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0.029907367116124756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0.017912433780780602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0.061414058676962063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1" t="s">
        <v>146</v>
      </c>
      <c r="E10" s="681"/>
      <c r="F10" s="681"/>
      <c r="G10" s="681"/>
      <c r="H10" s="681"/>
      <c r="I10" s="681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1" t="s">
        <v>160</v>
      </c>
      <c r="E15" s="681"/>
      <c r="F15" s="681"/>
      <c r="G15" s="681"/>
      <c r="H15" s="681"/>
      <c r="I15" s="681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0.0056864869145335246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0.0035540543215834531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0.0031275678029934386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0.00092405412361169781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0.0014216217286333811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0.00042648651859001436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0.00021324325929500718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0.017059460743600575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0.0031986488894251075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0.0356116243022662</v>
      </c>
    </row>
    <row r="28" ht="21" customHeight="1" s="216" customFormat="1">
      <c r="C28" s="217"/>
      <c r="D28" s="681" t="s">
        <v>183</v>
      </c>
      <c r="E28" s="681"/>
      <c r="F28" s="681"/>
      <c r="G28" s="681"/>
      <c r="H28" s="681"/>
      <c r="I28" s="681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1" t="s">
        <v>187</v>
      </c>
      <c r="E33" s="681"/>
      <c r="F33" s="681"/>
      <c r="G33" s="681"/>
      <c r="H33" s="681"/>
      <c r="I33" s="681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0.000533108148237518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0.000533108148237518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0.00088851358039586327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0.0053310814823751794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0.0014216217286333811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0.005591712132624633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0.0021705117463956089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0.013180464312615207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0.030554712724698885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0.060204834004213795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1" t="s">
        <v>207</v>
      </c>
      <c r="E51" s="681"/>
      <c r="F51" s="681"/>
      <c r="G51" s="681"/>
      <c r="H51" s="681"/>
      <c r="I51" s="681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202</v>
      </c>
      <c r="J53" s="403">
        <f>Table1610[[#This Row],[سعر الكيلو]]*Table1610[[#This Row],[الوزن]]</f>
        <v>353.5</v>
      </c>
      <c r="K53" s="240">
        <f>B53*J53</f>
        <v>1060.5</v>
      </c>
      <c r="L53" s="241">
        <f>(Table1610[[#This Row],[اجمالي]])/$G$83</f>
        <v>0.0075381492160785032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0.014216217286333812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3060.5</v>
      </c>
      <c r="L55" s="244">
        <f>Table1610[[#Totals],[اجمالي]]/$G$83</f>
        <v>0.021754366502412314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1" t="s">
        <v>211</v>
      </c>
      <c r="E56" s="681"/>
      <c r="F56" s="681"/>
      <c r="G56" s="681"/>
      <c r="H56" s="681"/>
      <c r="I56" s="681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3467.2738127311732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3467.2738127311732</v>
      </c>
      <c r="I59" s="579"/>
      <c r="J59" s="580">
        <f>IF((Table1611[[#This Row],[عدد]]&gt;0),'Cutting Ro-1'!O8,0)</f>
        <v>55476.381003698771</v>
      </c>
      <c r="K59" s="581">
        <f>B59*Table1611[[#This Row],[سعر البرجولا كاملة]]</f>
        <v>55476.381003698771</v>
      </c>
      <c r="L59" s="241">
        <f ref="L59:L60" t="shared" si="9">(K59)/$G$83</f>
        <v>0.39433214330401156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55476.381003698771</v>
      </c>
      <c r="K60" s="240">
        <f>B60*Table1611[[#This Row],[سعر البرجولا كاملة]]</f>
        <v>5547.6381003698771</v>
      </c>
      <c r="L60" s="241">
        <f t="shared" si="9"/>
        <v>0.039433214330401159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61024.019104068648</v>
      </c>
      <c r="L61" s="576">
        <f>Table1611[[#Totals],[اجمالي]]/$G$83</f>
        <v>0.43376535763441276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1" t="s">
        <v>220</v>
      </c>
      <c r="E65" s="681"/>
      <c r="F65" s="681"/>
      <c r="G65" s="681"/>
      <c r="H65" s="681"/>
      <c r="I65" s="681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0.0079610816803469351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0.0059708112602602009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0.011941622520520402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0.0059708112602602009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0.042648651859001435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0.031986488894251076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0.028432434572667625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0.062551356059868765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0.039805408401734674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0.049756760502168339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0.08529730371800287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0.014927028150650503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0.387249758879733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140684.40005644958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182889.72007338447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3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46132.333028229164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0.0047706422056042509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0.039357798196235069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0.015855369683331774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0.015715056677284591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0.075698866762455685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1" t="s">
        <v>146</v>
      </c>
      <c r="E11" s="681"/>
      <c r="F11" s="681"/>
      <c r="G11" s="681"/>
      <c r="H11" s="681"/>
      <c r="I11" s="681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1" t="s">
        <v>160</v>
      </c>
      <c r="E16" s="681"/>
      <c r="F16" s="681"/>
      <c r="G16" s="681"/>
      <c r="H16" s="681"/>
      <c r="I16" s="681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0.002494453440838824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0.00311806680104853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0.00205792408869203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0.00081069736827261778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0.002993344129006589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0.00037416801612582363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0.00012472267204194121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0.002806260120943677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0.014779636636970033</v>
      </c>
    </row>
    <row r="29" ht="18" s="216" customFormat="1">
      <c r="C29" s="217"/>
      <c r="D29" s="681" t="s">
        <v>183</v>
      </c>
      <c r="E29" s="681"/>
      <c r="F29" s="681"/>
      <c r="G29" s="681"/>
      <c r="H29" s="681"/>
      <c r="I29" s="681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0.015715056677284591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0.0067350242902648252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0.022450080967549416</v>
      </c>
    </row>
    <row r="34" ht="18" s="216" customFormat="1">
      <c r="C34" s="217"/>
      <c r="D34" s="681" t="s">
        <v>187</v>
      </c>
      <c r="E34" s="681"/>
      <c r="F34" s="681"/>
      <c r="G34" s="681"/>
      <c r="H34" s="681"/>
      <c r="I34" s="681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0.0074833603225164724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0.0020735144226972724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0.016463392709536239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0.028623853233625506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0.00046771002015727952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0.00046771002015727952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0.0015590334005242651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0.0046771002015727949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0.001247226720419412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0.063062901051206516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1" t="s">
        <v>207</v>
      </c>
      <c r="E52" s="681"/>
      <c r="F52" s="681"/>
      <c r="G52" s="681"/>
      <c r="H52" s="681"/>
      <c r="I52" s="681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202</v>
      </c>
      <c r="J54" s="403">
        <f>Table161027[[#This Row],[سعر الكيلو]]*Table161027[[#This Row],[الوزن]]</f>
        <v>353.5</v>
      </c>
      <c r="K54" s="240">
        <f ref="K54:K55" t="shared" si="13">B54*J54</f>
        <v>1060.5</v>
      </c>
      <c r="L54" s="241">
        <f>(Table161027[[#This Row],[اجمالي]])/$G$85</f>
        <v>0.0066134196850239323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0.14966720645032944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25060.5</v>
      </c>
      <c r="L56" s="241">
        <f>Table161027[[#Totals],[اجمالي]]/$G$85</f>
        <v>0.15628062613535337</v>
      </c>
    </row>
    <row r="57" ht="18" s="216" customFormat="1">
      <c r="C57" s="217"/>
      <c r="D57" s="681" t="s">
        <v>211</v>
      </c>
      <c r="E57" s="681"/>
      <c r="F57" s="681"/>
      <c r="G57" s="681"/>
      <c r="H57" s="681"/>
      <c r="I57" s="681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3473.5238127311732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3473.5238127311732</v>
      </c>
      <c r="I60" s="579"/>
      <c r="J60" s="403">
        <f>IF((Table161128[[#This Row],[عدد]]&gt;0),'Cutting Ro-2'!O8,0)</f>
        <v>55576.381003698771</v>
      </c>
      <c r="K60" s="581">
        <f>Table161128[[#This Row],[عدد]]*Table161128[[#This Row],[سعر البرجولا كاملة]]</f>
        <v>55576.381003698771</v>
      </c>
      <c r="L60" s="241">
        <f>Table161128[[#Totals],[اجمالي]]/$G$85</f>
        <v>0.38123991076612612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55576.381003698771</v>
      </c>
      <c r="K61" s="240">
        <f>Table161128[[#This Row],[عدد]]*Table161128[[#This Row],[سعر البرجولا كاملة]]</f>
        <v>5557.6381003698771</v>
      </c>
      <c r="L61" s="241">
        <f>(K61)/$G$85</f>
        <v>0.034658173706011465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61134.019104068648</v>
      </c>
      <c r="L62" s="576">
        <f>Table161128[[#Totals],[اجمالي]]/$G$85</f>
        <v>0.38123991076612612</v>
      </c>
    </row>
    <row r="63" ht="18" s="216" customFormat="1">
      <c r="C63" s="217"/>
      <c r="D63" s="681" t="s">
        <v>250</v>
      </c>
      <c r="E63" s="681"/>
      <c r="F63" s="681"/>
      <c r="G63" s="681"/>
      <c r="H63" s="681"/>
      <c r="I63" s="681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1" t="s">
        <v>220</v>
      </c>
      <c r="E67" s="681"/>
      <c r="F67" s="681"/>
      <c r="G67" s="681"/>
      <c r="H67" s="681"/>
      <c r="I67" s="681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0.010476704451523062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0.0052383522257615309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0.010476704451523062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0.0052383522257615309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0.024944534408388241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0.02806260120943677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0.024944534408388241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0.05487797569845413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0.02993344129006589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0.043652935214679424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0.037416801612582359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0.011225040483774708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0.28648797768033896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160355.76910406863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208462.49983528923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5107.5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2" t="s">
        <v>110</v>
      </c>
      <c r="M3" s="683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84">
        <f>NOW()</f>
        <v>46132.333028229164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10</v>
      </c>
      <c r="F4" s="384">
        <f>B4*C4*D4*E4</f>
        <v>3178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0.014112762303161813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0.039432718200010944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0.05354548050317276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0.0049194814128668629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0.0027057147770767746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0.0015988314591817304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0.0024597407064334315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2547.04</v>
      </c>
      <c r="F15" s="387">
        <f>SUBTOTAL(109,Table8[اجمالي التكلفة])</f>
        <v>31838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0.029516888477201176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0.041200656832759974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0.0031402689685466811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0.00055344165894752209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0.00055344165894752209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0.00030746758830417893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0.0018448055298250735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0.00098389628257337263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0.002797955053568028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0.005952572509568905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0.013799145363091552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0.02993299461337284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31838</v>
      </c>
      <c r="V50" s="240">
        <f>M50*Table161368[[#This Row],[سعر الشبك ]]</f>
        <v>31838</v>
      </c>
      <c r="W50" s="241">
        <f t="shared" si="6" ca="1"/>
        <v>0.39156612305713795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31838</v>
      </c>
      <c r="V51" s="240">
        <f>M51*Table161368[[#This Row],[سعر الشبك ]]</f>
        <v>3183.8</v>
      </c>
      <c r="W51" s="241">
        <f t="shared" si="6" ca="1"/>
        <v>0.039156612305713795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35021.8</v>
      </c>
      <c r="W52" s="244">
        <f>Table161368[[#Totals],[اجمالي]]/$R$71</f>
        <v>0.43072273536285177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0.0068872739780136078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0.0068872739780136078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0.010330910967020412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0.010330910967020412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0.049194814128668628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0.036896110596501469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0.024597407064334314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0.10822859108307098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0.034436369890068042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0.14758444238600588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0.0092240276491253673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0.44459813268784271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81309.383333333331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105702.19833333333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7150.5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2" t="s">
        <v>110</v>
      </c>
      <c r="M3" s="683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84">
        <f>NOW()</f>
        <v>46132.333028229164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13</v>
      </c>
      <c r="F4" s="384">
        <f>B4*C4*D4*E4</f>
        <v>8262.8000000000011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0.04483978169115669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0.04483978169115669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0.0034962792741642643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0.0019229536007903452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0.0011362907641033859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0.0069925585483285287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1874.6657142857148</v>
      </c>
      <c r="F17" s="387">
        <f>SUBTOTAL(109,Table823[اجمالي التكلفة])</f>
        <v>65613.300000000017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0.013548082187386524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0.011013279713617432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0.0047199770201217569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0.015733256733739188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0.0026455179841176272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0.00039333141834347972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0.00039333141834347972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0.00065555236390579948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0.0039333141834347971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0.0010488837822492793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0.0017481396370821322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0.026921350411064835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0.031466513467478377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0.038022037106536372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0.0015079452509470476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0.0015079452509470476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0.11024386227445029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65613.300000000017</v>
      </c>
      <c r="V50" s="240">
        <f>M50*Table16136845[[#This Row],[سعر الشبك ]]</f>
        <v>65613.300000000017</v>
      </c>
      <c r="W50" s="241">
        <f t="shared" si="6"/>
        <v>0.57350605224880546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65613.300000000017</v>
      </c>
      <c r="V51" s="240">
        <f>M51*Table16136845[[#This Row],[سعر الشبك ]]</f>
        <v>6561.3300000000017</v>
      </c>
      <c r="W51" s="241">
        <f t="shared" si="6"/>
        <v>0.057350605224880544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72174.630000000019</v>
      </c>
      <c r="W52" s="244">
        <f>Table16136845[[#Totals],[اجمالي]]/$R$71</f>
        <v>0.630856657473686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0.00978958196765994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0.00978958196765994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0.00489479098382997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0.0073421864757449544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0.017481396370821321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0.013111047278115991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0.069925585483285285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0.052444189112463964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0.18477835963958136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114407.33666666668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148729.5376666667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Q15" sqref="Q15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70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3672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3859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70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70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 t="e">
        <f>N8*N7</f>
        <v>#VALUE!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8450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202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202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25920.7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 t="e">
        <f>IF(تسعير!AI8="نصف جملة",((N6+N9+N10+N11+تسعير!AO8)*1.275),IF(تسعير!AI8="جملة",(((N6+N9+N10+N11+تسعير!AO8)*1.25)),((N6+N9+N10+N11+تسعير!AO8)*1.3)))</f>
        <v>#VALUE!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 t="e">
        <f>N6+N9+N10+N11</f>
        <v>#VALUE!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 t="e">
        <f>N18*1.8</f>
        <v>#VALUE!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1" t="s">
        <v>220</v>
      </c>
      <c r="M29" s="681"/>
      <c r="N29" s="681"/>
      <c r="O29" s="681"/>
      <c r="P29" s="681"/>
      <c r="Q29" s="681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1" t="s">
        <v>220</v>
      </c>
      <c r="M62" s="681"/>
      <c r="N62" s="681"/>
      <c r="O62" s="681"/>
      <c r="P62" s="681"/>
      <c r="Q62" s="681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6" t="s">
        <v>93</v>
      </c>
      <c r="BH1" s="687"/>
      <c r="BI1" s="688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9"/>
      <c r="M2" s="690"/>
      <c r="N2" s="69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9"/>
      <c r="BH2" s="690"/>
      <c r="BI2" s="69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80076.8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2" t="s">
        <v>110</v>
      </c>
      <c r="M3" s="683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84">
        <f>NOW()</f>
        <v>46132.333028402776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62560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2" t="s">
        <v>110</v>
      </c>
      <c r="BH3" s="683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84">
        <f>NOW()</f>
        <v>46132.333028402776</v>
      </c>
      <c r="BN3" s="685"/>
      <c r="BO3" s="685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8268.8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4624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1" t="s">
        <v>113</v>
      </c>
      <c r="BK4" s="681"/>
      <c r="BL4" s="681"/>
      <c r="BM4" s="681"/>
      <c r="BN4" s="681"/>
      <c r="BO4" s="681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11369.6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3699.2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3699.2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0.010890517395107121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0.010890517395107121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5086.4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0.0282771328855413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0.0282771328855413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1414.4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0.033626860728751817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0.033626860728751817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0.072794511009400237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0.072794511009400237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1" t="s">
        <v>160</v>
      </c>
      <c r="P12" s="681"/>
      <c r="Q12" s="681"/>
      <c r="R12" s="681"/>
      <c r="S12" s="681"/>
      <c r="T12" s="681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1" t="s">
        <v>160</v>
      </c>
      <c r="BK12" s="681"/>
      <c r="BL12" s="681"/>
      <c r="BM12" s="681"/>
      <c r="BN12" s="681"/>
      <c r="BO12" s="681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0.0033966525988638196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5016.2585</v>
      </c>
      <c r="AX14" s="194"/>
      <c r="AY14" s="194"/>
      <c r="AZ14" s="194"/>
      <c r="BA14" s="194">
        <f>SUBTOTAL(109,Table8091[price])</f>
        <v>91204.7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0.0033966525988638196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0.00093407946468755047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0.00093407946468755047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0.00055195604731537074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0.00055195604731537074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0.0033966525988638196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0.0033966525988638196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0.00827934070973056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0.00827934070973056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1" t="s">
        <v>183</v>
      </c>
      <c r="P20" s="681"/>
      <c r="Q20" s="681"/>
      <c r="R20" s="681"/>
      <c r="S20" s="681"/>
      <c r="T20" s="681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1" t="s">
        <v>183</v>
      </c>
      <c r="BK20" s="681"/>
      <c r="BL20" s="681"/>
      <c r="BM20" s="681"/>
      <c r="BN20" s="681"/>
      <c r="BO20" s="681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0.0045854810084661564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0.0045854810084661564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0.0026748639216052582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0.0026748639216052582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8259.0156862745116</v>
      </c>
      <c r="C24" s="194"/>
      <c r="D24" s="194"/>
      <c r="E24" s="194"/>
      <c r="F24" s="194">
        <f>SUBTOTAL(109,Table80102114[price])</f>
        <v>153167.2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0.0011463702521165391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0.0011463702521165391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0.0084067151821879543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0.0084067151821879543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1" t="s">
        <v>187</v>
      </c>
      <c r="P26" s="681"/>
      <c r="Q26" s="681"/>
      <c r="R26" s="681"/>
      <c r="S26" s="681"/>
      <c r="T26" s="681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1" t="s">
        <v>187</v>
      </c>
      <c r="BK26" s="681"/>
      <c r="BL26" s="681"/>
      <c r="BM26" s="681"/>
      <c r="BN26" s="681"/>
      <c r="BO26" s="681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0.0043816818525343271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0.00031843618114348309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0.00022927405042330782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0.00031843618114348309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0.00022927405042330782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0.00016983262994319098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0.00010614539371449436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0.00063687236228696618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0.00063687236228696618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0.00033966525988638195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0.00033966525988638195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0.012143033040938155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0.0032268199689206288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0.0016134099844603144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0.017322928254205481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0.030569873389774377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0.036938597012644042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0.0040335249611507858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0.0040335249611507858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0.078730161425914755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0.0388577057310021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1" t="s">
        <v>250</v>
      </c>
      <c r="BK44" s="681"/>
      <c r="BL44" s="681"/>
      <c r="BM44" s="681"/>
      <c r="BN44" s="681"/>
      <c r="BO44" s="681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1" t="s">
        <v>250</v>
      </c>
      <c r="P45" s="681"/>
      <c r="Q45" s="681"/>
      <c r="R45" s="681"/>
      <c r="S45" s="681"/>
      <c r="T45" s="681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91204.7</v>
      </c>
      <c r="BQ46" s="252">
        <f>BH46*Table1613687787[[#This Row],[سعر الشبك ]]</f>
        <v>91204.7</v>
      </c>
      <c r="BR46" s="241">
        <f>(BQ46)/$R$68</f>
        <v>0.38723835160449377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153167.2</v>
      </c>
      <c r="V47" s="252">
        <f>M47*Table16136877[[#This Row],[سعر الشبك ]]</f>
        <v>153167.2</v>
      </c>
      <c r="W47" s="241">
        <f>(V47)/$R$68</f>
        <v>0.65031970992586807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91204.7</v>
      </c>
      <c r="BQ47" s="240">
        <f>BH47*Table1613687787[[#This Row],[سعر الشبك ]]</f>
        <v>9120.47</v>
      </c>
      <c r="BR47" s="241">
        <f>(BQ47)/$R$68</f>
        <v>0.038723835160449374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153167.2</v>
      </c>
      <c r="V48" s="240">
        <f>M48*Table16136877[[#This Row],[سعر الشبك ]]</f>
        <v>38291.8</v>
      </c>
      <c r="W48" s="241">
        <f>(V48)/$R$68</f>
        <v>0.16257992748146702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100325.17</v>
      </c>
      <c r="BR48" s="244">
        <f>Table1613687787[[#Totals],[اجمالي]]/$R$68</f>
        <v>0.42596218676494313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191459</v>
      </c>
      <c r="W49" s="244">
        <f>Table16136877[[#Totals],[اجمالي]]/$R$68</f>
        <v>0.81289963740733506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1" t="s">
        <v>220</v>
      </c>
      <c r="BK49" s="681"/>
      <c r="BL49" s="681"/>
      <c r="BM49" s="681"/>
      <c r="BN49" s="681"/>
      <c r="BO49" s="681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1" t="s">
        <v>220</v>
      </c>
      <c r="P50" s="681"/>
      <c r="Q50" s="681"/>
      <c r="R50" s="681"/>
      <c r="S50" s="681"/>
      <c r="T50" s="681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0.0023776568192046738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0.0023776568192046738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0.0023776568192046738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0.0023776568192046738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0.0071329704576140211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0.0071329704576140211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0.016983262994319098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0.010869288316364223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0.012737447245739324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0.0081519662372731665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0.016983262994319098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0.010869288316364223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0.029890542870001615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0.015284936694887188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0.050949788982957295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0.016983262994319098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0.0044581065360087633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0.15917563241425575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0.058762089960344079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177433.16999999998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235526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230663.12099999999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353289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7" t="s">
        <v>93</v>
      </c>
      <c r="BH71" s="687"/>
      <c r="BI71" s="687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7" t="s">
        <v>93</v>
      </c>
      <c r="M72" s="687"/>
      <c r="N72" s="687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202000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85">
        <f>NOW()</f>
        <v>46132.333028483794</v>
      </c>
      <c r="BN73" s="685"/>
      <c r="BO73" s="685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85">
        <f>NOW()</f>
        <v>46132.333028483794</v>
      </c>
      <c r="S74" s="685"/>
      <c r="T74" s="685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62560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1" t="s">
        <v>113</v>
      </c>
      <c r="BK74" s="681"/>
      <c r="BL74" s="681"/>
      <c r="BM74" s="681"/>
      <c r="BN74" s="681"/>
      <c r="BO74" s="681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1" t="s">
        <v>113</v>
      </c>
      <c r="P75" s="681"/>
      <c r="Q75" s="681"/>
      <c r="R75" s="681"/>
      <c r="S75" s="681"/>
      <c r="T75" s="681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4624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29237.599999999995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3699.2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0.0320983670592631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6038.1999999999989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0.0641967341185262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0.0282771328855413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5175.5999999999995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0.021207849664155974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0.033626860728751817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2701.3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0.025220145546563863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2315.4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1032.85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0.0940023606735562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0.11062472932924602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1" t="s">
        <v>160</v>
      </c>
      <c r="BK82" s="681"/>
      <c r="BL82" s="681"/>
      <c r="BM82" s="681"/>
      <c r="BN82" s="681"/>
      <c r="BO82" s="681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1" t="s">
        <v>160</v>
      </c>
      <c r="P83" s="681"/>
      <c r="Q83" s="681"/>
      <c r="R83" s="681"/>
      <c r="S83" s="681"/>
      <c r="T83" s="681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0.0050949788982957295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0.0033966525988638196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5016.2585</v>
      </c>
      <c r="AX85" s="300"/>
      <c r="AY85" s="300"/>
      <c r="AZ85" s="300"/>
      <c r="BA85" s="300">
        <f>SUBTOTAL(109,Table80102113[price])</f>
        <v>91204.7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0.00093407946468755047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0.00093407946468755047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0.00055195604731537074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0.00055195604731537074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0.0020379915593182916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0.020379915593182918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0.0086190059696169431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0.02526260370404966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1" t="s">
        <v>183</v>
      </c>
      <c r="BK90" s="681"/>
      <c r="BL90" s="681"/>
      <c r="BM90" s="681"/>
      <c r="BN90" s="681"/>
      <c r="BO90" s="681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1" t="s">
        <v>183</v>
      </c>
      <c r="P91" s="681"/>
      <c r="Q91" s="681"/>
      <c r="R91" s="681"/>
      <c r="S91" s="681"/>
      <c r="T91" s="681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0.0091709620169323127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0.0022927405042330782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0.011463702521165391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1" t="s">
        <v>187</v>
      </c>
      <c r="BK96" s="681"/>
      <c r="BL96" s="681"/>
      <c r="BM96" s="681"/>
      <c r="BN96" s="681"/>
      <c r="BO96" s="681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9807.9450231481478</v>
      </c>
      <c r="C97" s="194"/>
      <c r="D97" s="194"/>
      <c r="E97" s="194"/>
      <c r="F97" s="194">
        <f>SUBTOTAL(109,Table80102114115[price])</f>
        <v>77036.95</v>
      </c>
      <c r="L97" s="216"/>
      <c r="M97" s="216"/>
      <c r="N97" s="217"/>
      <c r="O97" s="681" t="s">
        <v>187</v>
      </c>
      <c r="P97" s="681"/>
      <c r="Q97" s="681"/>
      <c r="R97" s="681"/>
      <c r="S97" s="681"/>
      <c r="T97" s="681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0.00022927405042330782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0.00031843618114348309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0.00022927405042330782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0.00031843618114348309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0.00010614539371449436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0.00016983262994319098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0.00063687236228696618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0.00063687236228696618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0.00033966525988638195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0.00033966525988638195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0.0016134099844603144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0.0016134099844603144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0.038212341737217971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0.046173246265805046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0.038212341737217971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0.0040335249611507858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0.046173246265805046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0.0040335249611507858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0.0040335249611507858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0.09560727902651936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0.091815765563037624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1" t="s">
        <v>250</v>
      </c>
      <c r="BK115" s="681"/>
      <c r="BL115" s="681"/>
      <c r="BM115" s="681"/>
      <c r="BN115" s="681"/>
      <c r="BO115" s="681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1" t="s">
        <v>250</v>
      </c>
      <c r="P116" s="681"/>
      <c r="Q116" s="681"/>
      <c r="R116" s="681"/>
      <c r="S116" s="681"/>
      <c r="T116" s="681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91204.7</v>
      </c>
      <c r="BQ117" s="252">
        <f>BH117*Table1613687798109[[#This Row],[سعر الشبك ]]</f>
        <v>91204.7</v>
      </c>
      <c r="BR117" s="241">
        <f>(BQ117)/$R$68</f>
        <v>0.38723835160449377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77036.95</v>
      </c>
      <c r="V118" s="252">
        <f>M118*Table1613687798[[#This Row],[سعر الشبك ]]</f>
        <v>77036.95</v>
      </c>
      <c r="W118" s="241">
        <f>(V118)/$R$68</f>
        <v>0.32708469553255265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91204.7</v>
      </c>
      <c r="BQ118" s="240">
        <f>BH118*Table1613687798109[[#This Row],[سعر الشبك ]]</f>
        <v>9120.47</v>
      </c>
      <c r="BR118" s="241">
        <f>(BQ118)/$R$68</f>
        <v>0.038723835160449374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77036.95</v>
      </c>
      <c r="V119" s="240">
        <f>M119*Table1613687798[[#This Row],[سعر الشبك ]]</f>
        <v>7703.695</v>
      </c>
      <c r="W119" s="241">
        <f>(V119)/$R$68</f>
        <v>0.032708469553255265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100325.17</v>
      </c>
      <c r="BR119" s="244">
        <f>Table1613687798109[[#Totals],[اجمالي]]/$R$68</f>
        <v>0.42596218676494313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84740.64499999999</v>
      </c>
      <c r="W120" s="244">
        <f>Table1613687798[[#Totals],[اجمالي]]/$R$68</f>
        <v>0.35979316508580789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1" t="s">
        <v>220</v>
      </c>
      <c r="BK120" s="681"/>
      <c r="BL120" s="681"/>
      <c r="BM120" s="681"/>
      <c r="BN120" s="681"/>
      <c r="BO120" s="681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1" t="s">
        <v>220</v>
      </c>
      <c r="P121" s="681"/>
      <c r="Q121" s="681"/>
      <c r="R121" s="681"/>
      <c r="S121" s="681"/>
      <c r="T121" s="681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0.0023776568192046738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0.0023776568192046738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0.0023776568192046738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0.0023776568192046738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0.0071329704576140211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0.0071329704576140211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0.016983262994319098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0.016983262994319098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0.012737447245739324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0.012737447245739324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0.016983262994319098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0.016983262994319098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0.037363178587502016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0.037363178587502016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0.015284936694887188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0.015284936694887188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0.050949788982957295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0.050949788982957295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0.0044581065360087633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0.0044581065360087633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0.16664826813175615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0.16664826813175615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188963.16999999998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177620.645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245652.12099999999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230906.83849999998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2026-02-07T11:56:39Z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