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6830" yWindow="-105" windowWidth="11460" windowHeight="12570" tabRatio="927" activeTab="6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<sst xmlns="http://schemas.openxmlformats.org/spreadsheetml/2006/main" count="595" uniqueCount="595">
  <si>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</si>
  <si>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</si>
  <si>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</si>
  <si>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</si>
  <si>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</si>
  <si>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</si>
  <si>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</si>
  <si>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</si>
  <si>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</si>
  <si>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</si>
  <si>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</si>
  <si>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</si>
  <si>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</si>
  <si>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</si>
  <si>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</si>
  <si>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</si>
  <si>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</si>
  <si>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</si>
  <si>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</si>
  <si>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</si>
  <si>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</si>
  <si>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</si>
  <si>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</si>
  <si>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</si>
  <si>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</si>
  <si>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</si>
  <si>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</si>
  <si>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</si>
  <si>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</si>
  <si>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</si>
  <si>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</si>
  <si>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</si>
  <si>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</si>
  <si>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</si>
  <si>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</si>
  <si>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</si>
  <si>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</si>
  <si>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</si>
  <si>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</si>
  <si>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</si>
  <si>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</si>
  <si>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</si>
  <si>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</si>
  <si>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</si>
  <si>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</si>
  <si>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</si>
  <si>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</si>
  <si>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</si>
  <si>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</si>
  <si>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</si>
  <si>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</si>
  <si>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</si>
  <si>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</si>
  <si>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</si>
  <si>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</si>
  <si>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</si>
  <si>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</si>
  <si>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</si>
  <si>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</si>
  <si>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</si>
  <si>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</si>
  <si>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</si>
  <si>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</si>
  <si>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</si>
  <si>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</si>
  <si>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</si>
  <si>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</si>
  <si>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</si>
  <si>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</si>
  <si>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</si>
  <si>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</si>
  <si>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</si>
  <si>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</si>
  <si>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</si>
  <si>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</si>
  <si>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</si>
  <si>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</si>
  <si>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</si>
  <si>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</si>
  <si>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</si>
  <si>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</si>
  <si>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</si>
  <si>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</si>
  <si>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</si>
  <si>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</si>
  <si>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</si>
  <si>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</si>
  <si>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</si>
  <si>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</si>
  <si>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</si>
  <si>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</si>
  <si>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</si>
  <si>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</si>
  <si>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</si>
  <si>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</si>
  <si>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</si>
  <si>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</si>
  <si>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</si>
  <si>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</si>
  <si>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</si>
  <si>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</si>
  <si>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</si>
  <si>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</si>
  <si>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</si>
  <si>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</si>
  <si>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</si>
  <si>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</si>
  <si>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</si>
  <si>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</si>
  <si>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</si>
  <si>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</si>
  <si>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</si>
  <si>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</si>
  <si>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</si>
  <si>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</si>
  <si>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</si>
  <si>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</si>
  <si>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</si>
  <si>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</si>
  <si>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</si>
  <si>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</si>
  <si>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</si>
  <si>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</si>
  <si>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</si>
  <si>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</si>
  <si>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</si>
  <si>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</si>
  <si>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</si>
  <si>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</si>
  <si>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</si>
  <si>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</si>
  <si>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</si>
  <si>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</si>
  <si>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</si>
  <si>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</si>
  <si>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</si>
  <si>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</si>
  <si>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</si>
  <si>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</si>
  <si>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</si>
  <si>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</si>
  <si>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</si>
  <si>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</si>
  <si>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</si>
  <si>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</si>
  <si>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</si>
  <si>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</si>
  <si>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</si>
  <si>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</si>
  <si>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</si>
  <si>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</si>
  <si>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</si>
  <si>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</si>
  <si>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</si>
  <si>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</si>
  <si>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</si>
  <si>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</si>
  <si>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</si>
  <si>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</si>
  <si>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</si>
  <si>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</si>
  <si>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</si>
  <si>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</si>
  <si>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</si>
  <si>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</si>
  <si>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</si>
  <si>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</si>
  <si>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</si>
  <si>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</si>
  <si>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</si>
  <si>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</si>
  <si>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</si>
  <si>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</si>
  <si>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</si>
  <si>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</si>
  <si>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</si>
  <si>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</si>
  <si>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</si>
  <si>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</si>
  <si>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</si>
  <si>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</si>
  <si>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بولي استر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</si>
  <si>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</si>
  <si>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</si>
  <si>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</si>
  <si>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</si>
  <si>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</si>
  <si>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</si>
  <si>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</si>
  <si>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</si>
  <si>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</si>
  <si>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</si>
  <si>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</si>
  <si>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</si>
  <si>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</si>
  <si>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</si>
  <si>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</si>
  <si>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</si>
  <si>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C</t>
  </si>
  <si>
    <t>المقاس</t>
  </si>
  <si>
    <t>4*4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</si>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</sst>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2" applyNumberFormat="1" fontId="106" applyFont="1" fillId="0" borderId="0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203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xmlns="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xmlns="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xmlns="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xmlns="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xmlns="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xmlns="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xmlns="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xmlns="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xmlns="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xmlns="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xmlns="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xmlns="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xmlns="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xmlns="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xmlns="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xmlns="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xmlns="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xmlns="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xmlns="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xmlns="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xmlns="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xmlns="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xmlns="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xmlns="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xmlns="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xmlns="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xmlns="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xmlns="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xmlns="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xmlns="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xmlns="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xmlns="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xmlns="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xmlns="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xmlns="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xmlns="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xmlns="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xmlns="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xmlns="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xmlns="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xmlns="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xmlns="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xmlns="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xmlns="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xmlns="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xmlns="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xmlns="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xmlns="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xmlns="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xmlns="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xmlns="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xmlns="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xmlns="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xmlns="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xmlns="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xmlns="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xmlns="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xmlns="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xmlns="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xmlns="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xmlns="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xmlns="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xmlns="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xmlns="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xmlns="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xmlns="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xmlns="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xmlns="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xmlns="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xmlns="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xmlns="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xmlns="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xmlns="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xmlns="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xmlns="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952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943" totalsRowDxfId="1942"/>
    <tableColumn id="2" name="عدد" dataDxfId="1962" totalsRowDxfId="19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43" totalsRowDxfId="1942"/>
    <tableColumn id="4" name="الوحده" totalsRowLabel="total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2005">
      <calculatedColumnFormula>BP28</calculatedColumnFormula>
    </tableColumn>
    <tableColumn id="8" name="اجمالي" totalsRowFunction="sum" dataDxfId="1964" totalsRowDxfId="2006">
      <calculatedColumnFormula>BH98*BP99</calculatedColumnFormula>
    </tableColumn>
    <tableColumn id="9" name="%" totalsRowFunction="custom" totalsRowDxfId="200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943" totalsRowDxfId="1942"/>
    <tableColumn id="2" name="عدد" dataDxfId="1962" totalsRowDxfId="1942">
      <calculatedColumnFormula>IF((#REF!="بالتات"),0,4)</calculatedColumnFormula>
    </tableColumn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86" totalsRowDxfId="2002"/>
    <tableColumn id="4" name="الوحده" dataDxfId="1943" totalsRowDxfId="1942"/>
    <tableColumn id="5" name="الوزن" dataDxfId="1943" totalsRowDxfId="1942"/>
    <tableColumn id="6" name="سعر الكيلو" dataDxfId="1943" totalsRowDxfId="1942"/>
    <tableColumn id="7" name="سعر الشبك " dataDxfId="2020" totalsRowDxfId="2005">
      <calculatedColumnFormula>Sheet2!AW26</calculatedColumnFormula>
    </tableColumn>
    <tableColumn id="8" name="اجمالي" totalsRowFunction="sum" dataDxfId="1964" totalsRowDxfId="2006">
      <calculatedColumnFormula>BH84*BP84</calculatedColumnFormula>
    </tableColumn>
    <tableColumn id="9" name="%" totalsRowFunction="custom" totalsRowDxfId="200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943"/>
    <tableColumn id="2" name="عدد" totalsRowFunction="sum" dataDxfId="1943">
      <calculatedColumnFormula>BH90*4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86">
      <calculatedColumnFormula>(Table16627394105[[#This Row],[Column1]]*Table16627394105[[#This Row],[Column2]])*Table16627394105[[#This Row],[عدد]]</calculatedColumnFormula>
    </tableColumn>
    <tableColumn id="4" name="الوحده" dataDxfId="1943"/>
    <tableColumn id="5" name="الوزن" totalsRowFunction="custom">
      <totalsRowFormula>(BN93*BH93)+(BH94*BN94)</totalsRowFormula>
    </tableColumn>
    <tableColumn id="6" name="سعر الكيلو" dataDxfId="1962"/>
    <tableColumn id="7" name="سعر الشبك " dataDxfId="1983">
      <calculatedColumnFormula>BN92*$S$2/1000</calculatedColumnFormula>
    </tableColumn>
    <tableColumn id="8" name="اجمالي" totalsRowFunction="sum" dataDxfId="1964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977"/>
    <tableColumn id="2" name="المعدل" dataDxfId="1977"/>
    <tableColumn id="3" name="الوحدة" dataDxfId="1977"/>
    <tableColumn id="4" name="Column4" dataDxfId="1201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977"/>
    <tableColumn id="2" name="Column2" dataDxfId="2021"/>
    <tableColumn id="3" name="Column3" dataDxfId="1977"/>
    <tableColumn id="4" name="Column4" dataDxfId="1977"/>
    <tableColumn id="5" name="Column5" dataDxfId="197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943"/>
    <tableColumn id="2" name="عدد" dataDxfId="2003">
      <calculatedColumnFormula>IF((تسعير!$AU$14="بالتات"),0,BH119-2)</calculatedColumnFormula>
    </tableColumn>
    <tableColumn id="3" name="بيان" totalsRowLabel="Total" dataDxfId="2013"/>
    <tableColumn id="5" name="اليومية / الاجرة" dataDxfId="2013"/>
    <tableColumn id="6" name="بدل الوجبة" dataDxfId="1205"/>
    <tableColumn id="11" name="موقع العمل" dataDxfId="1971">
      <calculatedColumnFormula>تسعير!$BE$44</calculatedColumnFormula>
    </tableColumn>
    <tableColumn id="10" name="شيفت العمل" dataDxfId="1943"/>
    <tableColumn id="12" name="Column12" totalsRowFunction="sum" dataDxfId="1986">
      <calculatedColumnFormula>SUMIF(Table17697899110[Column1],Table1612677697108[[#This Row],[موقع العمل]],$AE$2:$AE$8)</calculatedColumnFormula>
    </tableColumn>
    <tableColumn id="4" name="عدد الايام" dataDxfId="2009"/>
    <tableColumn id="7" name="اجمالي التكلفة للعامل" dataDxfId="2010">
      <calculatedColumnFormula>Table1612677697108[[#This Row],[Column12]]</calculatedColumnFormula>
    </tableColumn>
    <tableColumn id="8" name="اجمالي" totalsRowFunction="sum" dataDxfId="1964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71"/>
    <tableColumn id="2" name="عدد" dataDxfId="2003">
      <calculatedColumnFormula>IF((BL133="الاسكندرية"),0.25,0.1)</calculatedColumnFormula>
    </tableColumn>
    <tableColumn id="3" name="بيان" totalsRowLabel="Total" dataDxfId="1971"/>
    <tableColumn id="11" name="Column2" dataDxfId="1971"/>
    <tableColumn id="10" name="Column1" dataDxfId="1971"/>
    <tableColumn id="12" name="Column12" totalsRowFunction="sum" dataDxfId="2022"/>
    <tableColumn id="4" name="الوحده" dataDxfId="2023"/>
    <tableColumn id="5" name="الوزن" dataDxfId="1971"/>
    <tableColumn id="6" name="سعر الكيلو" dataDxfId="1971"/>
    <tableColumn id="7" name="سعر الشبك " dataDxfId="2014">
      <calculatedColumnFormula>BQ116</calculatedColumnFormula>
    </tableColumn>
    <tableColumn id="8" name="اجمالي" totalsRowFunction="sum" dataDxfId="1964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977"/>
    <tableColumn id="2" name="خارجي" dataDxfId="1977"/>
    <tableColumn id="3" name="داخلي" dataDxfId="1977"/>
    <tableColumn id="4" name="بدل الوجبة" dataDxfId="1977"/>
    <tableColumn id="5" name="دبابة" dataDxfId="1977"/>
    <tableColumn id="6" name="جامبو" dataDxfId="1977"/>
    <tableColumn id="7" name="الاقامة" dataDxfId="197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71"/>
    <tableColumn id="4" name="Column22" dataDxfId="1971"/>
    <tableColumn id="5" name="Column23" dataDxfId="1971"/>
    <tableColumn id="3" name="Column3" dataDxfId="2011">
      <calculatedColumnFormula>IF((BL133="المقطم"),0.3,IF((BL133="التجمع"),0.3,IF((BL133="الشيخ زايد"),0.3,IF((BL133="الاسكندرية"),0.5,0.35))))</calculatedColumnFormula>
    </tableColumn>
    <tableColumn id="2" name="Column2" dataDxfId="2003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943"/>
    <tableColumn id="2" name="عدد" dataDxfId="1943">
      <calculatedColumnFormula>IF(OR((BI69="B11"),(BI69="B12"),(BI69="B21"),(BI69="B22"),(BI69="B31"),(BI69="B32")),3,0)</calculatedColumnFormula>
    </tableColumn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986">
      <calculatedColumnFormula>(Table15880101112[[#This Row],[Column1]]+Table15880101112[[#This Row],[Column2]])*12*Table15880101112[[#This Row],[عدد]]</calculatedColumnFormula>
    </tableColumn>
    <tableColumn id="4" name="الوحده" dataDxfId="1943"/>
    <tableColumn id="5" name="الوزن" totalsRowFunction="custom">
      <totalsRowFormula>(BN76*BH76)+(BN77*BH77)+(BN78*BH78)+(BN79*BH79)</totalsRowFormula>
    </tableColumn>
    <tableColumn id="6" name="اجمالي المسطح" totalsRowFunction="sum" dataDxfId="1962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964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943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2024" totalsRowDxfId="2019"/>
    <tableColumn id="4" name="Column2" dataDxfId="1230" totalsRowDxfId="1231"/>
    <tableColumn id="5" name="wt/m" dataDxfId="2025" totalsRowDxfId="2026"/>
    <tableColumn id="6" name="price" totalsRowFunction="sum" dataDxfId="2024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2027"/>
    <tableColumn id="2" name="عدد" totalsRowFunction="custom" dataDxfId="2028" totalsRowDxfId="2029">
      <totalsRowFormula>(Table80102114[[#Totals],[price]]*1.1)/(F1*D1/10000)</totalsRowFormula>
    </tableColumn>
    <tableColumn id="3" name="طول" dataDxfId="1234" totalsRowDxfId="2030"/>
    <tableColumn id="4" name="Column2" dataDxfId="2028" totalsRowDxfId="2026"/>
    <tableColumn id="5" name="wt/m" dataDxfId="1234" totalsRowDxfId="2019"/>
    <tableColumn id="6" name="price" totalsRowFunction="sum" dataDxfId="2031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">
  <autoFilter ref="A75:F95"/>
  <tableColumns count="6">
    <tableColumn id="1" name="Column1" totalsRowLabel="Total" dataDxfId="2032" totalsRowDxfId="1232"/>
    <tableColumn id="2" name="عدد" totalsRowFunction="custom" dataDxfId="2031" totalsRowDxfId="1233">
      <totalsRowFormula>(Table80102114115[[#Totals],[price]]*1.1)/(F74*D74/10000)</totalsRowFormula>
    </tableColumn>
    <tableColumn id="3" name="طول" dataDxfId="2028" totalsRowDxfId="2033"/>
    <tableColumn id="4" name="Column2" dataDxfId="1234" totalsRowDxfId="2033"/>
    <tableColumn id="5" name="wt/m" dataDxfId="2034" totalsRowDxfId="2033"/>
    <tableColumn id="6" name="price" totalsRowFunction="sum" dataDxfId="2034" totalsRowDxfId="20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943"/>
    <tableColumn id="2" name="عدد" dataDxfId="1943">
      <calculatedColumnFormula>IF((F74="الاسكندرية"),0.25,0.1)</calculatedColumnFormula>
    </tableColumn>
    <tableColumn id="3" name="بيان برجولا رويال" totalsRowLabel="Total" dataDxfId="1943"/>
    <tableColumn id="12" name="Column12" totalsRowFunction="sum" dataDxfId="1199"/>
    <tableColumn id="5" name="Column1" dataDxfId="1943"/>
    <tableColumn id="11" name="العرض" dataDxfId="1953"/>
    <tableColumn id="10" name="الامتداد" dataDxfId="1191"/>
    <tableColumn id="4" name="سعر المتر" dataDxfId="1954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955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943" totalsRowDxfId="1942"/>
    <tableColumn id="2" name="عدد" dataDxfId="51" totalsRowDxfId="1942">
      <calculatedColumnFormula>B60</calculatedColumnFormula>
    </tableColumn>
    <tableColumn id="3" name="بيان" totalsRowLabel="Total" dataDxfId="81" totalsRowDxfId="1942"/>
    <tableColumn id="5" name="اليومية / الاجرة" dataDxfId="1204" totalsRowDxfId="1942"/>
    <tableColumn id="6" name="بدل الوجبة" dataDxfId="1205" totalsRowDxfId="1942"/>
    <tableColumn id="11" name="موقع العمل" dataDxfId="1202" totalsRowDxfId="1942">
      <calculatedColumnFormula>تسعير!$T$4</calculatedColumnFormula>
    </tableColumn>
    <tableColumn id="10" name="شيفت العمل" dataDxfId="1943" totalsRowDxfId="1942"/>
    <tableColumn id="12" name="Column12" totalsRowFunction="sum" dataDxfId="1950" totalsRowDxfId="1200">
      <calculatedColumnFormula>SUMIF(Table17[Column1],Table1612[[#This Row],[موقع العمل]],$T$2:$T$20)</calculatedColumnFormula>
    </tableColumn>
    <tableColumn id="4" name="عدد الايام" dataDxfId="76" totalsRowDxfId="1942"/>
    <tableColumn id="7" name="اجمالي التكلفة للعامل" dataDxfId="75" totalsRowDxfId="1947">
      <calculatedColumnFormula>Table1612[[#This Row],[Column12]]</calculatedColumnFormula>
    </tableColumn>
    <tableColumn id="8" name="اجمالي" totalsRowFunction="sum" dataDxfId="1196" totalsRowDxfId="1948">
      <calculatedColumnFormula>B63*J63</calculatedColumnFormula>
    </tableColumn>
    <tableColumn id="9" name="%" totalsRowFunction="custom" totalsRowDxfId="19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956"/>
    <tableColumn id="4" name="بدل الوجبة" dataDxfId="1206"/>
    <tableColumn id="5" name="دبابة" dataDxfId="1956"/>
    <tableColumn id="6" name="جامبو" dataDxfId="1206"/>
    <tableColumn id="7" name="الاقامة" dataDxfId="1957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53"/>
    <tableColumn id="4" name="Column22" dataDxfId="1202"/>
    <tableColumn id="5" name="Column23" dataDxfId="1958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5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943"/>
    <tableColumn id="2" name="عدد" dataDxfId="194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943"/>
    <tableColumn id="5" name="الوزن" dataDxfId="1943"/>
    <tableColumn id="6" name="اجمالي الميزان" totalsRowFunction="sum" dataDxfId="1944">
      <calculatedColumnFormula>Table118[[#This Row],[الوزن]]*Table118[[#This Row],[عدد]]</calculatedColumnFormula>
    </tableColumn>
    <tableColumn id="7" name="سعر الشبك " dataDxfId="1959">
      <calculatedColumnFormula>H6*$H$2/1000</calculatedColumnFormula>
    </tableColumn>
    <tableColumn id="8" name="اجمالي" totalsRowFunction="sum" dataDxfId="196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943"/>
    <tableColumn id="2" name="عدد" dataDxfId="194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dataDxfId="1943"/>
    <tableColumn id="4" name="الوحده" totalsRowLabel="total" dataDxfId="1943"/>
    <tableColumn id="5" name="الوزن" dataDxfId="193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943">
      <calculatedColumnFormula>Sheet2!B7</calculatedColumnFormula>
    </tableColumn>
    <tableColumn id="7" name="سعر الشبك " dataDxfId="1194"/>
    <tableColumn id="8" name="اجمالي" totalsRowFunction="sum" dataDxfId="1955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943"/>
    <tableColumn id="2" name="عدد" dataDxfId="1943">
      <calculatedColumnFormula>IF((تسعير!X30&lt;800),0,IF(AND((تسعير!X30&gt;800),(600&gt;=تسعير!AA32)),1,0))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36">
      <calculatedColumnFormula>(Table1421[[#This Row],[Column1]]+Table1421[[#This Row],[Column2]])*12*Table1421[[#This Row],[عدد]]</calculatedColumnFormula>
    </tableColumn>
    <tableColumn id="4" name="الوحده" dataDxfId="1943"/>
    <tableColumn id="5" name="الوزن" dataDxfId="1943"/>
    <tableColumn id="6" name="سعر الكيلو" totalsRowFunction="sum" dataDxfId="1191">
      <calculatedColumnFormula>Table1421[[#This Row],[الوزن]]*Table1421[[#This Row],[عدد]]</calculatedColumnFormula>
    </tableColumn>
    <tableColumn id="7" name="سعر الشبك " dataDxfId="1961">
      <calculatedColumnFormula>H13*$I$2/1000</calculatedColumnFormula>
    </tableColumn>
    <tableColumn id="8" name="اجمالي" totalsRowFunction="sum" dataDxfId="194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943"/>
    <tableColumn id="2" name="عدد" dataDxfId="196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dataDxfId="1963"/>
    <tableColumn id="4" name="الوحده" dataDxfId="1943"/>
    <tableColumn id="5" name="الوزن" dataDxfId="1943"/>
    <tableColumn id="6" name="سعر الكيلو" dataDxfId="1943"/>
    <tableColumn id="7" name="سعر الشبك " dataDxfId="1959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943"/>
    <tableColumn id="2" name="عدد" totalsRowFunction="count" dataDxfId="1962">
      <calculatedColumnFormula>B30*4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943"/>
    <tableColumn id="5" name="الوزن" totalsRowFunction="custom">
      <totalsRowFormula>H31*B31+H32*B32</totalsRowFormula>
    </tableColumn>
    <tableColumn id="6" name="سعر الكيلو" dataDxfId="1962">
      <calculatedColumnFormula>$H$2/1000</calculatedColumnFormula>
    </tableColumn>
    <tableColumn id="7" name="سعر الشبك " dataDxfId="1945">
      <calculatedColumnFormula>H31*$H$2/1000</calculatedColumnFormula>
    </tableColumn>
    <tableColumn id="8" name="اجمالي" totalsRowFunction="sum" dataDxfId="1964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952"/>
    <tableColumn id="3" name="الوحدة" dataDxfId="1201"/>
    <tableColumn id="4" name="Column4" dataDxfId="1965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943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966"/>
    <tableColumn id="10" name="Column1" dataDxfId="1203"/>
    <tableColumn id="12" name="Column12" totalsRowFunction="sum" dataDxfId="952"/>
    <tableColumn id="4" name="الوحده" dataDxfId="1210"/>
    <tableColumn id="5" name="الوزن" dataDxfId="1211"/>
    <tableColumn id="6" name="سعر الكيلو" dataDxfId="1954"/>
    <tableColumn id="7" name="سعر الشبك " dataDxfId="1212">
      <calculatedColumnFormula>Sheet2!B31</calculatedColumnFormula>
    </tableColumn>
    <tableColumn id="8" name="اجمالي" totalsRowFunction="sum" dataDxfId="1964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943"/>
    <tableColumn id="2" name="عدد" dataDxfId="1943">
      <calculatedColumnFormula>IF((F79="الاسكندرية"),0.25,0.1)</calculatedColumnFormula>
    </tableColumn>
    <tableColumn id="3" name="بيان برجولا رويال" totalsRowLabel="Total" dataDxfId="1943"/>
    <tableColumn id="12" name="Column12" totalsRowFunction="sum" dataDxfId="1967"/>
    <tableColumn id="5" name="Column1" dataDxfId="1943"/>
    <tableColumn id="11" name="العرض" dataDxfId="1958"/>
    <tableColumn id="10" name="الامتداد" dataDxfId="1962"/>
    <tableColumn id="4" name="سعر المتر" dataDxfId="1203"/>
    <tableColumn id="6" name="Column2" dataDxfId="1968"/>
    <tableColumn id="7" name="سعر البرجولا كاملة" dataDxfId="1194">
      <calculatedColumnFormula>K58</calculatedColumnFormula>
    </tableColumn>
    <tableColumn id="8" name="اجمالي" totalsRowFunction="sum" dataDxfId="1964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943" totalsRowDxfId="1942"/>
    <tableColumn id="2" name="عدد" dataDxfId="1958" totalsRowDxfId="1942">
      <calculatedColumnFormula>B65</calculatedColumnFormula>
    </tableColumn>
    <tableColumn id="3" name="بيان" totalsRowLabel="Total" dataDxfId="1969" totalsRowDxfId="1942"/>
    <tableColumn id="5" name="اليومية / الاجرة" dataDxfId="1204" totalsRowDxfId="1942"/>
    <tableColumn id="6" name="بدل الوجبة" dataDxfId="1205" totalsRowDxfId="1942"/>
    <tableColumn id="11" name="موقع العمل" dataDxfId="1953" totalsRowDxfId="1942">
      <calculatedColumnFormula>تسعير!$T$24</calculatedColumnFormula>
    </tableColumn>
    <tableColumn id="10" name="شيفت العمل" dataDxfId="1943" totalsRowDxfId="1942"/>
    <tableColumn id="12" name="Column12" totalsRowFunction="sum" dataDxfId="1963" totalsRowDxfId="1951">
      <calculatedColumnFormula>SUMIF(Table1731[Column1],Table161229[[#This Row],[موقع العمل]],$T$2:$T$26)</calculatedColumnFormula>
    </tableColumn>
    <tableColumn id="4" name="عدد الايام" dataDxfId="1213" totalsRowDxfId="194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964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942"/>
    <tableColumn id="2" name="عدد" dataDxfId="1970" totalsRowDxfId="194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971" totalsRowDxfId="1942"/>
    <tableColumn id="11" name="Column2" dataDxfId="1971" totalsRowDxfId="1942"/>
    <tableColumn id="10" name="Column1" dataDxfId="1971" totalsRowDxfId="1942"/>
    <tableColumn id="12" name="Column12" totalsRowFunction="sum" dataDxfId="68" totalsRowDxfId="1200"/>
    <tableColumn id="4" name="الوحده" dataDxfId="1972" totalsRowDxfId="1942"/>
    <tableColumn id="5" name="الوزن" dataDxfId="1971" totalsRowDxfId="1942"/>
    <tableColumn id="6" name="سعر الكيلو" dataDxfId="1971" totalsRowDxfId="1942"/>
    <tableColumn id="7" name="سعر الشبك " dataDxfId="1973" totalsRowDxfId="1974"/>
    <tableColumn id="8" name="اجمالي" totalsRowFunction="sum" dataDxfId="1964" totalsRowDxfId="1975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952"/>
    <tableColumn id="2" name="خارجي" dataDxfId="1201"/>
    <tableColumn id="3" name="داخلي" dataDxfId="1976"/>
    <tableColumn id="4" name="بدل الوجبة" dataDxfId="1965"/>
    <tableColumn id="5" name="دبابة" dataDxfId="1952"/>
    <tableColumn id="6" name="جامبو" dataDxfId="1201"/>
    <tableColumn id="7" name="الاقامة" dataDxfId="197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71"/>
    <tableColumn id="4" name="Column22" dataDxfId="1971"/>
    <tableColumn id="5" name="Column23" dataDxfId="1971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978" totalsRowDxfId="1216"/>
    <tableColumn id="5" name="وزن المتر " dataDxfId="1957" totalsRowDxfId="1979"/>
    <tableColumn id="4" name="سعر الكيلو" dataDxfId="1956" totalsRowDxfId="1216"/>
    <tableColumn id="3" name="اجمالي عدد " totalsRowFunction="custom" totalsRowDxfId="1979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980" totalsRowDxfId="1981"/>
    <tableColumn id="11" name="Column3" dataDxfId="1980" totalsRowDxfId="1216"/>
    <tableColumn id="12" name="Column4" dataDxfId="1980" totalsRowDxfId="198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943" totalsRowDxfId="1942"/>
    <tableColumn id="2" name="عدد" dataDxfId="1962" totalsRowDxfId="1942"/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43" totalsRowDxfId="1942"/>
    <tableColumn id="4" name="الوحده" totalsRowLabel="total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1195">
      <calculatedColumnFormula>Sheet2!B2</calculatedColumnFormula>
    </tableColumn>
    <tableColumn id="8" name="اجمالي" totalsRowFunction="sum" dataDxfId="1964" totalsRowDxfId="1197">
      <calculatedColumnFormula>M26*U26</calculatedColumnFormula>
    </tableColumn>
    <tableColumn id="9" name="%" totalsRowFunction="custom" totalsRowDxfId="198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943"/>
    <tableColumn id="2" name="عدد" dataDxfId="1962"/>
    <tableColumn id="3" name="بيان" totalsRowLabel="Total" dataDxfId="1943"/>
    <tableColumn id="11" name="Column2" dataDxfId="1943"/>
    <tableColumn id="10" name="Column1" dataDxfId="1943"/>
    <tableColumn id="12" name="Column12" dataDxfId="1950"/>
    <tableColumn id="4" name="الوحده" dataDxfId="1943"/>
    <tableColumn id="5" name="الوزن" dataDxfId="1943"/>
    <tableColumn id="6" name="سعر الكيلو" dataDxfId="1943"/>
    <tableColumn id="7" name="سعر الشبك " dataDxfId="1983">
      <calculatedColumnFormula>Sheet2!B24</calculatedColumnFormula>
    </tableColumn>
    <tableColumn id="8" name="اجمالي" totalsRowFunction="sum" dataDxfId="1964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943"/>
    <tableColumn id="2" name="عدد" totalsRowFunction="count" dataDxfId="1943">
      <calculatedColumnFormula>M20*4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943"/>
    <tableColumn id="5" name="الوزن" totalsRowFunction="custom">
      <totalsRowFormula>(S21*M21)+(M22*S22)</totalsRowFormula>
    </tableColumn>
    <tableColumn id="6" name="سعر الكيلو" dataDxfId="1962"/>
    <tableColumn id="7" name="سعر الشبك " dataDxfId="1983">
      <calculatedColumnFormula>S21*$S$2/1000</calculatedColumnFormula>
    </tableColumn>
    <tableColumn id="8" name="اجمالي" totalsRowFunction="sum" dataDxfId="1964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977"/>
    <tableColumn id="2" name="المعدل" dataDxfId="1977"/>
    <tableColumn id="3" name="الوحدة" dataDxfId="1977"/>
    <tableColumn id="4" name="Column4" dataDxfId="1965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977"/>
    <tableColumn id="2" name="Column2" dataDxfId="1985"/>
    <tableColumn id="3" name="Column3" dataDxfId="1977"/>
    <tableColumn id="4" name="Column4" dataDxfId="1977"/>
    <tableColumn id="5" name="Column5" dataDxfId="197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943" totalsRowDxfId="1942"/>
    <tableColumn id="2" name="عدد" dataDxfId="1953" totalsRowDxfId="1942">
      <calculatedColumnFormula>IF((تسعير!$AU$14="بالتات"),0,M52-2)</calculatedColumnFormula>
    </tableColumn>
    <tableColumn id="3" name="بيان" totalsRowLabel="Total" dataDxfId="1969" totalsRowDxfId="1942"/>
    <tableColumn id="5" name="اليومية / الاجرة" dataDxfId="1204" totalsRowDxfId="1942"/>
    <tableColumn id="6" name="بدل الوجبة" dataDxfId="1968" totalsRowDxfId="1942"/>
    <tableColumn id="11" name="موقع العمل" dataDxfId="1971" totalsRowDxfId="1942">
      <calculatedColumnFormula>تسعير!$AT$4</calculatedColumnFormula>
    </tableColumn>
    <tableColumn id="10" name="شيفت العمل" dataDxfId="1943" totalsRowDxfId="1942"/>
    <tableColumn id="12" name="Column12" totalsRowFunction="sum" dataDxfId="1986" totalsRowDxfId="1987">
      <calculatedColumnFormula>SUMIF(Table1769[Column1],Table161267[[#This Row],[موقع العمل]],$AE$2:$AE$8)</calculatedColumnFormula>
    </tableColumn>
    <tableColumn id="4" name="عدد الايام" dataDxfId="1988" totalsRowDxfId="1942"/>
    <tableColumn id="7" name="اجمالي التكلفة للعامل" dataDxfId="1989" totalsRowDxfId="1990">
      <calculatedColumnFormula>Table161267[[#This Row],[Column12]]</calculatedColumnFormula>
    </tableColumn>
    <tableColumn id="8" name="اجمالي" totalsRowFunction="sum" dataDxfId="1964" totalsRowDxfId="1991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71"/>
    <tableColumn id="2" name="عدد" dataDxfId="1202">
      <calculatedColumnFormula>IF((Q65="الاسكندرية"),0.25,0.1)</calculatedColumnFormula>
    </tableColumn>
    <tableColumn id="3" name="بيان" totalsRowLabel="Total" dataDxfId="1971"/>
    <tableColumn id="11" name="Column2" dataDxfId="1971"/>
    <tableColumn id="10" name="Column1" dataDxfId="1971"/>
    <tableColumn id="12" name="Column12" totalsRowFunction="sum" dataDxfId="1217"/>
    <tableColumn id="4" name="الوحده" dataDxfId="1203"/>
    <tableColumn id="5" name="الوزن" dataDxfId="1971"/>
    <tableColumn id="6" name="سعر الكيلو" dataDxfId="1971"/>
    <tableColumn id="7" name="سعر الشبك " dataDxfId="1212">
      <calculatedColumnFormula>V48</calculatedColumnFormula>
    </tableColumn>
    <tableColumn id="8" name="اجمالي" totalsRowFunction="sum" dataDxfId="1964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977"/>
    <tableColumn id="2" name="خارجي" dataDxfId="1977"/>
    <tableColumn id="3" name="داخلي" dataDxfId="1977"/>
    <tableColumn id="4" name="بدل الوجبة" dataDxfId="1977"/>
    <tableColumn id="5" name="دبابة" dataDxfId="1977"/>
    <tableColumn id="6" name="جامبو" dataDxfId="1977"/>
    <tableColumn id="7" name="الاقامة" dataDxfId="197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71"/>
    <tableColumn id="4" name="Column22" dataDxfId="1971"/>
    <tableColumn id="5" name="Column23" dataDxfId="1971"/>
    <tableColumn id="3" name="Column3" dataDxfId="1992">
      <calculatedColumnFormula>IF((Q66="المقطم"),0.3,IF((Q66="التجمع"),0.3,IF((Q66="الشيخ زايد"),0.3,IF((Q66="الاسكندرية"),0.5,0.35))))</calculatedColumnFormula>
    </tableColumn>
    <tableColumn id="2" name="Column2" dataDxfId="197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943"/>
    <tableColumn id="2" name="عدد" dataDxfId="1943">
      <calculatedColumnFormula>IF((N2="A1"),2,IF((N2="A2"),3,IF((N2="B1"),2.5,IF((N2="B2"),3,0))))</calculatedColumnFormula>
    </tableColumn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986">
      <calculatedColumnFormula>(Table158[[#This Row],[Column1]]+Table158[[#This Row],[Column2]])*12*Table158[[#This Row],[عدد]]</calculatedColumnFormula>
    </tableColumn>
    <tableColumn id="4" name="الوحده" dataDxfId="1943"/>
    <tableColumn id="5" name="الوزن" totalsRowFunction="custom">
      <totalsRowFormula>(S7*M7)</totalsRowFormula>
    </tableColumn>
    <tableColumn id="6" name="سعر الكيلو" totalsRowFunction="sum" dataDxfId="1962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964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980"/>
    <tableColumn id="6" name="الطول بالمتر" dataDxfId="1980"/>
    <tableColumn id="5" name="وزن المتر " dataDxfId="1980"/>
    <tableColumn id="4" name="سعر الكيلو" dataDxfId="1980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980"/>
    <tableColumn id="10" name="Column2" dataDxfId="1980"/>
    <tableColumn id="11" name="Column3" dataDxfId="1980"/>
    <tableColumn id="12" name="Column4" dataDxfId="198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943" totalsRowDxfId="1942"/>
    <tableColumn id="2" name="عدد" dataDxfId="1962" totalsRowDxfId="1942"/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43" totalsRowDxfId="1942"/>
    <tableColumn id="4" name="الوحده" totalsRowLabel="total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1974">
      <calculatedColumnFormula>Sheet2!B2</calculatedColumnFormula>
    </tableColumn>
    <tableColumn id="8" name="اجمالي" totalsRowFunction="sum" dataDxfId="1964" totalsRowDxfId="1975">
      <calculatedColumnFormula>M26*U26</calculatedColumnFormula>
    </tableColumn>
    <tableColumn id="9" name="%" totalsRowFunction="custom" totalsRowDxfId="1993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943"/>
    <tableColumn id="2" name="عدد" dataDxfId="1962"/>
    <tableColumn id="3" name="بيان" totalsRowLabel="Total" dataDxfId="1943"/>
    <tableColumn id="11" name="Column2" dataDxfId="1943"/>
    <tableColumn id="10" name="Column1" dataDxfId="1943"/>
    <tableColumn id="12" name="Column12" dataDxfId="1986"/>
    <tableColumn id="4" name="الوحده" dataDxfId="1943"/>
    <tableColumn id="5" name="الوزن" dataDxfId="1943"/>
    <tableColumn id="6" name="سعر الكيلو" dataDxfId="1943"/>
    <tableColumn id="7" name="سعر الشبك " dataDxfId="1983">
      <calculatedColumnFormula>Sheet2!B24</calculatedColumnFormula>
    </tableColumn>
    <tableColumn id="8" name="اجمالي" totalsRowFunction="sum" dataDxfId="1964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943"/>
    <tableColumn id="2" name="عدد" totalsRowFunction="count" dataDxfId="1943">
      <calculatedColumnFormula>M20*4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86">
      <calculatedColumnFormula>(Table166241[[#This Row],[Column1]]*Table166241[[#This Row],[Column2]])*Table166241[[#This Row],[عدد]]</calculatedColumnFormula>
    </tableColumn>
    <tableColumn id="4" name="الوحده" dataDxfId="1943"/>
    <tableColumn id="5" name="الوزن" totalsRowFunction="custom">
      <totalsRowFormula>(S21*M21)+(M22*S22)</totalsRowFormula>
    </tableColumn>
    <tableColumn id="6" name="سعر الكيلو" dataDxfId="1962"/>
    <tableColumn id="7" name="سعر الشبك " dataDxfId="1983">
      <calculatedColumnFormula>S21*$S$2/1000</calculatedColumnFormula>
    </tableColumn>
    <tableColumn id="8" name="اجمالي" totalsRowFunction="sum" dataDxfId="1964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977"/>
    <tableColumn id="2" name="المعدل" dataDxfId="1977"/>
    <tableColumn id="3" name="الوحدة" dataDxfId="1977"/>
    <tableColumn id="4" name="Column4" dataDxfId="1976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943" totalsRowDxfId="1942"/>
    <tableColumn id="2" name="عدد" dataDxfId="1966" totalsRowDxfId="1942">
      <calculatedColumnFormula>IF((تسعير!$BF$14="بالتات"),0,M52-2)</calculatedColumnFormula>
    </tableColumn>
    <tableColumn id="3" name="بيان" totalsRowLabel="Total" dataDxfId="1994" totalsRowDxfId="1942"/>
    <tableColumn id="5" name="اليومية / الاجرة" dataDxfId="1204" totalsRowDxfId="1942"/>
    <tableColumn id="6" name="بدل الوجبة" dataDxfId="1205" totalsRowDxfId="1942"/>
    <tableColumn id="11" name="موقع العمل" dataDxfId="1971" totalsRowDxfId="1942">
      <calculatedColumnFormula>تسعير!$BE$4</calculatedColumnFormula>
    </tableColumn>
    <tableColumn id="10" name="شيفت العمل" dataDxfId="1943" totalsRowDxfId="1942"/>
    <tableColumn id="12" name="Column12" totalsRowFunction="sum" dataDxfId="1986" totalsRowDxfId="1200"/>
    <tableColumn id="4" name="عدد الايام" dataDxfId="1213" totalsRowDxfId="1942"/>
    <tableColumn id="7" name="اجمالي التكلفة للعامل" dataDxfId="1214" totalsRowDxfId="1947">
      <calculatedColumnFormula>Table16126744[[#This Row],[Column12]]</calculatedColumnFormula>
    </tableColumn>
    <tableColumn id="8" name="اجمالي" totalsRowFunction="sum" dataDxfId="1964" totalsRowDxfId="1948">
      <calculatedColumnFormula>M55*U55</calculatedColumnFormula>
    </tableColumn>
    <tableColumn id="9" name="%" totalsRowFunction="custom" totalsRowDxfId="198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71"/>
    <tableColumn id="2" name="عدد" dataDxfId="1958">
      <calculatedColumnFormula>IF((Q65="الاسكندرية"),0.25,0.1)</calculatedColumnFormula>
    </tableColumn>
    <tableColumn id="3" name="بيان" totalsRowLabel="Total" dataDxfId="1971"/>
    <tableColumn id="11" name="Column2" dataDxfId="1971"/>
    <tableColumn id="10" name="Column1" dataDxfId="1971"/>
    <tableColumn id="12" name="Column12" totalsRowFunction="sum" dataDxfId="1995"/>
    <tableColumn id="4" name="الوحده" dataDxfId="1996"/>
    <tableColumn id="5" name="الوزن" dataDxfId="1971"/>
    <tableColumn id="6" name="سعر الكيلو" dataDxfId="1971"/>
    <tableColumn id="7" name="سعر الشبك " dataDxfId="1973">
      <calculatedColumnFormula>V48</calculatedColumnFormula>
    </tableColumn>
    <tableColumn id="8" name="اجمالي" totalsRowFunction="sum" dataDxfId="1964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980"/>
    <tableColumn id="2" name="خارجي" dataDxfId="1980"/>
    <tableColumn id="3" name="داخلي" dataDxfId="1980"/>
    <tableColumn id="4" name="بدل الوجبة" dataDxfId="1980"/>
    <tableColumn id="5" name="دبابة" dataDxfId="1980"/>
    <tableColumn id="6" name="جامبو" dataDxfId="1980"/>
    <tableColumn id="7" name="الاقامة" dataDxfId="19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71"/>
    <tableColumn id="4" name="Column22" dataDxfId="1971"/>
    <tableColumn id="5" name="Column23" dataDxfId="1971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953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943"/>
    <tableColumn id="2" name="عدد" dataDxfId="1943">
      <calculatedColumnFormula>IF((N2="c1"),3,IF((N2="c2"),4,IF((N2="d1"),4,IF((N2="d2"),5,0))))</calculatedColumnFormula>
    </tableColumn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986">
      <calculatedColumnFormula>(Table15855[[#This Row],[Column1]]+Table15855[[#This Row],[Column2]])*12*Table15855[[#This Row],[عدد]]</calculatedColumnFormula>
    </tableColumn>
    <tableColumn id="4" name="الوحده" dataDxfId="1943"/>
    <tableColumn id="5" name="الوزن" totalsRowFunction="custom">
      <totalsRowFormula>(S7*M7)</totalsRowFormula>
    </tableColumn>
    <tableColumn id="6" name="سعر الكيلو" dataDxfId="1962"/>
    <tableColumn id="7" name="سعر الشبك " dataDxfId="1219">
      <calculatedColumnFormula>S6*$S$2/1000</calculatedColumnFormula>
    </tableColumn>
    <tableColumn id="8" name="اجمالي" totalsRowFunction="sum" dataDxfId="1964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980"/>
    <tableColumn id="2" name="المقاس" dataDxfId="1980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936" totalsRowDxfId="1937"/>
    <tableColumn id="11" name="Column2" dataDxfId="1191" totalsRowDxfId="1192"/>
    <tableColumn id="10" name="Column1" dataDxfId="1936" totalsRowDxfId="1937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938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9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980" totalsRowDxfId="630"/>
    <tableColumn id="2" name="عدد/الشمسية" dataDxfId="606" totalsRowDxfId="626"/>
    <tableColumn id="3" name="سعر الوحدة" dataDxfId="1980" totalsRowDxfId="1220"/>
    <tableColumn id="4" name="قيمة" totalsRowFunction="sum" dataDxfId="1980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980"/>
    <tableColumn id="2" name="امتار عادية" dataDxfId="1980"/>
    <tableColumn id="4" name="امتار single" dataDxfId="1980"/>
    <tableColumn id="6" name="امتار douple" dataDxfId="19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980"/>
    <tableColumn id="2" name="Column2" dataDxfId="19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9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9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980" totalsRowDxfId="1997"/>
    <tableColumn id="2" name="عدد/الشمسية" dataDxfId="1224" totalsRowDxfId="1987"/>
    <tableColumn id="3" name="سعر الوحدة" dataDxfId="1980" totalsRowDxfId="1951"/>
    <tableColumn id="4" name="قيمة" totalsRowFunction="sum" dataDxfId="1980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980"/>
    <tableColumn id="2" name="امتار عادية" dataDxfId="1980"/>
    <tableColumn id="4" name="امتار single" dataDxfId="1980"/>
    <tableColumn id="6" name="امتار douple" dataDxfId="19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939" totalsRowDxfId="1940"/>
    <tableColumn id="2" name="عدد" dataDxfId="1936" totalsRowDxfId="193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937"/>
    <tableColumn id="11" name="Column2" dataDxfId="1941" totalsRowDxfId="1192"/>
    <tableColumn id="10" name="Column1" dataDxfId="1939" totalsRowDxfId="1942"/>
    <tableColumn id="12" name="Column12" dataDxfId="1936" totalsRowDxfId="1942"/>
    <tableColumn id="4" name="الوحده" totalsRowLabel="total" dataDxfId="1191" totalsRowDxfId="1942"/>
    <tableColumn id="5" name="الوزن" dataDxfId="1943" totalsRowDxfId="1942"/>
    <tableColumn id="6" name="سعر الكيلو" dataDxfId="1943" totalsRowDxfId="194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980"/>
    <tableColumn id="2" name="Column2" dataDxfId="19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998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540">
      <calculatedColumnFormula>Table12[[#This Row],[سعر]]*Table12[[#This Row],[ميزان]]*Table12[[#This Row],[عدد]]</calculatedColumnFormula>
    </tableColumn>
    <tableColumn id="6" name="Column6" totalsRowFunction="custom" totalsRowDxfId="199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2" totalsRowDxfId="1942">
      <calculatedColumnFormula>I28</calculatedColumnFormula>
    </tableColumn>
    <tableColumn id="3" name="بيان" totalsRowLabel="Total" dataDxfId="535" totalsRowDxfId="1942"/>
    <tableColumn id="5" name="اليومية / الاجرة" dataDxfId="2000" totalsRowDxfId="1942"/>
    <tableColumn id="6" name="بدل الوجبة" dataDxfId="2001" totalsRowDxfId="1942"/>
    <tableColumn id="11" name="موقع العمل" dataDxfId="1971" totalsRowDxfId="1942">
      <calculatedColumnFormula>تسعير!$T$45</calculatedColumnFormula>
    </tableColumn>
    <tableColumn id="10" name="شيفت العمل" dataDxfId="1943" totalsRowDxfId="1942"/>
    <tableColumn id="12" name="Column12" totalsRowFunction="sum" dataDxfId="1986" totalsRowDxfId="2002">
      <calculatedColumnFormula>SUMIF(Table17[Column1],Table161243[[#This Row],[موقع العمل]],Table17[الاقامة])</calculatedColumnFormula>
    </tableColumn>
    <tableColumn id="4" name="عدد الايام" dataDxfId="1988" totalsRowDxfId="1942"/>
    <tableColumn id="7" name="اجمالي التكلفة للعامل" dataDxfId="1989" totalsRowDxfId="1195">
      <calculatedColumnFormula>Table161243[[#This Row],[Column12]]</calculatedColumnFormula>
    </tableColumn>
    <tableColumn id="8" name="اجمالي" totalsRowFunction="sum" dataDxfId="1964" totalsRowDxfId="1197">
      <calculatedColumnFormula>I31*Q31</calculatedColumnFormula>
    </tableColumn>
    <tableColumn id="9" name="%" totalsRowFunction="custom" totalsRowDxfId="194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71"/>
    <tableColumn id="4" name="Column22" dataDxfId="1971"/>
    <tableColumn id="5" name="Column23" dataDxfId="1971"/>
    <tableColumn id="3" name="Column3" dataDxfId="1992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2003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550" totalsRowDxfId="549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2004">
      <calculatedColumnFormula>Table1257[[#This Row],[سعر]]*Table1257[[#This Row],[ميزان]]*Table1257[[#This Row],[عدد]]</calculatedColumnFormula>
    </tableColumn>
    <tableColumn id="6" name="Column6" totalsRowFunction="custom" totalsRowDxfId="199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2003" totalsRowDxfId="1942">
      <calculatedColumnFormula>I61</calculatedColumnFormula>
    </tableColumn>
    <tableColumn id="3" name="بيان" totalsRowLabel="Total" dataDxfId="1229" totalsRowDxfId="1942"/>
    <tableColumn id="5" name="اليومية / الاجرة" dataDxfId="1994" totalsRowDxfId="1942"/>
    <tableColumn id="6" name="بدل الوجبة" dataDxfId="1205" totalsRowDxfId="1942"/>
    <tableColumn id="11" name="موقع العمل" dataDxfId="1971" totalsRowDxfId="1942">
      <calculatedColumnFormula>تسعير!$T$63</calculatedColumnFormula>
    </tableColumn>
    <tableColumn id="10" name="شيفت العمل" dataDxfId="1943" totalsRowDxfId="1942"/>
    <tableColumn id="12" name="Column12" totalsRowFunction="sum" dataDxfId="1986" totalsRowDxfId="2002">
      <calculatedColumnFormula>SUMIF(Table17[Column1],Table16124360[[#This Row],[موقع العمل]],Table17[الاقامة])</calculatedColumnFormula>
    </tableColumn>
    <tableColumn id="4" name="عدد الايام" dataDxfId="1213" totalsRowDxfId="1942"/>
    <tableColumn id="7" name="اجمالي التكلفة للعامل" dataDxfId="1214" totalsRowDxfId="2005">
      <calculatedColumnFormula>Table16124360[[#This Row],[Column12]]</calculatedColumnFormula>
    </tableColumn>
    <tableColumn id="8" name="اجمالي" totalsRowFunction="sum" dataDxfId="1964" totalsRowDxfId="2006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71"/>
    <tableColumn id="4" name="Column22" dataDxfId="1971"/>
    <tableColumn id="5" name="Column23" dataDxfId="1971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2003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943" totalsRowDxfId="1942"/>
    <tableColumn id="2" name="عدد" dataDxfId="1962" totalsRowDxfId="1942"/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43" totalsRowDxfId="1942"/>
    <tableColumn id="4" name="الوحده" totalsRowLabel="total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2005">
      <calculatedColumnFormula>Sheet2!B6</calculatedColumnFormula>
    </tableColumn>
    <tableColumn id="8" name="اجمالي" totalsRowFunction="sum" dataDxfId="1964" totalsRowDxfId="2006">
      <calculatedColumnFormula>M28*U28</calculatedColumnFormula>
    </tableColumn>
    <tableColumn id="9" name="%" totalsRowFunction="custom" totalsRowDxfId="200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943"/>
    <tableColumn id="2" name="عدد" dataDxfId="1943">
      <calculatedColumnFormula>IF((تسعير!X7&lt;800),0,IF(AND((تسعير!X7&gt;800),(600&gt;=تسعير!AA9)),1,0))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39">
      <calculatedColumnFormula>(Table14[[#This Row],[Column1]]+Table14[[#This Row],[Column2]])*12*Table14[[#This Row],[عدد]]</calculatedColumnFormula>
    </tableColumn>
    <tableColumn id="4" name="الوحده" dataDxfId="1943"/>
    <tableColumn id="5" name="الوزن" totalsRowFunction="custom">
      <totalsRowFormula>H12*B12+H13*B13</totalsRowFormula>
    </tableColumn>
    <tableColumn id="6" name="مسطح" dataDxfId="1944">
      <calculatedColumnFormula>Table14[[#This Row],[Column12]]*Table14[[#This Row],[عدد]]</calculatedColumnFormula>
    </tableColumn>
    <tableColumn id="7" name="سعر الشبك " dataDxfId="1945">
      <calculatedColumnFormula>H12*$I$2/1000</calculatedColumnFormula>
    </tableColumn>
    <tableColumn id="8" name="اجمالي" totalsRowFunction="sum" dataDxfId="194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943"/>
    <tableColumn id="2" name="عدد" dataDxfId="1962"/>
    <tableColumn id="3" name="بيان" totalsRowLabel="Total" dataDxfId="1943"/>
    <tableColumn id="11" name="Column2" dataDxfId="1943"/>
    <tableColumn id="10" name="Column1" dataDxfId="1943"/>
    <tableColumn id="12" name="Column12" dataDxfId="1986"/>
    <tableColumn id="4" name="الوحده" dataDxfId="1943"/>
    <tableColumn id="5" name="الوزن" dataDxfId="1943"/>
    <tableColumn id="6" name="سعر الكيلو" dataDxfId="1943"/>
    <tableColumn id="7" name="سعر الشبك " dataDxfId="1983">
      <calculatedColumnFormula>Sheet2!B26</calculatedColumnFormula>
    </tableColumn>
    <tableColumn id="8" name="اجمالي" totalsRowFunction="sum" dataDxfId="1964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943"/>
    <tableColumn id="2" name="عدد" totalsRowFunction="count" dataDxfId="1943">
      <calculatedColumnFormula>M20*4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86">
      <calculatedColumnFormula>(Table166273[[#This Row],[Column1]]*Table166273[[#This Row],[Column2]])*Table166273[[#This Row],[عدد]]</calculatedColumnFormula>
    </tableColumn>
    <tableColumn id="4" name="الوحده" dataDxfId="1943"/>
    <tableColumn id="5" name="الوزن" totalsRowFunction="custom">
      <totalsRowFormula>(S23*M23)+(M24*S24)</totalsRowFormula>
    </tableColumn>
    <tableColumn id="6" name="سعر الكيلو" dataDxfId="1962"/>
    <tableColumn id="7" name="سعر الشبك " dataDxfId="1983">
      <calculatedColumnFormula>S22*$S$2/1000</calculatedColumnFormula>
    </tableColumn>
    <tableColumn id="8" name="اجمالي" totalsRowFunction="sum" dataDxfId="1964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977"/>
    <tableColumn id="2" name="المعدل" dataDxfId="1977"/>
    <tableColumn id="3" name="الوحدة" dataDxfId="1977"/>
    <tableColumn id="4" name="Column4" dataDxfId="1952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977"/>
    <tableColumn id="2" name="Column2" dataDxfId="1201"/>
    <tableColumn id="3" name="Column3" dataDxfId="1977"/>
    <tableColumn id="4" name="Column4" dataDxfId="1977"/>
    <tableColumn id="5" name="Column5" dataDxfId="197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943" totalsRowDxfId="1942"/>
    <tableColumn id="2" name="عدد" dataDxfId="2003" totalsRowDxfId="1942">
      <calculatedColumnFormula>IF((تسعير!$AU$14="بالتات"),0,M49-2)</calculatedColumnFormula>
    </tableColumn>
    <tableColumn id="3" name="بيان" totalsRowLabel="Total" dataDxfId="1969" totalsRowDxfId="1942"/>
    <tableColumn id="5" name="اليومية / الاجرة" dataDxfId="1204" totalsRowDxfId="1942"/>
    <tableColumn id="6" name="بدل الوجبة" dataDxfId="2008" totalsRowDxfId="1942"/>
    <tableColumn id="11" name="موقع العمل" dataDxfId="1971" totalsRowDxfId="1942">
      <calculatedColumnFormula>تسعير!$AT$24</calculatedColumnFormula>
    </tableColumn>
    <tableColumn id="10" name="شيفت العمل" dataDxfId="1943" totalsRowDxfId="1942"/>
    <tableColumn id="12" name="Column12" totalsRowFunction="sum" dataDxfId="1986" totalsRowDxfId="2002">
      <calculatedColumnFormula>SUMIF(Table176978[Column1],Table16126776[[#This Row],[موقع العمل]],$AE$2:$AE$8)</calculatedColumnFormula>
    </tableColumn>
    <tableColumn id="4" name="عدد الايام" dataDxfId="2009" totalsRowDxfId="1942"/>
    <tableColumn id="7" name="اجمالي التكلفة للعامل" dataDxfId="2010" totalsRowDxfId="2005">
      <calculatedColumnFormula>Table16126776[[#This Row],[Column12]]</calculatedColumnFormula>
    </tableColumn>
    <tableColumn id="8" name="اجمالي" totalsRowFunction="sum" dataDxfId="1964" totalsRowDxfId="2006">
      <calculatedColumnFormula>M52*U52</calculatedColumnFormula>
    </tableColumn>
    <tableColumn id="9" name="%" totalsRowFunction="custom" totalsRowDxfId="200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71" totalsRowDxfId="1942"/>
    <tableColumn id="2" name="عدد" dataDxfId="2003" totalsRowDxfId="1942">
      <calculatedColumnFormula>IF((Q63="الاسكندرية"),0.25,0.1)</calculatedColumnFormula>
    </tableColumn>
    <tableColumn id="3" name="بيان" totalsRowLabel="Total" dataDxfId="1971" totalsRowDxfId="1942"/>
    <tableColumn id="11" name="Column2" dataDxfId="1971" totalsRowDxfId="1942"/>
    <tableColumn id="10" name="Column1" dataDxfId="1971" totalsRowDxfId="1942"/>
    <tableColumn id="12" name="Column12" totalsRowFunction="sum" dataDxfId="1217" totalsRowDxfId="2002"/>
    <tableColumn id="4" name="الوحده" dataDxfId="1972" totalsRowDxfId="1942"/>
    <tableColumn id="5" name="الوزن" dataDxfId="1971" totalsRowDxfId="1942"/>
    <tableColumn id="6" name="سعر الكيلو" dataDxfId="1971" totalsRowDxfId="1942"/>
    <tableColumn id="7" name="سعر الشبك " dataDxfId="1212" totalsRowDxfId="2005">
      <calculatedColumnFormula>Table80102114[[#Totals],[price]]</calculatedColumnFormula>
    </tableColumn>
    <tableColumn id="8" name="اجمالي" totalsRowFunction="sum" dataDxfId="1964" totalsRowDxfId="2006">
      <calculatedColumnFormula>M47*Table16136877[[#This Row],[سعر الشبك ]]</calculatedColumnFormula>
    </tableColumn>
    <tableColumn id="9" name="%" totalsRowFunction="custom" totalsRowDxfId="200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977"/>
    <tableColumn id="2" name="خارجي" dataDxfId="1977"/>
    <tableColumn id="3" name="داخلي" dataDxfId="1977"/>
    <tableColumn id="4" name="بدل الوجبة" dataDxfId="1977"/>
    <tableColumn id="5" name="دبابة" dataDxfId="1977"/>
    <tableColumn id="6" name="جامبو" dataDxfId="1977"/>
    <tableColumn id="7" name="الاقامة" dataDxfId="197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71"/>
    <tableColumn id="4" name="Column22" dataDxfId="1971"/>
    <tableColumn id="5" name="Column23" dataDxfId="1971"/>
    <tableColumn id="3" name="Column3" dataDxfId="2011">
      <calculatedColumnFormula>IF((Q63="المقطم"),0.3,IF((Q63="التجمع"),0.3,IF((Q63="الشيخ زايد"),0.3,IF((Q63="الاسكندرية"),0.5,0.35))))</calculatedColumnFormula>
    </tableColumn>
    <tableColumn id="2" name="Column2" dataDxfId="2003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943"/>
    <tableColumn id="2" name="عدد" dataDxfId="1943"/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986">
      <calculatedColumnFormula>(Table15880[[#This Row],[Column1]]+Table15880[[#This Row],[Column2]])*12*Table15880[[#This Row],[عدد]]</calculatedColumnFormula>
    </tableColumn>
    <tableColumn id="4" name="الوحده" dataDxfId="1943"/>
    <tableColumn id="5" name="الوزن" totalsRowFunction="custom">
      <totalsRowFormula>(S6*M6)+(S7*M7)+(M8*S8)+(S9*M9)</totalsRowFormula>
    </tableColumn>
    <tableColumn id="6" name="اجمالي المسطح" totalsRowFunction="sum" dataDxfId="1962">
      <calculatedColumnFormula>Table15880[[#This Row],[المسطح]]*Table15880[[#This Row],[عدد]]</calculatedColumnFormula>
    </tableColumn>
    <tableColumn id="7" name="سعر الشبك " dataDxfId="2012">
      <calculatedColumnFormula>S6*$S$2/1000</calculatedColumnFormula>
    </tableColumn>
    <tableColumn id="8" name="اجمالي" totalsRowFunction="sum" dataDxfId="1964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943" totalsRowDxfId="1942"/>
    <tableColumn id="2" name="عدد" dataDxfId="1962" totalsRowDxfId="19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43" totalsRowDxfId="1942"/>
    <tableColumn id="4" name="الوحده" totalsRowLabel="total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2005">
      <calculatedColumnFormula>Sheet2!B6</calculatedColumnFormula>
    </tableColumn>
    <tableColumn id="8" name="اجمالي" totalsRowFunction="sum" dataDxfId="1964" totalsRowDxfId="2006">
      <calculatedColumnFormula>M99*U100</calculatedColumnFormula>
    </tableColumn>
    <tableColumn id="9" name="%" totalsRowFunction="custom" totalsRowDxfId="200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943" totalsRowDxfId="1942"/>
    <tableColumn id="2" name="عدد" dataDxfId="1941" totalsRowDxfId="1942"/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199" totalsRowDxfId="1200"/>
    <tableColumn id="4" name="الوحده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194" totalsRowDxfId="1947">
      <calculatedColumnFormula>Sheet2!B22</calculatedColumnFormula>
    </tableColumn>
    <tableColumn id="8" name="اجمالي" totalsRowFunction="sum" dataDxfId="1196" totalsRowDxfId="1948">
      <calculatedColumnFormula>B17*J17</calculatedColumnFormula>
    </tableColumn>
    <tableColumn id="9" name="%" totalsRowFunction="custom" totalsRowDxfId="194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943"/>
    <tableColumn id="2" name="عدد" dataDxfId="1962">
      <calculatedColumnFormula>IF((I70="بالتات"),0,4)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dataDxfId="1986"/>
    <tableColumn id="4" name="الوحده" dataDxfId="1943"/>
    <tableColumn id="5" name="الوزن" dataDxfId="1943"/>
    <tableColumn id="6" name="سعر الكيلو" dataDxfId="1943"/>
    <tableColumn id="7" name="سعر الشبك " dataDxfId="1983">
      <calculatedColumnFormula>Sheet2!B26</calculatedColumnFormula>
    </tableColumn>
    <tableColumn id="8" name="اجمالي" totalsRowFunction="sum" dataDxfId="1964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943"/>
    <tableColumn id="2" name="عدد" totalsRowFunction="sum" dataDxfId="1943">
      <calculatedColumnFormula>M91*4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86">
      <calculatedColumnFormula>(Table16627394[[#This Row],[Column1]]*Table16627394[[#This Row],[Column2]])*Table16627394[[#This Row],[عدد]]</calculatedColumnFormula>
    </tableColumn>
    <tableColumn id="4" name="الوحده" dataDxfId="1943"/>
    <tableColumn id="5" name="الوزن" totalsRowFunction="custom">
      <totalsRowFormula>(S94*M94)+(M95*S95)</totalsRowFormula>
    </tableColumn>
    <tableColumn id="6" name="سعر الكيلو" dataDxfId="1962"/>
    <tableColumn id="7" name="سعر الشبك " dataDxfId="1983">
      <calculatedColumnFormula>S93*$S$2/1000</calculatedColumnFormula>
    </tableColumn>
    <tableColumn id="8" name="اجمالي" totalsRowFunction="sum" dataDxfId="1964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977"/>
    <tableColumn id="2" name="المعدل" dataDxfId="1977"/>
    <tableColumn id="3" name="الوحدة" dataDxfId="1977"/>
    <tableColumn id="4" name="Column4" dataDxfId="198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977"/>
    <tableColumn id="2" name="Column2" dataDxfId="1976"/>
    <tableColumn id="3" name="Column3" dataDxfId="1977"/>
    <tableColumn id="4" name="Column4" dataDxfId="1977"/>
    <tableColumn id="5" name="Column5" dataDxfId="197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943" totalsRowDxfId="1942"/>
    <tableColumn id="2" name="عدد" dataDxfId="2003" totalsRowDxfId="1942">
      <calculatedColumnFormula>IF((تسعير!$AU$14="بالتات"),0,M120-2)</calculatedColumnFormula>
    </tableColumn>
    <tableColumn id="3" name="بيان" totalsRowLabel="Total" dataDxfId="2013" totalsRowDxfId="1942"/>
    <tableColumn id="5" name="اليومية / الاجرة" dataDxfId="2013" totalsRowDxfId="1942"/>
    <tableColumn id="6" name="بدل الوجبة" dataDxfId="2001" totalsRowDxfId="1942"/>
    <tableColumn id="11" name="موقع العمل" dataDxfId="1971" totalsRowDxfId="1942">
      <calculatedColumnFormula>تسعير!$AT$44</calculatedColumnFormula>
    </tableColumn>
    <tableColumn id="10" name="شيفت العمل" dataDxfId="1943" totalsRowDxfId="1942"/>
    <tableColumn id="12" name="Column12" totalsRowFunction="sum" dataDxfId="1986" totalsRowDxfId="2002">
      <calculatedColumnFormula>SUMIF(Table17697899[Column1],Table1612677697[[#This Row],[موقع العمل]],$AE$2:$AE$8)</calculatedColumnFormula>
    </tableColumn>
    <tableColumn id="4" name="عدد الايام" dataDxfId="1213" totalsRowDxfId="1942"/>
    <tableColumn id="7" name="اجمالي التكلفة للعامل" dataDxfId="1214" totalsRowDxfId="2005">
      <calculatedColumnFormula>Table1612677697[[#This Row],[Column12]]</calculatedColumnFormula>
    </tableColumn>
    <tableColumn id="8" name="اجمالي" totalsRowFunction="sum" dataDxfId="1964" totalsRowDxfId="2006">
      <calculatedColumnFormula>M123*U123</calculatedColumnFormula>
    </tableColumn>
    <tableColumn id="9" name="%" totalsRowFunction="custom" totalsRowDxfId="200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71" totalsRowDxfId="1942"/>
    <tableColumn id="2" name="عدد" dataDxfId="2003" totalsRowDxfId="1942">
      <calculatedColumnFormula>IF((Q134="الاسكندرية"),0.25,0.1)</calculatedColumnFormula>
    </tableColumn>
    <tableColumn id="3" name="بيان" totalsRowLabel="Total" dataDxfId="1971" totalsRowDxfId="1942"/>
    <tableColumn id="11" name="Column2" dataDxfId="1971" totalsRowDxfId="1942"/>
    <tableColumn id="10" name="Column1" dataDxfId="1971" totalsRowDxfId="1942"/>
    <tableColumn id="12" name="Column12" totalsRowFunction="sum" dataDxfId="1995" totalsRowDxfId="2002"/>
    <tableColumn id="4" name="الوحده" dataDxfId="1954" totalsRowDxfId="1942"/>
    <tableColumn id="5" name="الوزن" dataDxfId="1971" totalsRowDxfId="1942"/>
    <tableColumn id="6" name="سعر الكيلو" dataDxfId="1971" totalsRowDxfId="1942"/>
    <tableColumn id="7" name="سعر الشبك " dataDxfId="2014" totalsRowDxfId="2005">
      <calculatedColumnFormula>F95</calculatedColumnFormula>
    </tableColumn>
    <tableColumn id="8" name="اجمالي" totalsRowFunction="sum" dataDxfId="1964" totalsRowDxfId="2006">
      <calculatedColumnFormula>M118*Table1613687798[[#This Row],[سعر الشبك ]]</calculatedColumnFormula>
    </tableColumn>
    <tableColumn id="9" name="%" totalsRowFunction="custom" totalsRowDxfId="200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977"/>
    <tableColumn id="2" name="خارجي" dataDxfId="1977"/>
    <tableColumn id="3" name="داخلي" dataDxfId="1977"/>
    <tableColumn id="4" name="بدل الوجبة" dataDxfId="1977"/>
    <tableColumn id="5" name="دبابة" dataDxfId="1977"/>
    <tableColumn id="6" name="جامبو" dataDxfId="1977"/>
    <tableColumn id="7" name="الاقامة" dataDxfId="197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71"/>
    <tableColumn id="4" name="Column22" dataDxfId="1971"/>
    <tableColumn id="5" name="Column23" dataDxfId="1971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2003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943"/>
    <tableColumn id="2" name="عدد" dataDxfId="1943">
      <calculatedColumnFormula>IF(OR((N70="B11"),(N70="B12"),(N70="B21"),(N70="B22"),(N70="B31"),(N70="B32")),3,0)</calculatedColumnFormula>
    </tableColumn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986">
      <calculatedColumnFormula>(Table15880101[[#This Row],[Column1]]+Table15880101[[#This Row],[Column2]])*12*Table15880101[[#This Row],[عدد]]</calculatedColumnFormula>
    </tableColumn>
    <tableColumn id="4" name="الوحده" dataDxfId="1943"/>
    <tableColumn id="5" name="الوزن" totalsRowFunction="custom">
      <totalsRowFormula>(S77*M77)+(S78*M78)+(M79*S79)+(S80*M80)</totalsRowFormula>
    </tableColumn>
    <tableColumn id="6" name="اجمالي المسطح" totalsRowFunction="sum" dataDxfId="1962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964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943" totalsRowDxfId="1942"/>
    <tableColumn id="2" name="عدد" dataDxfId="1962" totalsRowDxfId="1942"/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43" totalsRowDxfId="1942"/>
    <tableColumn id="4" name="الوحده" totalsRowLabel="total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2005">
      <calculatedColumnFormula>Sheet2!AW6</calculatedColumnFormula>
    </tableColumn>
    <tableColumn id="8" name="اجمالي" totalsRowFunction="sum" dataDxfId="1964" totalsRowDxfId="2006">
      <calculatedColumnFormula>BH28*BP28</calculatedColumnFormula>
    </tableColumn>
    <tableColumn id="9" name="%" totalsRowFunction="custom" totalsRowDxfId="200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943" totalsRowDxfId="1942"/>
    <tableColumn id="2" name="عدد" totalsRowFunction="count" dataDxfId="1943" totalsRowDxfId="1942">
      <calculatedColumnFormula>B29*4</calculatedColumnFormula>
    </tableColumn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totalsRowFunction="sum" dataDxfId="1950" totalsRowDxfId="1951">
      <calculatedColumnFormula>(Table16[[#This Row],[Column1]]*Table16[[#This Row],[Column2]])*Table16[[#This Row],[عدد]]</calculatedColumnFormula>
    </tableColumn>
    <tableColumn id="4" name="الوحده" dataDxfId="1943" totalsRowDxfId="1942"/>
    <tableColumn id="5" name="الوزن" totalsRowFunction="custom" totalsRowDxfId="1942">
      <totalsRowFormula>H30*B30+H31*B31</totalsRowFormula>
    </tableColumn>
    <tableColumn id="6" name="Column3" dataDxfId="1936" totalsRowDxfId="1942"/>
    <tableColumn id="7" name="سعر الشبك " dataDxfId="1945" totalsRowDxfId="1195">
      <calculatedColumnFormula>H30*$H$2/1000</calculatedColumnFormula>
    </tableColumn>
    <tableColumn id="8" name="اجمالي" totalsRowFunction="sum" dataDxfId="194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943" totalsRowDxfId="1942"/>
    <tableColumn id="2" name="عدد" dataDxfId="1962" totalsRowDxfId="1942"/>
    <tableColumn id="3" name="بيان" totalsRowLabel="Total" dataDxfId="1943" totalsRowDxfId="1942"/>
    <tableColumn id="11" name="Column2" dataDxfId="1943" totalsRowDxfId="1942"/>
    <tableColumn id="10" name="Column1" dataDxfId="1943" totalsRowDxfId="1942"/>
    <tableColumn id="12" name="Column12" dataDxfId="1986" totalsRowDxfId="2002"/>
    <tableColumn id="4" name="الوحده" dataDxfId="1943" totalsRowDxfId="1942"/>
    <tableColumn id="5" name="الوزن" dataDxfId="1943" totalsRowDxfId="1942"/>
    <tableColumn id="6" name="سعر الكيلو" dataDxfId="1943" totalsRowDxfId="1942"/>
    <tableColumn id="7" name="سعر الشبك " dataDxfId="1983" totalsRowDxfId="2005">
      <calculatedColumnFormula>Sheet2!AW26</calculatedColumnFormula>
    </tableColumn>
    <tableColumn id="8" name="اجمالي" totalsRowFunction="sum" dataDxfId="1964" totalsRowDxfId="2006">
      <calculatedColumnFormula>BH14*BP14</calculatedColumnFormula>
    </tableColumn>
    <tableColumn id="9" name="%" totalsRowFunction="custom" totalsRowDxfId="200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943"/>
    <tableColumn id="2" name="عدد" totalsRowFunction="count" dataDxfId="1943">
      <calculatedColumnFormula>BH20*4</calculatedColumnFormula>
    </tableColumn>
    <tableColumn id="3" name="بيان" totalsRowLabel="Total" dataDxfId="1943"/>
    <tableColumn id="11" name="Column2" dataDxfId="1943"/>
    <tableColumn id="10" name="Column1" dataDxfId="1943"/>
    <tableColumn id="12" name="Column12" totalsRowFunction="sum" dataDxfId="1986">
      <calculatedColumnFormula>(Table16627383[[#This Row],[Column1]]*Table16627383[[#This Row],[Column2]])*Table16627383[[#This Row],[عدد]]</calculatedColumnFormula>
    </tableColumn>
    <tableColumn id="4" name="الوحده" dataDxfId="1943"/>
    <tableColumn id="5" name="الوزن" totalsRowFunction="custom">
      <totalsRowFormula>(BN23*BH23)+(BH24*BN24)</totalsRowFormula>
    </tableColumn>
    <tableColumn id="6" name="سعر الكيلو" dataDxfId="1962"/>
    <tableColumn id="7" name="سعر الشبك " dataDxfId="1983">
      <calculatedColumnFormula>BN22*$S$2/1000</calculatedColumnFormula>
    </tableColumn>
    <tableColumn id="8" name="اجمالي" totalsRowFunction="sum" dataDxfId="1964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977"/>
    <tableColumn id="2" name="المعدل" dataDxfId="1977"/>
    <tableColumn id="3" name="الوحدة" dataDxfId="1977"/>
    <tableColumn id="4" name="Column4" dataDxfId="1965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977"/>
    <tableColumn id="2" name="Column2" dataDxfId="1952"/>
    <tableColumn id="3" name="Column3" dataDxfId="1977"/>
    <tableColumn id="4" name="Column4" dataDxfId="1977"/>
    <tableColumn id="5" name="Column5" dataDxfId="197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943"/>
    <tableColumn id="2" name="عدد" dataDxfId="2003">
      <calculatedColumnFormula>IF((تسعير!$AU$14="بالتات"),0,BH48-2)</calculatedColumnFormula>
    </tableColumn>
    <tableColumn id="3" name="بيان" totalsRowLabel="Total" dataDxfId="2013"/>
    <tableColumn id="5" name="اليومية / الاجرة" dataDxfId="2013"/>
    <tableColumn id="6" name="بدل الوجبة" dataDxfId="1968"/>
    <tableColumn id="11" name="موقع العمل" dataDxfId="1971">
      <calculatedColumnFormula>تسعير!$AT$44</calculatedColumnFormula>
    </tableColumn>
    <tableColumn id="10" name="شيفت العمل" dataDxfId="1943"/>
    <tableColumn id="12" name="Column12" totalsRowFunction="sum" dataDxfId="1986">
      <calculatedColumnFormula>SUMIF(Table17697888[Column1],Table1612677686[[#This Row],[موقع العمل]],$AE$2:$AE$8)</calculatedColumnFormula>
    </tableColumn>
    <tableColumn id="4" name="عدد الايام" dataDxfId="2015"/>
    <tableColumn id="7" name="اجمالي التكلفة للعامل" dataDxfId="2016">
      <calculatedColumnFormula>Table1612677686[[#This Row],[Column12]]</calculatedColumnFormula>
    </tableColumn>
    <tableColumn id="8" name="اجمالي" totalsRowFunction="sum" dataDxfId="1964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71"/>
    <tableColumn id="2" name="عدد" dataDxfId="2003">
      <calculatedColumnFormula>IF((BL62="الاسكندرية"),0.25,0.1)</calculatedColumnFormula>
    </tableColumn>
    <tableColumn id="3" name="بيان" totalsRowLabel="Total" dataDxfId="1971"/>
    <tableColumn id="11" name="Column2" dataDxfId="1971"/>
    <tableColumn id="10" name="Column1" dataDxfId="1971"/>
    <tableColumn id="12" name="Column12" totalsRowFunction="sum" dataDxfId="1217"/>
    <tableColumn id="4" name="الوحده" dataDxfId="1203"/>
    <tableColumn id="5" name="الوزن" dataDxfId="1971"/>
    <tableColumn id="6" name="سعر الكيلو" dataDxfId="1971"/>
    <tableColumn id="7" name="سعر الشبك " dataDxfId="1212">
      <calculatedColumnFormula>BQ45</calculatedColumnFormula>
    </tableColumn>
    <tableColumn id="8" name="اجمالي" totalsRowFunction="sum" dataDxfId="1964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977"/>
    <tableColumn id="2" name="خارجي" dataDxfId="1977"/>
    <tableColumn id="3" name="داخلي" dataDxfId="1977"/>
    <tableColumn id="4" name="بدل الوجبة" dataDxfId="1977"/>
    <tableColumn id="5" name="دبابة" dataDxfId="1977"/>
    <tableColumn id="6" name="جامبو" dataDxfId="1977"/>
    <tableColumn id="7" name="الاقامة" dataDxfId="197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71"/>
    <tableColumn id="4" name="Column22" dataDxfId="1971"/>
    <tableColumn id="5" name="Column23" dataDxfId="1971"/>
    <tableColumn id="3" name="Column3" dataDxfId="2017">
      <calculatedColumnFormula>IF((BL62="المقطم"),0.3,IF((BL62="التجمع"),0.3,IF((BL62="الشيخ زايد"),0.3,IF((BL62="الاسكندرية"),0.5,0.35))))</calculatedColumnFormula>
    </tableColumn>
    <tableColumn id="2" name="Column2" dataDxfId="2003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943"/>
    <tableColumn id="2" name="عدد" dataDxfId="1943"/>
    <tableColumn id="3" name="بيان" totalsRowLabel="Total" dataDxfId="1943"/>
    <tableColumn id="11" name="Column2" dataDxfId="1943"/>
    <tableColumn id="10" name="Column1" dataDxfId="1943"/>
    <tableColumn id="12" name="المسطح" totalsRowFunction="sum" dataDxfId="1986">
      <calculatedColumnFormula>(Table1588090[[#This Row],[Column1]]+Table1588090[[#This Row],[Column2]])*12*Table1588090[[#This Row],[عدد]]</calculatedColumnFormula>
    </tableColumn>
    <tableColumn id="4" name="الوحده" dataDxfId="1943"/>
    <tableColumn id="5" name="الوزن" totalsRowFunction="custom">
      <totalsRowFormula>(BN6*BH6)+(BN7*BG7)+(BN8*BG8)+(BN9*BG9)</totalsRowFormula>
    </tableColumn>
    <tableColumn id="6" name="اجمالي المسطح" totalsRowFunction="sum" dataDxfId="1962">
      <calculatedColumnFormula>Table1588090[[#This Row],[المسطح]]*Table1588090[[#This Row],[عدد]]</calculatedColumnFormula>
    </tableColumn>
    <tableColumn id="7" name="سعر الشبك " dataDxfId="2012">
      <calculatedColumnFormula>BN6*$S$2/1000</calculatedColumnFormula>
    </tableColumn>
    <tableColumn id="8" name="اجمالي" totalsRowFunction="sum" dataDxfId="1964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2018" totalsRowDxfId="1231"/>
    <tableColumn id="5" name="wt/m" dataDxfId="1230" totalsRowDxfId="2019"/>
    <tableColumn id="6" name="price" totalsRowFunction="sum" dataDxfId="2018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90" zoomScaleNormal="90" zoomScaleSheetLayoutView="70" workbookViewId="0">
      <selection activeCell="B42" sqref="B42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218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36440.625</v>
      </c>
      <c r="J3" s="518"/>
    </row>
    <row r="4" ht="21">
      <c r="A4" s="512"/>
      <c r="B4" s="513"/>
      <c r="C4" s="513"/>
      <c r="D4" s="514"/>
      <c r="E4" s="503"/>
      <c r="F4" s="508"/>
      <c r="G4" s="568" t="s">
        <v>219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125261.25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220</v>
      </c>
      <c r="B10" s="569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65000</v>
      </c>
    </row>
    <row r="13">
      <c r="A13" s="233" t="s">
        <v>224</v>
      </c>
      <c r="B13" s="233">
        <v>75000</v>
      </c>
    </row>
    <row r="14">
      <c r="A14" s="564" t="s">
        <v>225</v>
      </c>
      <c r="B14" s="233">
        <v>240000</v>
      </c>
    </row>
    <row r="15">
      <c r="A15" s="233" t="s">
        <v>226</v>
      </c>
      <c r="B15" s="233">
        <v>50000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400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500</v>
      </c>
    </row>
    <row r="21">
      <c r="A21" s="233" t="s">
        <v>73</v>
      </c>
      <c r="B21" s="233">
        <v>550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229</v>
      </c>
      <c r="B33" s="233">
        <v>12000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130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650</v>
      </c>
    </row>
    <row r="43" ht="18.75">
      <c r="A43" s="331" t="s">
        <v>239</v>
      </c>
      <c r="B43" s="233">
        <v>150</v>
      </c>
    </row>
    <row r="44" ht="18.75">
      <c r="A44" s="331" t="s">
        <v>240</v>
      </c>
      <c r="B44" s="233">
        <v>200</v>
      </c>
    </row>
    <row r="45">
      <c r="A45" s="564" t="s">
        <v>241</v>
      </c>
      <c r="B45" s="233">
        <v>4000</v>
      </c>
    </row>
    <row r="46">
      <c r="A46" s="564" t="s">
        <v>242</v>
      </c>
      <c r="B46" s="233">
        <v>3000</v>
      </c>
    </row>
    <row r="47">
      <c r="A47" s="233" t="s">
        <v>243</v>
      </c>
      <c r="B47" s="233">
        <v>150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64" t="s">
        <v>250</v>
      </c>
      <c r="B54" s="233">
        <v>1200</v>
      </c>
    </row>
    <row r="55">
      <c r="A55" s="540" t="s">
        <v>251</v>
      </c>
      <c r="B55" s="233">
        <v>21000</v>
      </c>
    </row>
    <row r="56">
      <c r="A56" s="540" t="s">
        <v>252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AB1:AD1" location="Royal!A1" display="مثبتة علي الحائط"/>
    <hyperlink ref="AC1:AE1" location="Royal!A1" display="مثبتة علي الحائط"/>
    <hyperlink ref="AD1:AF1" location="Royal!A1" display="مثبتة علي الحائط"/>
    <hyperlink ref="AE1:AG1" location="Royal!A1" display="مثبتة علي الحائط"/>
    <hyperlink ref="AF1:AH1" location="Royal!A1" display="مثبتة علي الحائط"/>
    <hyperlink ref="AG1:AI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AB4:AD4" location="Royal2!A1" display="مثبتة غير علي الحائط"/>
    <hyperlink ref="AC4:AE4" location="Royal2!A1" display="مثبتة غير علي الحائط"/>
    <hyperlink ref="AD4:AF4" location="Royal2!A1" display="مثبتة غير علي الحائط"/>
    <hyperlink ref="AE4:AG4" location="Royal2!A1" display="مثبتة غير علي الحائط"/>
    <hyperlink ref="AF4:AH4" location="Royal2!A1" display="مثبتة غير علي الحائط"/>
    <hyperlink ref="AG4:AI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8" t="s">
        <v>594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60"/>
      <c r="O1" s="87"/>
      <c r="P1" s="88"/>
      <c r="Q1" s="88"/>
      <c r="R1" s="88"/>
      <c r="W1" s="136">
        <f>IF(تسعير!T6="سادة",Royal!J2+20000,IF(تسعير!T6="خشبي",Royal!J2+40000,0))</f>
        <v>260000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4" t="s">
        <v>358</v>
      </c>
      <c r="B3" s="674"/>
      <c r="C3" s="674"/>
      <c r="D3" s="676">
        <f>تسجيل1!B2</f>
        <v>0</v>
      </c>
      <c r="E3" s="676"/>
      <c r="F3" s="676"/>
      <c r="G3" s="676"/>
      <c r="H3" s="676"/>
      <c r="I3" s="676"/>
      <c r="J3" s="676"/>
      <c r="K3" s="676"/>
      <c r="L3" s="676"/>
      <c r="M3" s="661" t="s">
        <v>359</v>
      </c>
      <c r="N3" s="661"/>
      <c r="O3" s="89"/>
      <c r="P3" s="90"/>
      <c r="Q3" s="90"/>
      <c r="R3" s="90"/>
      <c r="Z3" s="151"/>
      <c r="AA3" s="60"/>
      <c r="AB3" s="60"/>
    </row>
    <row r="4" ht="13.5" customHeight="1">
      <c r="A4" s="675"/>
      <c r="B4" s="675"/>
      <c r="C4" s="675"/>
      <c r="D4" s="677"/>
      <c r="E4" s="677"/>
      <c r="F4" s="677"/>
      <c r="G4" s="676"/>
      <c r="H4" s="676"/>
      <c r="I4" s="677"/>
      <c r="J4" s="677"/>
      <c r="K4" s="677"/>
      <c r="L4" s="677"/>
      <c r="M4" s="662"/>
      <c r="N4" s="662"/>
      <c r="O4" s="91"/>
      <c r="P4" s="92"/>
      <c r="Q4" s="92"/>
      <c r="R4" s="92"/>
      <c r="Z4" s="151"/>
      <c r="AA4" s="60"/>
      <c r="AB4" s="60"/>
    </row>
    <row r="5" ht="13.5" customHeight="1">
      <c r="A5" s="663" t="e">
        <f>Y1</f>
        <v>#REF!</v>
      </c>
      <c r="B5" s="664"/>
      <c r="C5" s="665"/>
      <c r="D5" s="666" t="s">
        <v>357</v>
      </c>
      <c r="E5" s="667"/>
      <c r="F5" s="668"/>
      <c r="G5" s="63"/>
      <c r="H5" s="63"/>
      <c r="I5" s="663">
        <f>W1</f>
        <v>260000</v>
      </c>
      <c r="J5" s="664"/>
      <c r="K5" s="665"/>
      <c r="L5" s="666" t="s">
        <v>360</v>
      </c>
      <c r="M5" s="667"/>
      <c r="N5" s="668"/>
      <c r="O5" s="93"/>
      <c r="P5" s="92"/>
      <c r="Q5" s="92"/>
      <c r="R5" s="92"/>
      <c r="Z5" s="151"/>
      <c r="AA5" s="60"/>
      <c r="AB5" s="60"/>
    </row>
    <row r="6" ht="16.5" customHeight="1">
      <c r="A6" s="742" t="s">
        <v>253</v>
      </c>
      <c r="B6" s="743"/>
      <c r="C6" s="744"/>
      <c r="D6" s="736" t="s">
        <v>361</v>
      </c>
      <c r="E6" s="669" t="s">
        <v>362</v>
      </c>
      <c r="F6" s="670"/>
      <c r="G6" s="671"/>
      <c r="H6" s="671"/>
      <c r="I6" s="670"/>
      <c r="J6" s="672"/>
      <c r="K6" s="673">
        <f>تسجيل1!C7</f>
        <v>500</v>
      </c>
      <c r="L6" s="673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2"/>
      <c r="B7" s="743"/>
      <c r="C7" s="744"/>
      <c r="D7" s="736"/>
      <c r="E7" s="678" t="s">
        <v>364</v>
      </c>
      <c r="F7" s="671"/>
      <c r="G7" s="671"/>
      <c r="H7" s="671"/>
      <c r="I7" s="671"/>
      <c r="J7" s="679"/>
      <c r="K7" s="680">
        <f>K6*N6/10000</f>
        <v>40</v>
      </c>
      <c r="L7" s="680"/>
      <c r="M7" s="680"/>
      <c r="N7" s="98" t="s">
        <v>365</v>
      </c>
      <c r="O7" s="99">
        <f>AA41/K7</f>
        <v>2979.127132613336</v>
      </c>
      <c r="S7" s="60" t="s">
        <v>127</v>
      </c>
      <c r="T7" s="61" t="s">
        <v>366</v>
      </c>
      <c r="Z7" s="151"/>
      <c r="AA7" s="60"/>
      <c r="AB7" s="60"/>
    </row>
    <row r="8">
      <c r="A8" s="745"/>
      <c r="B8" s="746"/>
      <c r="C8" s="747"/>
      <c r="D8" s="737"/>
      <c r="E8" s="681" t="s">
        <v>367</v>
      </c>
      <c r="F8" s="682"/>
      <c r="G8" s="682"/>
      <c r="H8" s="682"/>
      <c r="I8" s="682"/>
      <c r="J8" s="683"/>
      <c r="K8" s="684">
        <f>K6-1</f>
        <v>499</v>
      </c>
      <c r="L8" s="684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119165.08530453344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5" t="s">
        <v>369</v>
      </c>
      <c r="B10" s="685"/>
      <c r="C10" s="685"/>
      <c r="D10" s="685"/>
      <c r="E10" s="685"/>
      <c r="F10" s="685"/>
      <c r="G10" s="686" t="s">
        <v>370</v>
      </c>
      <c r="H10" s="686"/>
      <c r="I10" s="686" t="s">
        <v>371</v>
      </c>
      <c r="J10" s="686"/>
      <c r="K10" s="104"/>
      <c r="L10" s="687" t="s">
        <v>306</v>
      </c>
      <c r="M10" s="687"/>
      <c r="N10" s="687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688" t="s">
        <v>377</v>
      </c>
      <c r="B11" s="689"/>
      <c r="C11" s="689"/>
      <c r="D11" s="689"/>
      <c r="E11" s="689"/>
      <c r="F11" s="690"/>
      <c r="G11" s="691">
        <f>L11</f>
        <v>3</v>
      </c>
      <c r="H11" s="691"/>
      <c r="I11" s="692">
        <f>'Format διαστασης οδηγου'!F8</f>
        <v>765</v>
      </c>
      <c r="J11" s="692"/>
      <c r="K11" s="106"/>
      <c r="L11" s="687">
        <f>IF(Format!A7=1,تسجيل1!H27,IF(Format!A7=2,تسجيل1!H27,IF(Format!A7=3,تسجيل1!H27,IF(Format!A7=4,تسجيل1!H27,IF(Format!A7=5,تسجيل1!H27,"-------")))))</f>
        <v>3</v>
      </c>
      <c r="M11" s="687"/>
      <c r="N11" s="687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27807.168831168859</v>
      </c>
      <c r="Z11" s="151"/>
      <c r="AA11" s="60"/>
      <c r="AB11" s="60"/>
    </row>
    <row r="12" ht="20.1" customHeight="1">
      <c r="A12" s="693" t="s">
        <v>378</v>
      </c>
      <c r="B12" s="693"/>
      <c r="C12" s="693"/>
      <c r="D12" s="693"/>
      <c r="E12" s="693"/>
      <c r="F12" s="693"/>
      <c r="G12" s="694">
        <f>IF(L11&gt;2,4,IF(L11=2,2))</f>
        <v>4</v>
      </c>
      <c r="H12" s="694"/>
      <c r="I12" s="69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695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5815.016611295674</v>
      </c>
      <c r="Z12" s="151"/>
      <c r="AA12" s="60"/>
      <c r="AB12" s="60"/>
    </row>
    <row r="13" ht="20.1" customHeight="1">
      <c r="A13" s="693" t="s">
        <v>379</v>
      </c>
      <c r="B13" s="693"/>
      <c r="C13" s="693"/>
      <c r="D13" s="693"/>
      <c r="E13" s="693"/>
      <c r="F13" s="693"/>
      <c r="G13" s="694" t="str">
        <f>IF(L11&lt;=3,"0",(L11-3)*2)</f>
        <v>0</v>
      </c>
      <c r="H13" s="694"/>
      <c r="I13" s="695">
        <f>IF(G13="-------","-------",L17-5)</f>
        <v>240.5</v>
      </c>
      <c r="J13" s="695"/>
      <c r="K13" s="106"/>
      <c r="L13" s="696" t="s">
        <v>280</v>
      </c>
      <c r="M13" s="696"/>
      <c r="N13" s="696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693" t="s">
        <v>380</v>
      </c>
      <c r="B14" s="693"/>
      <c r="C14" s="693"/>
      <c r="D14" s="693"/>
      <c r="E14" s="693"/>
      <c r="F14" s="693"/>
      <c r="G14" s="694">
        <f>IF(L11&gt;2,2*L14,IF(L11=2,L14))</f>
        <v>24</v>
      </c>
      <c r="H14" s="694"/>
      <c r="I14" s="695">
        <f>I12</f>
        <v>247</v>
      </c>
      <c r="J14" s="695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19688.275862068884</v>
      </c>
      <c r="Z14" s="151"/>
      <c r="AA14" s="60"/>
      <c r="AB14" s="60"/>
    </row>
    <row r="15" ht="20.1" customHeight="1">
      <c r="A15" s="693" t="s">
        <v>381</v>
      </c>
      <c r="B15" s="693"/>
      <c r="C15" s="693"/>
      <c r="D15" s="693"/>
      <c r="E15" s="693"/>
      <c r="F15" s="693"/>
      <c r="G15" s="694" t="str">
        <f>IF(L11&lt;=3,"0",(L11-3)*L14)</f>
        <v>0</v>
      </c>
      <c r="H15" s="694"/>
      <c r="I15" s="695">
        <f>IF(G15="-------","---------",I13)</f>
        <v>240.5</v>
      </c>
      <c r="J15" s="695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693" t="s">
        <v>382</v>
      </c>
      <c r="B16" s="693"/>
      <c r="C16" s="693"/>
      <c r="D16" s="693"/>
      <c r="E16" s="693"/>
      <c r="F16" s="693"/>
      <c r="G16" s="694">
        <v>1</v>
      </c>
      <c r="H16" s="694"/>
      <c r="I16" s="69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695"/>
      <c r="K16" s="106"/>
      <c r="L16" s="697" t="s">
        <v>383</v>
      </c>
      <c r="M16" s="697"/>
      <c r="N16" s="697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1088.0000000000041</v>
      </c>
      <c r="Z16" s="151"/>
      <c r="AA16" s="60"/>
      <c r="AB16" s="60"/>
    </row>
    <row r="17" ht="20.1" customHeight="1">
      <c r="A17" s="693" t="s">
        <v>384</v>
      </c>
      <c r="B17" s="693"/>
      <c r="C17" s="693"/>
      <c r="D17" s="693"/>
      <c r="E17" s="693"/>
      <c r="F17" s="693"/>
      <c r="G17" s="694">
        <f>IF(L11=2,"0",1)</f>
        <v>1</v>
      </c>
      <c r="H17" s="694"/>
      <c r="I17" s="695">
        <f>IF(G17="-------","-------",IF(Format!A7=1,(L17+3),IF(Format!A7=2,(L17+3.5),IF(Format!A7=3,(L17+3),IF(Format!A7=4,(L17+4.25),IF(Format!A7=5,(L17+5),"--------"))))))</f>
        <v>249</v>
      </c>
      <c r="J17" s="695"/>
      <c r="K17" s="106"/>
      <c r="L17" s="698">
        <f>IF(Format!A7=1,(K6-2-6)/(L11-1),IF(Format!A7=2,(K6-2-7)/(L11-1),IF(Format!A7=3,(K6-2-6)/(L11-1),IF(Format!A7=4,(K6-2-8.5)/(L11-1),IF(Format!A7=5,(K6-2-10)/(L11-1),"--------")))))</f>
        <v>245.5</v>
      </c>
      <c r="M17" s="698"/>
      <c r="N17" s="69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1088.0000000000041</v>
      </c>
      <c r="Z17" s="151"/>
      <c r="AA17" s="60"/>
      <c r="AB17" s="60"/>
    </row>
    <row r="18" ht="20.1" customHeight="1">
      <c r="A18" s="693" t="s">
        <v>385</v>
      </c>
      <c r="B18" s="693"/>
      <c r="C18" s="693"/>
      <c r="D18" s="693"/>
      <c r="E18" s="693"/>
      <c r="F18" s="693"/>
      <c r="G18" s="694" t="str">
        <f>IF(L11&lt;=3,"0",(L11-3))</f>
        <v>0</v>
      </c>
      <c r="H18" s="694"/>
      <c r="I18" s="695">
        <f>IF(G18="-------","-------",L17)</f>
        <v>245.5</v>
      </c>
      <c r="J18" s="695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693" t="str">
        <f>IF(Format!H4=1,"Balloon","-------")</f>
        <v>-------</v>
      </c>
      <c r="B19" s="693"/>
      <c r="C19" s="693"/>
      <c r="D19" s="693"/>
      <c r="E19" s="693"/>
      <c r="F19" s="693"/>
      <c r="G19" s="694" t="str">
        <f>IF([1]Format!H4=1,'[1]تقطيع البرجولة'!L14,"0")</f>
        <v>0</v>
      </c>
      <c r="H19" s="694"/>
      <c r="I19" s="695">
        <f>IF(G19="-------","-------",K6-2.5)</f>
        <v>497.5</v>
      </c>
      <c r="J19" s="695"/>
      <c r="K19" s="106"/>
      <c r="L19" s="699" t="s">
        <v>309</v>
      </c>
      <c r="M19" s="700"/>
      <c r="N19" s="70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2" t="s">
        <v>386</v>
      </c>
      <c r="B20" s="703"/>
      <c r="C20" s="703"/>
      <c r="D20" s="703"/>
      <c r="E20" s="703"/>
      <c r="F20" s="704"/>
      <c r="G20" s="702">
        <f>(G12+G13)/2</f>
        <v>2</v>
      </c>
      <c r="H20" s="703"/>
      <c r="I20" s="695">
        <f>L17-7</f>
        <v>238.5</v>
      </c>
      <c r="J20" s="695"/>
      <c r="K20" s="106"/>
      <c r="L20" s="114" t="s">
        <v>370</v>
      </c>
      <c r="M20" s="705" t="s">
        <v>387</v>
      </c>
      <c r="N20" s="70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2574</v>
      </c>
      <c r="Z20" s="151"/>
      <c r="AA20" s="60"/>
      <c r="AB20" s="60"/>
    </row>
    <row r="21" ht="20.1" customHeight="1">
      <c r="A21" s="706" t="s">
        <v>388</v>
      </c>
      <c r="B21" s="706"/>
      <c r="C21" s="706"/>
      <c r="D21" s="706"/>
      <c r="E21" s="706"/>
      <c r="F21" s="706"/>
      <c r="G21" s="707">
        <f>L11</f>
        <v>3</v>
      </c>
      <c r="H21" s="707"/>
      <c r="I21" s="708">
        <f>(I11*2)+45</f>
        <v>1575</v>
      </c>
      <c r="J21" s="708"/>
      <c r="K21" s="106"/>
      <c r="L21" s="112">
        <f>IF(Format!E7=1,"-------",IF(Format!E7=5,"-------",تسجيل1!H30))</f>
        <v>3</v>
      </c>
      <c r="M21" s="697" t="str">
        <f>IF(L21="-------","-------",تسجيل1!D11)</f>
        <v>4Χ220- 1Χ250</v>
      </c>
      <c r="N21" s="697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64936.461304533434</v>
      </c>
      <c r="Z22" s="151"/>
      <c r="AA22" s="60"/>
      <c r="AB22" s="60"/>
    </row>
    <row r="23" ht="20.1" customHeight="1">
      <c r="A23" s="709" t="s">
        <v>389</v>
      </c>
      <c r="B23" s="710"/>
      <c r="C23" s="710"/>
      <c r="D23" s="710"/>
      <c r="E23" s="711"/>
      <c r="F23" s="67" t="s">
        <v>390</v>
      </c>
      <c r="G23" s="68"/>
      <c r="H23" s="709" t="s">
        <v>391</v>
      </c>
      <c r="I23" s="710"/>
      <c r="J23" s="710"/>
      <c r="K23" s="710"/>
      <c r="L23" s="711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2" t="s">
        <v>396</v>
      </c>
      <c r="C24" s="712"/>
      <c r="D24" s="712"/>
      <c r="E24" s="712"/>
      <c r="F24" s="70">
        <f>L11</f>
        <v>3</v>
      </c>
      <c r="G24" s="71"/>
      <c r="H24" s="69">
        <v>16</v>
      </c>
      <c r="I24" s="712" t="s">
        <v>297</v>
      </c>
      <c r="J24" s="712"/>
      <c r="K24" s="712"/>
      <c r="L24" s="712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713" t="s">
        <v>397</v>
      </c>
      <c r="C25" s="713"/>
      <c r="D25" s="713"/>
      <c r="E25" s="713"/>
      <c r="F25" s="73">
        <f>L11</f>
        <v>3</v>
      </c>
      <c r="G25" s="71"/>
      <c r="H25" s="72">
        <v>17</v>
      </c>
      <c r="I25" s="713" t="s">
        <v>230</v>
      </c>
      <c r="J25" s="713"/>
      <c r="K25" s="713"/>
      <c r="L25" s="71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713" t="s">
        <v>398</v>
      </c>
      <c r="C26" s="713"/>
      <c r="D26" s="713"/>
      <c r="E26" s="713"/>
      <c r="F26" s="73">
        <f>M24</f>
        <v>1</v>
      </c>
      <c r="G26" s="71"/>
      <c r="H26" s="72">
        <v>18</v>
      </c>
      <c r="I26" s="713" t="s">
        <v>399</v>
      </c>
      <c r="J26" s="713"/>
      <c r="K26" s="713"/>
      <c r="L26" s="71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714" t="s">
        <v>400</v>
      </c>
      <c r="C27" s="715"/>
      <c r="D27" s="715"/>
      <c r="E27" s="716"/>
      <c r="F27" s="73">
        <v>4</v>
      </c>
      <c r="G27" s="71"/>
      <c r="H27" s="72">
        <v>19</v>
      </c>
      <c r="I27" s="713" t="s">
        <v>401</v>
      </c>
      <c r="J27" s="713"/>
      <c r="K27" s="713"/>
      <c r="L27" s="71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14" t="s">
        <v>402</v>
      </c>
      <c r="C28" s="715"/>
      <c r="D28" s="715"/>
      <c r="E28" s="716"/>
      <c r="F28" s="73">
        <f>L14</f>
        <v>12</v>
      </c>
      <c r="G28" s="71"/>
      <c r="H28" s="72">
        <v>20</v>
      </c>
      <c r="I28" s="713" t="s">
        <v>403</v>
      </c>
      <c r="J28" s="713"/>
      <c r="K28" s="713"/>
      <c r="L28" s="71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714" t="s">
        <v>404</v>
      </c>
      <c r="C29" s="715"/>
      <c r="D29" s="715"/>
      <c r="E29" s="716"/>
      <c r="F29" s="73">
        <f>L11*2</f>
        <v>6</v>
      </c>
      <c r="G29" s="71"/>
      <c r="H29" s="72">
        <v>21</v>
      </c>
      <c r="I29" s="713" t="s">
        <v>231</v>
      </c>
      <c r="J29" s="713"/>
      <c r="K29" s="713"/>
      <c r="L29" s="71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714" t="s">
        <v>405</v>
      </c>
      <c r="C30" s="715"/>
      <c r="D30" s="715"/>
      <c r="E30" s="716"/>
      <c r="F30" s="73">
        <f>L14*L11</f>
        <v>36</v>
      </c>
      <c r="G30" s="71"/>
      <c r="H30" s="72">
        <v>22</v>
      </c>
      <c r="I30" s="713" t="s">
        <v>232</v>
      </c>
      <c r="J30" s="713"/>
      <c r="K30" s="713"/>
      <c r="L30" s="71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714" t="s">
        <v>406</v>
      </c>
      <c r="C31" s="715"/>
      <c r="D31" s="715"/>
      <c r="E31" s="716"/>
      <c r="F31" s="73">
        <f>(L14+N14)*2</f>
        <v>28</v>
      </c>
      <c r="G31" s="71"/>
      <c r="H31" s="72">
        <v>23</v>
      </c>
      <c r="I31" s="713" t="s">
        <v>407</v>
      </c>
      <c r="J31" s="713"/>
      <c r="K31" s="713"/>
      <c r="L31" s="71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714" t="s">
        <v>408</v>
      </c>
      <c r="C32" s="715"/>
      <c r="D32" s="715"/>
      <c r="E32" s="716"/>
      <c r="F32" s="73">
        <f>(L14+N14)*2</f>
        <v>28</v>
      </c>
      <c r="G32" s="71"/>
      <c r="H32" s="72">
        <v>24</v>
      </c>
      <c r="I32" s="713" t="s">
        <v>409</v>
      </c>
      <c r="J32" s="713"/>
      <c r="K32" s="713"/>
      <c r="L32" s="71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714" t="s">
        <v>410</v>
      </c>
      <c r="C33" s="715"/>
      <c r="D33" s="715"/>
      <c r="E33" s="716"/>
      <c r="F33" s="73">
        <f>L11*3</f>
        <v>9</v>
      </c>
      <c r="G33" s="71"/>
      <c r="H33" s="72">
        <v>25</v>
      </c>
      <c r="I33" s="713" t="s">
        <v>411</v>
      </c>
      <c r="J33" s="713"/>
      <c r="K33" s="713"/>
      <c r="L33" s="71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714" t="s">
        <v>412</v>
      </c>
      <c r="C34" s="715"/>
      <c r="D34" s="715"/>
      <c r="E34" s="716"/>
      <c r="F34" s="73">
        <f>L11*3</f>
        <v>9</v>
      </c>
      <c r="G34" s="71"/>
      <c r="H34" s="72">
        <v>26</v>
      </c>
      <c r="I34" s="713" t="s">
        <v>233</v>
      </c>
      <c r="J34" s="713"/>
      <c r="K34" s="713"/>
      <c r="L34" s="71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714" t="s">
        <v>413</v>
      </c>
      <c r="C35" s="715"/>
      <c r="D35" s="715"/>
      <c r="E35" s="716"/>
      <c r="F35" s="73">
        <f>IF(L11&gt;2,(L11-2)*2,"0")</f>
        <v>2</v>
      </c>
      <c r="G35" s="74"/>
      <c r="H35" s="72">
        <v>27</v>
      </c>
      <c r="I35" s="713" t="s">
        <v>234</v>
      </c>
      <c r="J35" s="713"/>
      <c r="K35" s="713"/>
      <c r="L35" s="71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714" t="s">
        <v>414</v>
      </c>
      <c r="C36" s="715"/>
      <c r="D36" s="715"/>
      <c r="E36" s="716"/>
      <c r="F36" s="73">
        <f>IF(L11&gt;2,(L11-2)*L14,"0")</f>
        <v>12</v>
      </c>
      <c r="G36" s="74"/>
      <c r="H36" s="72">
        <v>28</v>
      </c>
      <c r="I36" s="713" t="s">
        <v>415</v>
      </c>
      <c r="J36" s="713"/>
      <c r="K36" s="713"/>
      <c r="L36" s="71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714" t="s">
        <v>416</v>
      </c>
      <c r="C37" s="715"/>
      <c r="D37" s="715"/>
      <c r="E37" s="716"/>
      <c r="F37" s="73">
        <f>M24</f>
        <v>1</v>
      </c>
      <c r="G37" s="74"/>
      <c r="H37" s="72">
        <v>29</v>
      </c>
      <c r="I37" s="713" t="s">
        <v>417</v>
      </c>
      <c r="J37" s="713"/>
      <c r="K37" s="713"/>
      <c r="L37" s="71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713" t="s">
        <v>235</v>
      </c>
      <c r="C38" s="713"/>
      <c r="D38" s="713"/>
      <c r="E38" s="713"/>
      <c r="F38" s="73">
        <f>تسجيل1!C21</f>
        <v>20</v>
      </c>
      <c r="G38" s="74"/>
      <c r="H38" s="72">
        <v>30</v>
      </c>
      <c r="I38" s="713" t="s">
        <v>418</v>
      </c>
      <c r="J38" s="713"/>
      <c r="K38" s="713"/>
      <c r="L38" s="71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8">
        <f>SUM(AA24:AB38)</f>
        <v>41516.1</v>
      </c>
      <c r="AB39" s="738"/>
    </row>
    <row r="40" ht="20.45" customHeight="1" s="58" customFormat="1">
      <c r="A40" s="748" t="s">
        <v>419</v>
      </c>
      <c r="B40" s="749"/>
      <c r="C40" s="74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8"/>
      <c r="AB40" s="738"/>
    </row>
    <row r="41" ht="18.75" customHeight="1" s="58" customFormat="1">
      <c r="A41" s="739" t="str">
        <f>IF(Format!I5=1,"-------",IF(Format!I5=2,Format!I3,Format!I4))</f>
        <v>صونفي </v>
      </c>
      <c r="B41" s="740"/>
      <c r="C41" s="741"/>
      <c r="D41" s="81"/>
      <c r="E41" s="81"/>
      <c r="F41" s="76"/>
      <c r="G41" s="68"/>
      <c r="H41" s="75"/>
      <c r="I41" s="81"/>
      <c r="J41" s="81"/>
      <c r="K41" s="81"/>
      <c r="L41" s="750" t="s">
        <v>290</v>
      </c>
      <c r="M41" s="751"/>
      <c r="N41" s="75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3">
        <f>AA39+X22+U8</f>
        <v>119165.08530453344</v>
      </c>
      <c r="AB41" s="753"/>
    </row>
    <row r="42" ht="13.9" customHeight="1" s="58" customFormat="1">
      <c r="A42" s="739"/>
      <c r="B42" s="740"/>
      <c r="C42" s="741"/>
      <c r="D42" s="10"/>
      <c r="E42" s="10"/>
      <c r="F42" s="10"/>
      <c r="G42" s="10"/>
      <c r="H42" s="10"/>
      <c r="I42" s="10"/>
      <c r="J42" s="10"/>
      <c r="K42" s="10"/>
      <c r="L42" s="717" t="str">
        <f>IF(Format!B5=1,Format!B2,IF(Format!B5=2,Format!B3,تسجيل1!F4))</f>
        <v>بيج  Ral 1013</v>
      </c>
      <c r="M42" s="718"/>
      <c r="N42" s="7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0" t="str">
        <f>IF(Format!P5=1,"Τηλεχειρισμος",IF(Format!P5=2,"-------","Διακοπτης"))</f>
        <v>Τηλεχειρισμος</v>
      </c>
      <c r="B43" s="721"/>
      <c r="C43" s="722"/>
      <c r="D43" s="10"/>
      <c r="E43" s="10"/>
      <c r="F43" s="10"/>
      <c r="G43" s="10"/>
      <c r="H43" s="10"/>
      <c r="I43" s="10"/>
      <c r="J43" s="10"/>
      <c r="K43" s="10"/>
      <c r="L43" s="723" t="s">
        <v>291</v>
      </c>
      <c r="M43" s="724"/>
      <c r="N43" s="7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6" t="str">
        <f>IF(Format!C8=1,Format!C2,IF(Format!C8=2,Format!C3,IF(Format!C8=3,Format!C4,IF(Format!C8=4,Format!C5,IF(Format!C8=5,Format!C6,تسجيل1!F5)))))</f>
        <v>بيج  Ral 1013</v>
      </c>
      <c r="M44" s="727"/>
      <c r="N44" s="7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29" t="str">
        <f>A3</f>
        <v>اسم العميل </v>
      </c>
      <c r="B96" s="730"/>
      <c r="C96" s="7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31">
        <f>N8</f>
        <v>772</v>
      </c>
      <c r="N97" s="7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3" t="str">
        <f>L44</f>
        <v>بيج  Ral 1013</v>
      </c>
      <c r="K98" s="734"/>
      <c r="L98" s="734"/>
      <c r="M98" s="734"/>
      <c r="N98" s="7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7" t="s">
        <v>420</v>
      </c>
      <c r="K1" s="647"/>
      <c r="L1" s="647"/>
      <c r="M1" s="647"/>
      <c r="N1" s="647"/>
      <c r="O1" s="647"/>
      <c r="P1" s="647"/>
      <c r="Q1" s="647"/>
      <c r="R1" s="647"/>
      <c r="S1" s="647"/>
    </row>
    <row r="2" ht="18" customHeight="1">
      <c r="A2" s="11" t="s">
        <v>358</v>
      </c>
      <c r="B2" s="636">
        <f>Royal!C3</f>
        <v>0</v>
      </c>
      <c r="C2" s="637"/>
      <c r="D2" s="637"/>
      <c r="E2" s="637"/>
      <c r="F2" s="638"/>
      <c r="G2" s="1">
        <v>2</v>
      </c>
      <c r="J2" s="647"/>
      <c r="K2" s="647"/>
      <c r="L2" s="647"/>
      <c r="M2" s="647"/>
      <c r="N2" s="647"/>
      <c r="O2" s="647"/>
      <c r="P2" s="647"/>
      <c r="Q2" s="647"/>
      <c r="R2" s="647"/>
      <c r="S2" s="647"/>
    </row>
    <row r="3" ht="18" customHeight="1">
      <c r="A3" s="11" t="s">
        <v>421</v>
      </c>
      <c r="F3" s="639" t="s">
        <v>422</v>
      </c>
      <c r="G3" s="639"/>
    </row>
    <row r="4" ht="18" customHeight="1">
      <c r="A4" s="11" t="s">
        <v>290</v>
      </c>
      <c r="F4" s="640" t="s">
        <v>423</v>
      </c>
      <c r="G4" s="641"/>
      <c r="H4" s="641"/>
      <c r="I4" s="642"/>
      <c r="J4" s="10"/>
    </row>
    <row r="5" ht="18" customHeight="1">
      <c r="A5" s="11" t="s">
        <v>291</v>
      </c>
      <c r="F5" s="643" t="s">
        <v>424</v>
      </c>
      <c r="G5" s="644"/>
      <c r="H5" s="644"/>
      <c r="I5" s="645"/>
      <c r="J5" s="10"/>
    </row>
    <row r="6" ht="18" customHeight="1">
      <c r="A6" s="11" t="s">
        <v>362</v>
      </c>
      <c r="Q6" s="646"/>
      <c r="R6" s="646"/>
      <c r="S6" s="646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48" t="s">
        <v>426</v>
      </c>
      <c r="C11" s="649"/>
      <c r="D11" s="644" t="s">
        <v>427</v>
      </c>
      <c r="E11" s="645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6"/>
      <c r="R15" s="646"/>
      <c r="S15" s="646"/>
    </row>
    <row r="16" ht="18" customHeight="1">
      <c r="C16" s="639" t="s">
        <v>429</v>
      </c>
      <c r="D16" s="639"/>
      <c r="E16" s="639"/>
      <c r="F16" s="1" t="s">
        <v>430</v>
      </c>
    </row>
    <row r="17" ht="18" customHeight="1">
      <c r="A17" s="639" t="s">
        <v>295</v>
      </c>
      <c r="B17" s="639"/>
      <c r="C17" s="639"/>
    </row>
    <row r="18" ht="18" customHeight="1">
      <c r="A18" s="650" t="s">
        <v>431</v>
      </c>
      <c r="B18" s="651"/>
      <c r="C18" s="14">
        <f>'Format Φωτισμου (2)'!B9</f>
        <v>5</v>
      </c>
    </row>
    <row r="19" ht="18" customHeight="1">
      <c r="A19" s="650" t="s">
        <v>432</v>
      </c>
      <c r="B19" s="651"/>
      <c r="C19" s="14">
        <f>'Format Φωτισμου (2)'!B12</f>
        <v>35</v>
      </c>
    </row>
    <row r="20" ht="18" customHeight="1">
      <c r="A20" s="650" t="s">
        <v>433</v>
      </c>
      <c r="B20" s="651"/>
      <c r="C20" s="14">
        <f>C19/C18</f>
        <v>7</v>
      </c>
    </row>
    <row r="21" ht="18" customHeight="1">
      <c r="A21" s="652" t="s">
        <v>434</v>
      </c>
      <c r="B21" s="653"/>
      <c r="C21" s="654">
        <v>20</v>
      </c>
      <c r="D21" s="655"/>
      <c r="E21" s="648" t="s">
        <v>435</v>
      </c>
      <c r="F21" s="649"/>
      <c r="G21" s="649"/>
      <c r="H21" s="14">
        <f>C21/C18</f>
        <v>4</v>
      </c>
      <c r="J21" s="657"/>
      <c r="K21" s="657"/>
      <c r="L21" s="657"/>
      <c r="M21" s="657"/>
      <c r="N21" s="657"/>
      <c r="O21" s="657"/>
      <c r="P21" s="657"/>
      <c r="Q21" s="657"/>
      <c r="R21" s="657"/>
      <c r="S21" s="657"/>
    </row>
    <row r="22" ht="18" customHeight="1">
      <c r="A22" s="650" t="s">
        <v>436</v>
      </c>
      <c r="B22" s="651"/>
      <c r="C22" s="179">
        <v>50</v>
      </c>
      <c r="D22" s="184" t="s">
        <v>437</v>
      </c>
      <c r="J22" s="657"/>
      <c r="K22" s="657"/>
      <c r="L22" s="657"/>
      <c r="M22" s="657"/>
      <c r="N22" s="657"/>
      <c r="O22" s="657"/>
      <c r="P22" s="657"/>
      <c r="Q22" s="657"/>
      <c r="R22" s="657"/>
      <c r="S22" s="657"/>
    </row>
    <row r="23" ht="18" customHeight="1">
      <c r="J23" s="657"/>
      <c r="K23" s="657"/>
      <c r="L23" s="657"/>
      <c r="M23" s="657"/>
      <c r="N23" s="657"/>
      <c r="O23" s="657"/>
      <c r="P23" s="657"/>
      <c r="Q23" s="657"/>
      <c r="R23" s="657"/>
      <c r="S23" s="657"/>
    </row>
    <row r="24" ht="18" customHeight="1"/>
    <row r="25" ht="18" customHeight="1">
      <c r="A25" s="11" t="s">
        <v>438</v>
      </c>
      <c r="J25" s="656"/>
      <c r="K25" s="656"/>
      <c r="L25" s="656"/>
      <c r="M25" s="656"/>
      <c r="N25" s="656"/>
      <c r="O25" s="656"/>
      <c r="P25" s="656"/>
      <c r="Q25" s="656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58" t="s">
        <v>355</v>
      </c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60"/>
      <c r="O1" s="87"/>
      <c r="P1" s="88"/>
      <c r="Q1" s="88"/>
      <c r="R1" s="88"/>
      <c r="W1" s="136">
        <f>IF(تسعير!T26="سادة",Royal2!J2+20000,IF(تسعير!T26="خشبي",Royal2!J2+40000,0))</f>
        <v>260000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74" t="s">
        <v>358</v>
      </c>
      <c r="B3" s="674"/>
      <c r="C3" s="674"/>
      <c r="D3" s="676">
        <f>تسجيل1!B2</f>
        <v>0</v>
      </c>
      <c r="E3" s="676"/>
      <c r="F3" s="676"/>
      <c r="G3" s="676"/>
      <c r="H3" s="676"/>
      <c r="I3" s="676"/>
      <c r="J3" s="676"/>
      <c r="K3" s="676"/>
      <c r="L3" s="676"/>
      <c r="M3" s="661" t="s">
        <v>359</v>
      </c>
      <c r="N3" s="661"/>
      <c r="O3" s="89"/>
      <c r="P3" s="90"/>
      <c r="Q3" s="90"/>
      <c r="R3" s="90"/>
      <c r="Z3" s="151"/>
      <c r="AA3" s="60"/>
      <c r="AB3" s="60"/>
    </row>
    <row r="4" ht="13.5" customHeight="1">
      <c r="A4" s="675"/>
      <c r="B4" s="675"/>
      <c r="C4" s="675"/>
      <c r="D4" s="677"/>
      <c r="E4" s="677"/>
      <c r="F4" s="677"/>
      <c r="G4" s="676"/>
      <c r="H4" s="676"/>
      <c r="I4" s="677"/>
      <c r="J4" s="677"/>
      <c r="K4" s="677"/>
      <c r="L4" s="677"/>
      <c r="M4" s="662"/>
      <c r="N4" s="662"/>
      <c r="O4" s="91"/>
      <c r="P4" s="92"/>
      <c r="Q4" s="92"/>
      <c r="R4" s="92"/>
      <c r="Z4" s="151"/>
      <c r="AA4" s="60"/>
      <c r="AB4" s="60"/>
    </row>
    <row r="5" ht="13.5" customHeight="1">
      <c r="A5" s="663" t="e">
        <f>Y1</f>
        <v>#REF!</v>
      </c>
      <c r="B5" s="664"/>
      <c r="C5" s="665"/>
      <c r="D5" s="666" t="s">
        <v>357</v>
      </c>
      <c r="E5" s="667"/>
      <c r="F5" s="668"/>
      <c r="G5" s="63"/>
      <c r="H5" s="63"/>
      <c r="I5" s="663">
        <f>W1</f>
        <v>260000</v>
      </c>
      <c r="J5" s="664"/>
      <c r="K5" s="665"/>
      <c r="L5" s="666" t="s">
        <v>360</v>
      </c>
      <c r="M5" s="667"/>
      <c r="N5" s="668"/>
      <c r="O5" s="93"/>
      <c r="P5" s="92"/>
      <c r="Q5" s="92"/>
      <c r="R5" s="92"/>
      <c r="Z5" s="151"/>
      <c r="AA5" s="60"/>
      <c r="AB5" s="60"/>
    </row>
    <row r="6" ht="16.5" customHeight="1">
      <c r="A6" s="742" t="s">
        <v>253</v>
      </c>
      <c r="B6" s="743"/>
      <c r="C6" s="744"/>
      <c r="D6" s="736" t="s">
        <v>361</v>
      </c>
      <c r="E6" s="669" t="s">
        <v>362</v>
      </c>
      <c r="F6" s="670"/>
      <c r="G6" s="671"/>
      <c r="H6" s="671"/>
      <c r="I6" s="670"/>
      <c r="J6" s="672"/>
      <c r="K6" s="673">
        <f>تسجيل2!C7</f>
        <v>1200</v>
      </c>
      <c r="L6" s="673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42"/>
      <c r="B7" s="743"/>
      <c r="C7" s="744"/>
      <c r="D7" s="736"/>
      <c r="E7" s="678" t="s">
        <v>364</v>
      </c>
      <c r="F7" s="671"/>
      <c r="G7" s="671"/>
      <c r="H7" s="671"/>
      <c r="I7" s="671"/>
      <c r="J7" s="679"/>
      <c r="K7" s="680">
        <f>K6*N6/10000</f>
        <v>96</v>
      </c>
      <c r="L7" s="680"/>
      <c r="M7" s="680"/>
      <c r="N7" s="98" t="s">
        <v>365</v>
      </c>
      <c r="O7" s="99">
        <f>AA41/K7</f>
        <v>2161.3295214057739</v>
      </c>
      <c r="S7" s="60" t="s">
        <v>127</v>
      </c>
      <c r="T7" s="61" t="s">
        <v>366</v>
      </c>
      <c r="Z7" s="151"/>
      <c r="AA7" s="60"/>
      <c r="AB7" s="60"/>
    </row>
    <row r="8">
      <c r="A8" s="745"/>
      <c r="B8" s="746"/>
      <c r="C8" s="747"/>
      <c r="D8" s="737"/>
      <c r="E8" s="681" t="s">
        <v>367</v>
      </c>
      <c r="F8" s="682"/>
      <c r="G8" s="682"/>
      <c r="H8" s="682"/>
      <c r="I8" s="682"/>
      <c r="J8" s="683"/>
      <c r="K8" s="684">
        <f>K6-1</f>
        <v>1199</v>
      </c>
      <c r="L8" s="684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207487.63405495428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685" t="s">
        <v>369</v>
      </c>
      <c r="B10" s="685"/>
      <c r="C10" s="685"/>
      <c r="D10" s="685"/>
      <c r="E10" s="685"/>
      <c r="F10" s="685"/>
      <c r="G10" s="686" t="s">
        <v>370</v>
      </c>
      <c r="H10" s="686"/>
      <c r="I10" s="686" t="s">
        <v>371</v>
      </c>
      <c r="J10" s="686"/>
      <c r="K10" s="104"/>
      <c r="L10" s="687" t="s">
        <v>306</v>
      </c>
      <c r="M10" s="687"/>
      <c r="N10" s="687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688" t="s">
        <v>377</v>
      </c>
      <c r="B11" s="689"/>
      <c r="C11" s="689"/>
      <c r="D11" s="689"/>
      <c r="E11" s="689"/>
      <c r="F11" s="690"/>
      <c r="G11" s="691">
        <f>L11</f>
        <v>4</v>
      </c>
      <c r="H11" s="691"/>
      <c r="I11" s="692">
        <f>'Format διαστασης οδηγου (2)'!F8</f>
        <v>765</v>
      </c>
      <c r="J11" s="692"/>
      <c r="K11" s="106"/>
      <c r="L11" s="687">
        <f>IF(Format!A7=1,تسجيل2!H27,IF(Format!A7=2,تسجيل2!H27,IF(Format!A7=3,تسجيل2!H27,IF(Format!A7=4,تسجيل2!H27,IF(Format!A7=5,تسجيل2!H27,"-------")))))</f>
        <v>4</v>
      </c>
      <c r="M11" s="687"/>
      <c r="N11" s="687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37076.225108225146</v>
      </c>
      <c r="Z11" s="151"/>
      <c r="AA11" s="60"/>
      <c r="AB11" s="60"/>
    </row>
    <row r="12" ht="20.1" customHeight="1">
      <c r="A12" s="693" t="s">
        <v>378</v>
      </c>
      <c r="B12" s="693"/>
      <c r="C12" s="693"/>
      <c r="D12" s="693"/>
      <c r="E12" s="693"/>
      <c r="F12" s="693"/>
      <c r="G12" s="694">
        <f>IF(L11&gt;2,4,IF(L11=2,2))</f>
        <v>4</v>
      </c>
      <c r="H12" s="694"/>
      <c r="I12" s="695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695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7753.3554817275653</v>
      </c>
      <c r="Z12" s="151"/>
      <c r="AA12" s="60"/>
      <c r="AB12" s="60"/>
    </row>
    <row r="13" ht="20.1" customHeight="1">
      <c r="A13" s="693" t="s">
        <v>379</v>
      </c>
      <c r="B13" s="693"/>
      <c r="C13" s="693"/>
      <c r="D13" s="693"/>
      <c r="E13" s="693"/>
      <c r="F13" s="693"/>
      <c r="G13" s="694">
        <f>IF(L11&lt;=3,"0",(L11-3)*2)</f>
        <v>2</v>
      </c>
      <c r="H13" s="694"/>
      <c r="I13" s="695">
        <f>IF(G13="-------","-------",L17-5)</f>
        <v>392</v>
      </c>
      <c r="J13" s="695"/>
      <c r="K13" s="106"/>
      <c r="L13" s="696" t="s">
        <v>280</v>
      </c>
      <c r="M13" s="696"/>
      <c r="N13" s="69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3876.6777408637827</v>
      </c>
      <c r="Z13" s="151"/>
      <c r="AA13" s="60"/>
      <c r="AB13" s="60"/>
    </row>
    <row r="14" ht="20.1" customHeight="1">
      <c r="A14" s="693" t="s">
        <v>380</v>
      </c>
      <c r="B14" s="693"/>
      <c r="C14" s="693"/>
      <c r="D14" s="693"/>
      <c r="E14" s="693"/>
      <c r="F14" s="693"/>
      <c r="G14" s="694">
        <f>IF(L11&gt;2,2*L14,IF(L11=2,L14))</f>
        <v>24</v>
      </c>
      <c r="H14" s="694"/>
      <c r="I14" s="695">
        <f>I12</f>
        <v>398.5</v>
      </c>
      <c r="J14" s="695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26251.03448275851</v>
      </c>
      <c r="Z14" s="151"/>
      <c r="AA14" s="60"/>
      <c r="AB14" s="60"/>
    </row>
    <row r="15" ht="20.1" customHeight="1">
      <c r="A15" s="693" t="s">
        <v>381</v>
      </c>
      <c r="B15" s="693"/>
      <c r="C15" s="693"/>
      <c r="D15" s="693"/>
      <c r="E15" s="693"/>
      <c r="F15" s="693"/>
      <c r="G15" s="694">
        <f>IF(L11&lt;=3,"0",(L11-3)*L14)</f>
        <v>12</v>
      </c>
      <c r="H15" s="694"/>
      <c r="I15" s="695">
        <f>IF(G15="-------","---------",I13)</f>
        <v>392</v>
      </c>
      <c r="J15" s="695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13125.517241379255</v>
      </c>
      <c r="Z15" s="151"/>
      <c r="AA15" s="60"/>
      <c r="AB15" s="60"/>
    </row>
    <row r="16" ht="20.1" customHeight="1">
      <c r="A16" s="693" t="s">
        <v>382</v>
      </c>
      <c r="B16" s="693"/>
      <c r="C16" s="693"/>
      <c r="D16" s="693"/>
      <c r="E16" s="693"/>
      <c r="F16" s="693"/>
      <c r="G16" s="694">
        <v>1</v>
      </c>
      <c r="H16" s="694"/>
      <c r="I16" s="695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695"/>
      <c r="K16" s="106"/>
      <c r="L16" s="697" t="s">
        <v>383</v>
      </c>
      <c r="M16" s="697"/>
      <c r="N16" s="697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1450.666666666672</v>
      </c>
      <c r="Z16" s="151"/>
      <c r="AA16" s="60"/>
      <c r="AB16" s="60"/>
    </row>
    <row r="17" ht="20.1" customHeight="1">
      <c r="A17" s="693" t="s">
        <v>384</v>
      </c>
      <c r="B17" s="693"/>
      <c r="C17" s="693"/>
      <c r="D17" s="693"/>
      <c r="E17" s="693"/>
      <c r="F17" s="693"/>
      <c r="G17" s="694">
        <f>IF(L11=2,"0",1)</f>
        <v>1</v>
      </c>
      <c r="H17" s="694"/>
      <c r="I17" s="695">
        <f>IF(G17="-------","-------",IF(Format!A7=1,(L17+3),IF(Format!A7=2,(L17+3.5),IF(Format!A7=3,(L17+3),IF(Format!A7=4,(L17+4.25),IF(Format!A7=5,(L17+5),"--------"))))))</f>
        <v>400.5</v>
      </c>
      <c r="J17" s="695"/>
      <c r="K17" s="106"/>
      <c r="L17" s="698">
        <f>IF(Format!A7=1,(K6-2-6)/(L11-1),IF(Format!A7=2,(K6-2-7)/(L11-1),IF(Format!A7=3,(K6-2-6)/(L11-1),IF(Format!A7=4,(K6-2-8.5)/(L11-1),IF(Format!A7=5,(K6-2-10)/(L11-1),"--------")))))</f>
        <v>397</v>
      </c>
      <c r="M17" s="698"/>
      <c r="N17" s="69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1450.666666666672</v>
      </c>
      <c r="Z17" s="151"/>
      <c r="AA17" s="60"/>
      <c r="AB17" s="60"/>
    </row>
    <row r="18" ht="20.1" customHeight="1">
      <c r="A18" s="693" t="s">
        <v>385</v>
      </c>
      <c r="B18" s="693"/>
      <c r="C18" s="693"/>
      <c r="D18" s="693"/>
      <c r="E18" s="693"/>
      <c r="F18" s="693"/>
      <c r="G18" s="694">
        <f>IF(L11&lt;=3,"0",(L11-3))</f>
        <v>1</v>
      </c>
      <c r="H18" s="694"/>
      <c r="I18" s="695">
        <f>IF(G18="-------","-------",L17)</f>
        <v>397</v>
      </c>
      <c r="J18" s="695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1450.666666666672</v>
      </c>
      <c r="Z18" s="151"/>
      <c r="AA18" s="60"/>
      <c r="AB18" s="60"/>
    </row>
    <row r="19" ht="20.1" customHeight="1">
      <c r="A19" s="693" t="str">
        <f>IF(Format!H4=1,"Balloon","-------")</f>
        <v>-------</v>
      </c>
      <c r="B19" s="693"/>
      <c r="C19" s="693"/>
      <c r="D19" s="693"/>
      <c r="E19" s="693"/>
      <c r="F19" s="693"/>
      <c r="G19" s="694" t="str">
        <f>IF([1]Format!H4=1,'[1]تقطيع البرجولة'!L14,"0")</f>
        <v>0</v>
      </c>
      <c r="H19" s="694"/>
      <c r="I19" s="695">
        <f>IF(G19="-------","-------",K6-2.5)</f>
        <v>1197.5</v>
      </c>
      <c r="J19" s="695"/>
      <c r="K19" s="106"/>
      <c r="L19" s="699" t="s">
        <v>309</v>
      </c>
      <c r="M19" s="700"/>
      <c r="N19" s="70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02" t="s">
        <v>386</v>
      </c>
      <c r="B20" s="703"/>
      <c r="C20" s="703"/>
      <c r="D20" s="703"/>
      <c r="E20" s="703"/>
      <c r="F20" s="704"/>
      <c r="G20" s="702">
        <f>(G12+G13)/2</f>
        <v>3</v>
      </c>
      <c r="H20" s="703"/>
      <c r="I20" s="695">
        <f>L17-7</f>
        <v>390</v>
      </c>
      <c r="J20" s="695"/>
      <c r="K20" s="106"/>
      <c r="L20" s="114" t="s">
        <v>370</v>
      </c>
      <c r="M20" s="705" t="s">
        <v>387</v>
      </c>
      <c r="N20" s="70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5148</v>
      </c>
      <c r="Z20" s="151"/>
      <c r="AA20" s="60"/>
      <c r="AB20" s="60"/>
    </row>
    <row r="21" ht="20.1" customHeight="1">
      <c r="A21" s="706" t="s">
        <v>388</v>
      </c>
      <c r="B21" s="706"/>
      <c r="C21" s="706"/>
      <c r="D21" s="706"/>
      <c r="E21" s="706"/>
      <c r="F21" s="706"/>
      <c r="G21" s="707">
        <f>L11</f>
        <v>4</v>
      </c>
      <c r="H21" s="707"/>
      <c r="I21" s="708">
        <f>(I11*2)+45</f>
        <v>1575</v>
      </c>
      <c r="J21" s="708"/>
      <c r="K21" s="106"/>
      <c r="L21" s="112">
        <f>IF(Format!E7=1,"-------",IF(Format!E7=5,"-------",تسجيل2!H30))</f>
        <v>4</v>
      </c>
      <c r="M21" s="697" t="str">
        <f>IF(L21="-------","-------",تسجيل2!D11)</f>
        <v>4Χ220- 1Χ250</v>
      </c>
      <c r="N21" s="697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105034.81005495427</v>
      </c>
      <c r="Z22" s="151"/>
      <c r="AA22" s="60"/>
      <c r="AB22" s="60"/>
    </row>
    <row r="23" ht="20.1" customHeight="1">
      <c r="A23" s="709" t="s">
        <v>389</v>
      </c>
      <c r="B23" s="710"/>
      <c r="C23" s="710"/>
      <c r="D23" s="710"/>
      <c r="E23" s="711"/>
      <c r="F23" s="67" t="s">
        <v>390</v>
      </c>
      <c r="G23" s="68"/>
      <c r="H23" s="709" t="s">
        <v>391</v>
      </c>
      <c r="I23" s="710"/>
      <c r="J23" s="710"/>
      <c r="K23" s="710"/>
      <c r="L23" s="711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2" t="s">
        <v>396</v>
      </c>
      <c r="C24" s="712"/>
      <c r="D24" s="712"/>
      <c r="E24" s="712"/>
      <c r="F24" s="70">
        <f>L11</f>
        <v>4</v>
      </c>
      <c r="G24" s="71"/>
      <c r="H24" s="69">
        <v>16</v>
      </c>
      <c r="I24" s="712" t="s">
        <v>297</v>
      </c>
      <c r="J24" s="712"/>
      <c r="K24" s="712"/>
      <c r="L24" s="712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713" t="s">
        <v>397</v>
      </c>
      <c r="C25" s="713"/>
      <c r="D25" s="713"/>
      <c r="E25" s="713"/>
      <c r="F25" s="73">
        <f>L11</f>
        <v>4</v>
      </c>
      <c r="G25" s="71"/>
      <c r="H25" s="72">
        <v>17</v>
      </c>
      <c r="I25" s="713" t="s">
        <v>230</v>
      </c>
      <c r="J25" s="713"/>
      <c r="K25" s="713"/>
      <c r="L25" s="71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13" t="s">
        <v>398</v>
      </c>
      <c r="C26" s="713"/>
      <c r="D26" s="713"/>
      <c r="E26" s="713"/>
      <c r="F26" s="73">
        <f>M24</f>
        <v>2</v>
      </c>
      <c r="G26" s="71"/>
      <c r="H26" s="72">
        <v>18</v>
      </c>
      <c r="I26" s="713" t="s">
        <v>399</v>
      </c>
      <c r="J26" s="713"/>
      <c r="K26" s="713"/>
      <c r="L26" s="71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714" t="s">
        <v>400</v>
      </c>
      <c r="C27" s="715"/>
      <c r="D27" s="715"/>
      <c r="E27" s="716"/>
      <c r="F27" s="73">
        <v>4</v>
      </c>
      <c r="G27" s="71"/>
      <c r="H27" s="72">
        <v>19</v>
      </c>
      <c r="I27" s="713" t="s">
        <v>401</v>
      </c>
      <c r="J27" s="713"/>
      <c r="K27" s="713"/>
      <c r="L27" s="71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14" t="s">
        <v>402</v>
      </c>
      <c r="C28" s="715"/>
      <c r="D28" s="715"/>
      <c r="E28" s="716"/>
      <c r="F28" s="73">
        <f>L14</f>
        <v>12</v>
      </c>
      <c r="G28" s="71"/>
      <c r="H28" s="72">
        <v>20</v>
      </c>
      <c r="I28" s="713" t="s">
        <v>403</v>
      </c>
      <c r="J28" s="713"/>
      <c r="K28" s="713"/>
      <c r="L28" s="71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714" t="s">
        <v>404</v>
      </c>
      <c r="C29" s="715"/>
      <c r="D29" s="715"/>
      <c r="E29" s="716"/>
      <c r="F29" s="73">
        <f>L11*2</f>
        <v>8</v>
      </c>
      <c r="G29" s="71"/>
      <c r="H29" s="72">
        <v>21</v>
      </c>
      <c r="I29" s="713" t="s">
        <v>231</v>
      </c>
      <c r="J29" s="713"/>
      <c r="K29" s="713"/>
      <c r="L29" s="71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714" t="s">
        <v>405</v>
      </c>
      <c r="C30" s="715"/>
      <c r="D30" s="715"/>
      <c r="E30" s="716"/>
      <c r="F30" s="73">
        <f>L14*L11</f>
        <v>48</v>
      </c>
      <c r="G30" s="71"/>
      <c r="H30" s="72">
        <v>22</v>
      </c>
      <c r="I30" s="713" t="s">
        <v>232</v>
      </c>
      <c r="J30" s="713"/>
      <c r="K30" s="713"/>
      <c r="L30" s="71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714" t="s">
        <v>406</v>
      </c>
      <c r="C31" s="715"/>
      <c r="D31" s="715"/>
      <c r="E31" s="716"/>
      <c r="F31" s="73">
        <f>(L14+N14)*2</f>
        <v>28</v>
      </c>
      <c r="G31" s="71"/>
      <c r="H31" s="72">
        <v>23</v>
      </c>
      <c r="I31" s="713" t="s">
        <v>407</v>
      </c>
      <c r="J31" s="713"/>
      <c r="K31" s="713"/>
      <c r="L31" s="71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714" t="s">
        <v>408</v>
      </c>
      <c r="C32" s="715"/>
      <c r="D32" s="715"/>
      <c r="E32" s="716"/>
      <c r="F32" s="73">
        <f>(L14+N14)*2</f>
        <v>28</v>
      </c>
      <c r="G32" s="71"/>
      <c r="H32" s="72">
        <v>24</v>
      </c>
      <c r="I32" s="713" t="s">
        <v>409</v>
      </c>
      <c r="J32" s="713"/>
      <c r="K32" s="713"/>
      <c r="L32" s="71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714" t="s">
        <v>410</v>
      </c>
      <c r="C33" s="715"/>
      <c r="D33" s="715"/>
      <c r="E33" s="716"/>
      <c r="F33" s="73">
        <f>L11*3</f>
        <v>12</v>
      </c>
      <c r="G33" s="71"/>
      <c r="H33" s="72">
        <v>25</v>
      </c>
      <c r="I33" s="713" t="s">
        <v>411</v>
      </c>
      <c r="J33" s="713"/>
      <c r="K33" s="713"/>
      <c r="L33" s="71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714" t="s">
        <v>412</v>
      </c>
      <c r="C34" s="715"/>
      <c r="D34" s="715"/>
      <c r="E34" s="716"/>
      <c r="F34" s="73">
        <f>L11*3</f>
        <v>12</v>
      </c>
      <c r="G34" s="71"/>
      <c r="H34" s="72">
        <v>26</v>
      </c>
      <c r="I34" s="713" t="s">
        <v>233</v>
      </c>
      <c r="J34" s="713"/>
      <c r="K34" s="713"/>
      <c r="L34" s="71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714" t="s">
        <v>413</v>
      </c>
      <c r="C35" s="715"/>
      <c r="D35" s="715"/>
      <c r="E35" s="716"/>
      <c r="F35" s="73">
        <f>IF(L11&gt;2,(L11-2)*2,"0")</f>
        <v>4</v>
      </c>
      <c r="G35" s="74"/>
      <c r="H35" s="72">
        <v>27</v>
      </c>
      <c r="I35" s="713" t="s">
        <v>234</v>
      </c>
      <c r="J35" s="713"/>
      <c r="K35" s="713"/>
      <c r="L35" s="71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714" t="s">
        <v>414</v>
      </c>
      <c r="C36" s="715"/>
      <c r="D36" s="715"/>
      <c r="E36" s="716"/>
      <c r="F36" s="73">
        <f>IF(L11&gt;2,(L11-2)*L14,"0")</f>
        <v>24</v>
      </c>
      <c r="G36" s="74"/>
      <c r="H36" s="72">
        <v>28</v>
      </c>
      <c r="I36" s="713" t="s">
        <v>415</v>
      </c>
      <c r="J36" s="713"/>
      <c r="K36" s="713"/>
      <c r="L36" s="71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714" t="s">
        <v>416</v>
      </c>
      <c r="C37" s="715"/>
      <c r="D37" s="715"/>
      <c r="E37" s="716"/>
      <c r="F37" s="73">
        <f>M24</f>
        <v>2</v>
      </c>
      <c r="G37" s="74"/>
      <c r="H37" s="72">
        <v>29</v>
      </c>
      <c r="I37" s="713" t="s">
        <v>417</v>
      </c>
      <c r="J37" s="713"/>
      <c r="K37" s="713"/>
      <c r="L37" s="71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13" t="s">
        <v>235</v>
      </c>
      <c r="C38" s="713"/>
      <c r="D38" s="713"/>
      <c r="E38" s="713"/>
      <c r="F38" s="73">
        <f>تسجيل1!C21</f>
        <v>20</v>
      </c>
      <c r="G38" s="74"/>
      <c r="H38" s="72">
        <v>30</v>
      </c>
      <c r="I38" s="713" t="s">
        <v>418</v>
      </c>
      <c r="J38" s="713"/>
      <c r="K38" s="713"/>
      <c r="L38" s="71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38">
        <f>SUM(AA24:AB38)</f>
        <v>71907.1</v>
      </c>
      <c r="AB39" s="738"/>
    </row>
    <row r="40" ht="20.45" customHeight="1" s="58" customFormat="1">
      <c r="A40" s="748" t="s">
        <v>419</v>
      </c>
      <c r="B40" s="749"/>
      <c r="C40" s="749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38"/>
      <c r="AB40" s="738"/>
    </row>
    <row r="41" ht="18.75" customHeight="1" s="58" customFormat="1">
      <c r="A41" s="739" t="str">
        <f>IF(Format!I5=1,"-------",IF(Format!I5=2,Format!I3,Format!I4))</f>
        <v>صونفي </v>
      </c>
      <c r="B41" s="740"/>
      <c r="C41" s="741"/>
      <c r="D41" s="81"/>
      <c r="E41" s="81"/>
      <c r="F41" s="76"/>
      <c r="G41" s="68"/>
      <c r="H41" s="75"/>
      <c r="I41" s="81"/>
      <c r="J41" s="81"/>
      <c r="K41" s="81"/>
      <c r="L41" s="750" t="s">
        <v>290</v>
      </c>
      <c r="M41" s="751"/>
      <c r="N41" s="752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3">
        <f>AA39+X22+U8</f>
        <v>207487.63405495428</v>
      </c>
      <c r="AB41" s="753"/>
    </row>
    <row r="42" ht="13.9" customHeight="1" s="58" customFormat="1">
      <c r="A42" s="739"/>
      <c r="B42" s="740"/>
      <c r="C42" s="741"/>
      <c r="D42" s="10"/>
      <c r="E42" s="10"/>
      <c r="F42" s="10"/>
      <c r="G42" s="10"/>
      <c r="H42" s="10"/>
      <c r="I42" s="10"/>
      <c r="J42" s="10"/>
      <c r="K42" s="10"/>
      <c r="L42" s="717" t="str">
        <f>IF(Format!B5=1,Format!B2,IF(Format!B5=2,Format!B3,تسجيل1!F4))</f>
        <v>بيج  Ral 1013</v>
      </c>
      <c r="M42" s="718"/>
      <c r="N42" s="7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0" t="str">
        <f>IF(Format!P5=1,"Τηλεχειρισμος",IF(Format!P5=2,"-------","Διακοπτης"))</f>
        <v>Τηλεχειρισμος</v>
      </c>
      <c r="B43" s="721"/>
      <c r="C43" s="722"/>
      <c r="D43" s="10"/>
      <c r="E43" s="10"/>
      <c r="F43" s="10"/>
      <c r="G43" s="10"/>
      <c r="H43" s="10"/>
      <c r="I43" s="10"/>
      <c r="J43" s="10"/>
      <c r="K43" s="10"/>
      <c r="L43" s="723" t="s">
        <v>291</v>
      </c>
      <c r="M43" s="724"/>
      <c r="N43" s="7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6" t="str">
        <f>IF(Format!C8=1,Format!C2,IF(Format!C8=2,Format!C3,IF(Format!C8=3,Format!C4,IF(Format!C8=4,Format!C5,IF(Format!C8=5,Format!C6,تسجيل1!F5)))))</f>
        <v>بيج  Ral 1013</v>
      </c>
      <c r="M44" s="727"/>
      <c r="N44" s="7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29" t="str">
        <f>A3</f>
        <v>اسم العميل </v>
      </c>
      <c r="B96" s="730"/>
      <c r="C96" s="7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731">
        <f>N8</f>
        <v>772</v>
      </c>
      <c r="N97" s="7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3" t="str">
        <f>L44</f>
        <v>بيج  Ral 1013</v>
      </c>
      <c r="K98" s="734"/>
      <c r="L98" s="734"/>
      <c r="M98" s="734"/>
      <c r="N98" s="7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4" t="s">
        <v>298</v>
      </c>
      <c r="K1" s="755"/>
      <c r="L1" s="755"/>
      <c r="M1" s="756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57" t="s">
        <v>337</v>
      </c>
      <c r="D17" s="758"/>
      <c r="E17" s="758"/>
      <c r="F17" s="759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0" t="s">
        <v>340</v>
      </c>
      <c r="B29" s="761"/>
      <c r="C29" s="761"/>
      <c r="D29" s="761"/>
      <c r="E29" s="761"/>
      <c r="F29" s="761"/>
      <c r="G29" s="761"/>
      <c r="H29" s="762"/>
      <c r="I29" s="760" t="s">
        <v>341</v>
      </c>
      <c r="J29" s="761"/>
      <c r="K29" s="761"/>
      <c r="L29" s="761"/>
      <c r="M29" s="761"/>
      <c r="N29" s="761"/>
      <c r="O29" s="761"/>
      <c r="P29" s="762"/>
      <c r="Q29" s="760" t="s">
        <v>342</v>
      </c>
      <c r="R29" s="761"/>
      <c r="S29" s="761"/>
      <c r="T29" s="761"/>
      <c r="U29" s="761"/>
      <c r="V29" s="761"/>
      <c r="W29" s="761"/>
      <c r="X29" s="76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3" t="s">
        <v>343</v>
      </c>
      <c r="B31" s="76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63" t="s">
        <v>343</v>
      </c>
      <c r="J31" s="76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65" t="s">
        <v>343</v>
      </c>
      <c r="R31" s="76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7" t="s">
        <v>344</v>
      </c>
      <c r="B32" s="768"/>
      <c r="C32" s="768"/>
      <c r="D32" s="34"/>
      <c r="E32" s="34"/>
      <c r="F32" s="38"/>
      <c r="G32" s="34"/>
      <c r="H32" s="35"/>
      <c r="I32" s="767" t="s">
        <v>346</v>
      </c>
      <c r="J32" s="768"/>
      <c r="K32" s="76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9" t="s">
        <v>263</v>
      </c>
      <c r="B1" s="770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1"/>
      <c r="B2" s="772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1"/>
      <c r="B3" s="772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1"/>
      <c r="B4" s="772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1"/>
      <c r="B5" s="772"/>
      <c r="H5" s="18"/>
      <c r="K5" s="1" t="s">
        <v>254</v>
      </c>
      <c r="L5" s="10" t="s">
        <v>272</v>
      </c>
    </row>
    <row r="6">
      <c r="A6" s="771"/>
      <c r="B6" s="772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3"/>
      <c r="B7" s="774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5" t="s">
        <v>276</v>
      </c>
      <c r="B10" s="776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7"/>
      <c r="B11" s="778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7"/>
      <c r="B12" s="778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7"/>
      <c r="B13" s="778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7"/>
      <c r="B14" s="778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7"/>
      <c r="B15" s="778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9"/>
      <c r="B16" s="780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1" t="s">
        <v>279</v>
      </c>
      <c r="B19" s="782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3"/>
      <c r="B20" s="784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3"/>
      <c r="B21" s="784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3"/>
      <c r="B22" s="784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3"/>
      <c r="B23" s="784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3"/>
      <c r="B24" s="784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5"/>
      <c r="B25" s="786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49" t="s">
        <v>287</v>
      </c>
      <c r="D10" s="649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49" t="s">
        <v>287</v>
      </c>
      <c r="D11" s="649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7" t="s">
        <v>258</v>
      </c>
      <c r="I7" s="787"/>
      <c r="J7" s="787"/>
      <c r="K7" s="788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7"/>
      <c r="I8" s="787"/>
      <c r="J8" s="787"/>
      <c r="K8" s="788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7"/>
      <c r="I9" s="787"/>
      <c r="J9" s="787"/>
      <c r="K9" s="788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7" t="s">
        <v>262</v>
      </c>
      <c r="I15" s="787"/>
      <c r="J15" s="787"/>
      <c r="K15" s="788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7"/>
      <c r="I16" s="787"/>
      <c r="J16" s="787"/>
      <c r="K16" s="788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7"/>
      <c r="I17" s="787"/>
      <c r="J17" s="787"/>
      <c r="K17" s="788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4" t="s">
        <v>298</v>
      </c>
      <c r="K1" s="755"/>
      <c r="L1" s="755"/>
      <c r="M1" s="756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57" t="s">
        <v>337</v>
      </c>
      <c r="D17" s="758"/>
      <c r="E17" s="758"/>
      <c r="F17" s="759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0" t="s">
        <v>340</v>
      </c>
      <c r="B29" s="761"/>
      <c r="C29" s="761"/>
      <c r="D29" s="761"/>
      <c r="E29" s="761"/>
      <c r="F29" s="761"/>
      <c r="G29" s="761"/>
      <c r="H29" s="762"/>
      <c r="I29" s="760" t="s">
        <v>341</v>
      </c>
      <c r="J29" s="761"/>
      <c r="K29" s="761"/>
      <c r="L29" s="761"/>
      <c r="M29" s="761"/>
      <c r="N29" s="761"/>
      <c r="O29" s="761"/>
      <c r="P29" s="762"/>
      <c r="Q29" s="760" t="s">
        <v>342</v>
      </c>
      <c r="R29" s="761"/>
      <c r="S29" s="761"/>
      <c r="T29" s="761"/>
      <c r="U29" s="761"/>
      <c r="V29" s="761"/>
      <c r="W29" s="761"/>
      <c r="X29" s="762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3" t="s">
        <v>343</v>
      </c>
      <c r="B31" s="76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63" t="s">
        <v>343</v>
      </c>
      <c r="J31" s="76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65" t="s">
        <v>343</v>
      </c>
      <c r="R31" s="76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67" t="s">
        <v>344</v>
      </c>
      <c r="B32" s="768"/>
      <c r="C32" s="768"/>
      <c r="D32" s="34"/>
      <c r="E32" s="34"/>
      <c r="F32" s="38"/>
      <c r="G32" s="34"/>
      <c r="H32" s="35"/>
      <c r="I32" s="767" t="s">
        <v>346</v>
      </c>
      <c r="J32" s="768"/>
      <c r="K32" s="76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9" t="s">
        <v>263</v>
      </c>
      <c r="B1" s="770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1"/>
      <c r="B2" s="772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1"/>
      <c r="B3" s="772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1"/>
      <c r="B4" s="772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1"/>
      <c r="B5" s="772"/>
      <c r="H5" s="18"/>
      <c r="K5" s="1" t="s">
        <v>254</v>
      </c>
      <c r="L5" s="10" t="s">
        <v>272</v>
      </c>
    </row>
    <row r="6">
      <c r="A6" s="771"/>
      <c r="B6" s="772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3"/>
      <c r="B7" s="774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5" t="s">
        <v>276</v>
      </c>
      <c r="B10" s="776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7"/>
      <c r="B11" s="778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7"/>
      <c r="B12" s="778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7"/>
      <c r="B13" s="778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7"/>
      <c r="B14" s="778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7"/>
      <c r="B15" s="778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9"/>
      <c r="B16" s="780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1" t="s">
        <v>279</v>
      </c>
      <c r="B19" s="782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3"/>
      <c r="B20" s="784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3"/>
      <c r="B21" s="784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3"/>
      <c r="B22" s="784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3"/>
      <c r="B23" s="784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3"/>
      <c r="B24" s="784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5"/>
      <c r="B25" s="786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49" t="s">
        <v>287</v>
      </c>
      <c r="D10" s="649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49" t="s">
        <v>287</v>
      </c>
      <c r="D11" s="649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E1" zoomScaleNormal="100" zoomScaleSheetLayoutView="70" zoomScalePageLayoutView="25" workbookViewId="0">
      <selection activeCell="AM8" sqref="AM8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602"/>
      <c r="B1" s="602"/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590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571"/>
      <c r="BG1" s="571"/>
      <c r="BH1" s="571"/>
      <c r="BI1" s="571"/>
      <c r="BJ1" s="571"/>
      <c r="BK1" s="571"/>
      <c r="BL1" s="571"/>
      <c r="BM1" s="571"/>
      <c r="BN1" s="571"/>
    </row>
    <row r="2" ht="45" customHeight="1">
      <c r="A2" s="602"/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590"/>
      <c r="S2" s="421" t="s">
        <v>163</v>
      </c>
      <c r="T2" s="422">
        <f>IF((V14="ok"),Royal!G80,"R")</f>
        <v>274189.55641530739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591" t="s">
        <v>163</v>
      </c>
      <c r="AG2" s="60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14443</v>
      </c>
      <c r="AH2" s="609"/>
      <c r="AI2" s="425"/>
      <c r="AJ2" s="425"/>
      <c r="AK2" s="425"/>
      <c r="AR2" s="417"/>
      <c r="AS2" s="475" t="s">
        <v>163</v>
      </c>
      <c r="AT2" s="476">
        <f>IF((AV14="OK"),wavy1!R72,"R")</f>
        <v>74907.428289473683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100926.99545614034</v>
      </c>
      <c r="BF2" s="571"/>
      <c r="BG2" s="571"/>
      <c r="BH2" s="571"/>
      <c r="BI2" s="571"/>
      <c r="BJ2" s="571"/>
      <c r="BK2" s="571"/>
      <c r="BL2" s="571"/>
      <c r="BM2" s="571"/>
      <c r="BN2" s="571"/>
    </row>
    <row r="3" ht="54.75" customHeight="1">
      <c r="A3" s="602"/>
      <c r="B3" s="602"/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590"/>
      <c r="S3" s="531" t="s">
        <v>127</v>
      </c>
      <c r="T3" s="424">
        <f>T2/(AA10*X8)*10000</f>
        <v>6854.7389103826854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591"/>
      <c r="AG3" s="609"/>
      <c r="AH3" s="609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5992.5942631578946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2883.62844160401</v>
      </c>
      <c r="BF3" s="571"/>
      <c r="BG3" s="571"/>
      <c r="BH3" s="571"/>
      <c r="BI3" s="571"/>
      <c r="BJ3" s="571"/>
      <c r="BK3" s="571"/>
      <c r="BL3" s="571"/>
      <c r="BM3" s="571"/>
      <c r="BN3" s="571"/>
    </row>
    <row r="4" ht="55.5" customHeight="1">
      <c r="A4" s="602"/>
      <c r="B4" s="602"/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  <c r="O4" s="602"/>
      <c r="P4" s="602"/>
      <c r="Q4" s="602"/>
      <c r="R4" s="590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591"/>
      <c r="AG4" s="609"/>
      <c r="AH4" s="609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572"/>
      <c r="BG4" s="573"/>
      <c r="BH4" s="573"/>
      <c r="BI4" s="573"/>
      <c r="BJ4" s="573"/>
      <c r="BK4" s="573"/>
      <c r="BL4" s="573"/>
      <c r="BM4" s="573"/>
      <c r="BN4" s="570"/>
    </row>
    <row r="5" ht="55.5" customHeight="1">
      <c r="A5" s="602"/>
      <c r="B5" s="602"/>
      <c r="C5" s="602"/>
      <c r="D5" s="602"/>
      <c r="E5" s="602"/>
      <c r="F5" s="602"/>
      <c r="G5" s="602"/>
      <c r="H5" s="602"/>
      <c r="I5" s="602"/>
      <c r="J5" s="602"/>
      <c r="K5" s="602"/>
      <c r="L5" s="602"/>
      <c r="M5" s="602"/>
      <c r="N5" s="602"/>
      <c r="O5" s="602"/>
      <c r="P5" s="602"/>
      <c r="Q5" s="602"/>
      <c r="R5" s="590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572"/>
      <c r="BG5" s="573"/>
      <c r="BH5" s="573"/>
      <c r="BI5" s="573"/>
      <c r="BJ5" s="573"/>
      <c r="BK5" s="573"/>
      <c r="BL5" s="573"/>
      <c r="BM5" s="573"/>
      <c r="BN5" s="570"/>
    </row>
    <row r="6" ht="55.5" customHeight="1">
      <c r="A6" s="602"/>
      <c r="B6" s="602"/>
      <c r="C6" s="602"/>
      <c r="D6" s="602"/>
      <c r="E6" s="602"/>
      <c r="F6" s="602"/>
      <c r="G6" s="602"/>
      <c r="H6" s="602"/>
      <c r="I6" s="602"/>
      <c r="J6" s="602"/>
      <c r="K6" s="602"/>
      <c r="L6" s="602"/>
      <c r="M6" s="602"/>
      <c r="N6" s="602"/>
      <c r="O6" s="602"/>
      <c r="P6" s="602"/>
      <c r="Q6" s="602"/>
      <c r="R6" s="590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576" t="s">
        <v>176</v>
      </c>
      <c r="AP6" s="577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570"/>
    </row>
    <row r="7" ht="18.75" customHeight="1">
      <c r="A7" s="602"/>
      <c r="B7" s="602"/>
      <c r="C7" s="602"/>
      <c r="D7" s="602"/>
      <c r="E7" s="602"/>
      <c r="F7" s="602"/>
      <c r="G7" s="602"/>
      <c r="H7" s="602"/>
      <c r="I7" s="602"/>
      <c r="J7" s="602"/>
      <c r="K7" s="602"/>
      <c r="L7" s="602"/>
      <c r="M7" s="602"/>
      <c r="N7" s="602"/>
      <c r="O7" s="602"/>
      <c r="P7" s="602"/>
      <c r="Q7" s="602"/>
      <c r="R7" s="590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570"/>
    </row>
    <row r="8" ht="55.5" customHeight="1">
      <c r="A8" s="418"/>
      <c r="B8" s="611" t="s">
        <v>178</v>
      </c>
      <c r="C8" s="611"/>
      <c r="D8" s="611"/>
      <c r="E8" s="418"/>
      <c r="F8" s="613"/>
      <c r="G8" s="613"/>
      <c r="H8" s="613"/>
      <c r="I8" s="602"/>
      <c r="J8" s="610"/>
      <c r="K8" s="610"/>
      <c r="L8" s="610"/>
      <c r="M8" s="602"/>
      <c r="N8" s="612"/>
      <c r="O8" s="612"/>
      <c r="P8" s="612"/>
      <c r="Q8" s="418"/>
      <c r="R8" s="590"/>
      <c r="S8" s="615"/>
      <c r="T8" s="615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3</v>
      </c>
      <c r="AL8" s="473" t="s">
        <v>169</v>
      </c>
      <c r="AM8" s="473" t="s">
        <v>181</v>
      </c>
      <c r="AN8" s="474" t="s">
        <v>182</v>
      </c>
      <c r="AO8" s="578"/>
      <c r="AP8" s="579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570"/>
    </row>
    <row r="9" ht="55.5" customHeight="1">
      <c r="A9" s="418"/>
      <c r="B9" s="611"/>
      <c r="C9" s="611"/>
      <c r="D9" s="611"/>
      <c r="E9" s="418"/>
      <c r="F9" s="613"/>
      <c r="G9" s="613"/>
      <c r="H9" s="613"/>
      <c r="I9" s="602"/>
      <c r="J9" s="610"/>
      <c r="K9" s="610"/>
      <c r="L9" s="610"/>
      <c r="M9" s="602"/>
      <c r="N9" s="612"/>
      <c r="O9" s="612"/>
      <c r="P9" s="612"/>
      <c r="Q9" s="418"/>
      <c r="R9" s="590"/>
      <c r="S9" s="616"/>
      <c r="T9" s="616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570"/>
    </row>
    <row r="10" ht="55.5" customHeight="1">
      <c r="A10" s="418"/>
      <c r="B10" s="611"/>
      <c r="C10" s="611"/>
      <c r="D10" s="611"/>
      <c r="E10" s="418"/>
      <c r="F10" s="613"/>
      <c r="G10" s="613"/>
      <c r="H10" s="613"/>
      <c r="I10" s="602"/>
      <c r="J10" s="610"/>
      <c r="K10" s="610"/>
      <c r="L10" s="610"/>
      <c r="M10" s="602"/>
      <c r="N10" s="612"/>
      <c r="O10" s="612"/>
      <c r="P10" s="612"/>
      <c r="Q10" s="418"/>
      <c r="R10" s="590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617" t="s">
        <v>187</v>
      </c>
      <c r="AF10" s="617"/>
      <c r="AG10" s="617"/>
      <c r="AH10" s="617"/>
      <c r="AI10" s="617"/>
      <c r="AJ10" s="617"/>
      <c r="AK10" s="617"/>
      <c r="AL10" s="617"/>
      <c r="AM10" s="617"/>
      <c r="AN10" s="617"/>
      <c r="AO10" s="617"/>
      <c r="AP10" s="617"/>
      <c r="AQ10" s="617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570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590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617"/>
      <c r="AF11" s="617"/>
      <c r="AG11" s="617"/>
      <c r="AH11" s="617"/>
      <c r="AI11" s="617"/>
      <c r="AJ11" s="617"/>
      <c r="AK11" s="617"/>
      <c r="AL11" s="617"/>
      <c r="AM11" s="617"/>
      <c r="AN11" s="617"/>
      <c r="AO11" s="617"/>
      <c r="AP11" s="617"/>
      <c r="AQ11" s="617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570"/>
    </row>
    <row r="12" ht="55.5" customHeight="1" s="416" customFormat="1">
      <c r="A12" s="418"/>
      <c r="B12" s="610"/>
      <c r="C12" s="610"/>
      <c r="D12" s="610"/>
      <c r="E12" s="418"/>
      <c r="F12" s="618"/>
      <c r="G12" s="618"/>
      <c r="H12" s="618"/>
      <c r="I12" s="602"/>
      <c r="J12" s="610"/>
      <c r="K12" s="610"/>
      <c r="L12" s="610"/>
      <c r="M12" s="602"/>
      <c r="N12" s="603"/>
      <c r="O12" s="603"/>
      <c r="P12" s="603"/>
      <c r="Q12" s="418"/>
      <c r="R12" s="590"/>
      <c r="S12" s="533" t="s">
        <v>188</v>
      </c>
      <c r="T12" s="536"/>
      <c r="AC12" s="418"/>
      <c r="AD12" s="417"/>
      <c r="AE12" s="617"/>
      <c r="AF12" s="617"/>
      <c r="AG12" s="617"/>
      <c r="AH12" s="617"/>
      <c r="AI12" s="617"/>
      <c r="AJ12" s="617"/>
      <c r="AK12" s="617"/>
      <c r="AL12" s="617"/>
      <c r="AM12" s="617"/>
      <c r="AN12" s="617"/>
      <c r="AO12" s="617"/>
      <c r="AP12" s="617"/>
      <c r="AQ12" s="617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570"/>
    </row>
    <row r="13" ht="55.5" customHeight="1" s="416" customFormat="1">
      <c r="A13" s="418"/>
      <c r="B13" s="610"/>
      <c r="C13" s="610"/>
      <c r="D13" s="610"/>
      <c r="E13" s="418"/>
      <c r="F13" s="618"/>
      <c r="G13" s="618"/>
      <c r="H13" s="618"/>
      <c r="I13" s="602"/>
      <c r="J13" s="610"/>
      <c r="K13" s="610"/>
      <c r="L13" s="610"/>
      <c r="M13" s="602"/>
      <c r="N13" s="603"/>
      <c r="O13" s="603"/>
      <c r="P13" s="603"/>
      <c r="Q13" s="418"/>
      <c r="R13" s="590"/>
      <c r="S13" s="538" t="s">
        <v>189</v>
      </c>
      <c r="T13" s="499"/>
      <c r="AC13" s="418"/>
      <c r="AD13" s="417"/>
      <c r="AE13" s="617"/>
      <c r="AF13" s="617"/>
      <c r="AG13" s="617"/>
      <c r="AH13" s="617"/>
      <c r="AI13" s="617"/>
      <c r="AJ13" s="617"/>
      <c r="AK13" s="617"/>
      <c r="AL13" s="617"/>
      <c r="AM13" s="617"/>
      <c r="AN13" s="617"/>
      <c r="AO13" s="617"/>
      <c r="AP13" s="617"/>
      <c r="AQ13" s="617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570"/>
    </row>
    <row r="14" ht="55.5" customHeight="1" s="416" customFormat="1">
      <c r="A14" s="418"/>
      <c r="B14" s="610"/>
      <c r="C14" s="610"/>
      <c r="D14" s="610"/>
      <c r="E14" s="418"/>
      <c r="F14" s="618"/>
      <c r="G14" s="618"/>
      <c r="H14" s="618"/>
      <c r="I14" s="602"/>
      <c r="J14" s="610"/>
      <c r="K14" s="610"/>
      <c r="L14" s="610"/>
      <c r="M14" s="602"/>
      <c r="N14" s="603"/>
      <c r="O14" s="603"/>
      <c r="P14" s="603"/>
      <c r="Q14" s="418"/>
      <c r="R14" s="590"/>
      <c r="S14" s="539" t="s">
        <v>191</v>
      </c>
      <c r="T14" s="537"/>
      <c r="U14" s="500" t="s">
        <v>192</v>
      </c>
      <c r="V14" s="574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75"/>
      <c r="X14" s="575"/>
      <c r="Y14" s="575"/>
      <c r="Z14" s="575"/>
      <c r="AA14" s="575"/>
      <c r="AB14" s="575"/>
      <c r="AC14" s="575"/>
      <c r="AD14" s="417"/>
      <c r="AE14" s="617"/>
      <c r="AF14" s="617"/>
      <c r="AG14" s="617"/>
      <c r="AH14" s="617"/>
      <c r="AI14" s="617"/>
      <c r="AJ14" s="617"/>
      <c r="AK14" s="617"/>
      <c r="AL14" s="617"/>
      <c r="AM14" s="617"/>
      <c r="AN14" s="617"/>
      <c r="AO14" s="617"/>
      <c r="AP14" s="617"/>
      <c r="AQ14" s="617"/>
      <c r="AR14" s="417"/>
      <c r="AS14" s="441" t="s">
        <v>191</v>
      </c>
      <c r="AT14" s="441"/>
      <c r="AU14" s="437" t="s">
        <v>192</v>
      </c>
      <c r="AV14" s="574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75"/>
      <c r="AX14" s="575"/>
      <c r="AY14" s="575"/>
      <c r="AZ14" s="575"/>
      <c r="BA14" s="575"/>
      <c r="BB14" s="575"/>
      <c r="BC14" s="417"/>
      <c r="BD14" s="495" t="s">
        <v>191</v>
      </c>
      <c r="BE14" s="495"/>
      <c r="BF14" s="500" t="s">
        <v>193</v>
      </c>
      <c r="BG14" s="574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75"/>
      <c r="BI14" s="575"/>
      <c r="BJ14" s="575"/>
      <c r="BK14" s="575"/>
      <c r="BL14" s="575"/>
      <c r="BM14" s="575"/>
      <c r="BN14" s="544"/>
    </row>
    <row r="15" ht="18.75" customHeight="1" s="416" customFormat="1">
      <c r="A15" s="418"/>
      <c r="B15" s="602"/>
      <c r="C15" s="602"/>
      <c r="D15" s="602"/>
      <c r="E15" s="602"/>
      <c r="F15" s="602"/>
      <c r="G15" s="602"/>
      <c r="H15" s="602"/>
      <c r="I15" s="602"/>
      <c r="J15" s="602"/>
      <c r="K15" s="602"/>
      <c r="L15" s="602"/>
      <c r="M15" s="602"/>
      <c r="N15" s="602"/>
      <c r="O15" s="602"/>
      <c r="P15" s="602"/>
      <c r="Q15" s="418"/>
      <c r="R15" s="590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617"/>
      <c r="AF15" s="617"/>
      <c r="AG15" s="617"/>
      <c r="AH15" s="617"/>
      <c r="AI15" s="617"/>
      <c r="AJ15" s="617"/>
      <c r="AK15" s="617"/>
      <c r="AL15" s="617"/>
      <c r="AM15" s="617"/>
      <c r="AN15" s="617"/>
      <c r="AO15" s="617"/>
      <c r="AP15" s="617"/>
      <c r="AQ15" s="617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602"/>
      <c r="B16" s="602"/>
      <c r="C16" s="602"/>
      <c r="D16" s="602"/>
      <c r="E16" s="602"/>
      <c r="F16" s="602"/>
      <c r="G16" s="602"/>
      <c r="H16" s="602"/>
      <c r="I16" s="602"/>
      <c r="J16" s="602"/>
      <c r="K16" s="602"/>
      <c r="L16" s="602"/>
      <c r="M16" s="602"/>
      <c r="N16" s="602"/>
      <c r="O16" s="602"/>
      <c r="P16" s="602"/>
      <c r="Q16" s="602"/>
      <c r="R16" s="590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617"/>
      <c r="AF16" s="617"/>
      <c r="AG16" s="617"/>
      <c r="AH16" s="617"/>
      <c r="AI16" s="617"/>
      <c r="AJ16" s="617"/>
      <c r="AK16" s="617"/>
      <c r="AL16" s="617"/>
      <c r="AM16" s="617"/>
      <c r="AN16" s="617"/>
      <c r="AO16" s="617"/>
      <c r="AP16" s="617"/>
      <c r="AQ16" s="617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602"/>
      <c r="B17" s="602"/>
      <c r="C17" s="602"/>
      <c r="D17" s="602"/>
      <c r="E17" s="602"/>
      <c r="F17" s="602"/>
      <c r="G17" s="602"/>
      <c r="H17" s="602"/>
      <c r="I17" s="602"/>
      <c r="J17" s="602"/>
      <c r="K17" s="602"/>
      <c r="L17" s="602"/>
      <c r="M17" s="602"/>
      <c r="N17" s="602"/>
      <c r="O17" s="602"/>
      <c r="P17" s="602"/>
      <c r="Q17" s="602"/>
      <c r="R17" s="590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602"/>
      <c r="B18" s="602"/>
      <c r="C18" s="602"/>
      <c r="D18" s="602"/>
      <c r="E18" s="602"/>
      <c r="F18" s="602"/>
      <c r="G18" s="602"/>
      <c r="H18" s="602"/>
      <c r="I18" s="602"/>
      <c r="J18" s="602"/>
      <c r="K18" s="602"/>
      <c r="L18" s="602"/>
      <c r="M18" s="602"/>
      <c r="N18" s="602"/>
      <c r="O18" s="602"/>
      <c r="P18" s="602"/>
      <c r="Q18" s="602"/>
      <c r="R18" s="590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602"/>
      <c r="B19" s="602"/>
      <c r="C19" s="60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  <c r="P19" s="602"/>
      <c r="Q19" s="602"/>
      <c r="R19" s="590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602"/>
      <c r="B20" s="602"/>
      <c r="C20" s="602"/>
      <c r="D20" s="602"/>
      <c r="E20" s="602"/>
      <c r="F20" s="602"/>
      <c r="G20" s="602"/>
      <c r="H20" s="602"/>
      <c r="I20" s="602"/>
      <c r="J20" s="602"/>
      <c r="K20" s="602"/>
      <c r="L20" s="602"/>
      <c r="M20" s="602"/>
      <c r="N20" s="602"/>
      <c r="O20" s="602"/>
      <c r="P20" s="602"/>
      <c r="Q20" s="602"/>
      <c r="R20" s="590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601" t="s">
        <v>194</v>
      </c>
      <c r="B21" s="601"/>
      <c r="C21" s="601"/>
      <c r="D21" s="601"/>
      <c r="E21" s="601"/>
      <c r="F21" s="601"/>
      <c r="G21" s="601"/>
      <c r="H21" s="601"/>
      <c r="I21" s="601"/>
      <c r="J21" s="601"/>
      <c r="K21" s="601"/>
      <c r="L21" s="601"/>
      <c r="M21" s="601"/>
      <c r="N21" s="601"/>
      <c r="O21" s="601"/>
      <c r="P21" s="601"/>
      <c r="Q21" s="601"/>
      <c r="R21" s="590"/>
      <c r="S21" s="588" t="s">
        <v>195</v>
      </c>
      <c r="T21" s="589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601"/>
      <c r="B22" s="601"/>
      <c r="C22" s="601"/>
      <c r="D22" s="601"/>
      <c r="E22" s="601"/>
      <c r="F22" s="601"/>
      <c r="G22" s="601"/>
      <c r="H22" s="601"/>
      <c r="I22" s="601"/>
      <c r="J22" s="601"/>
      <c r="K22" s="601"/>
      <c r="L22" s="601"/>
      <c r="M22" s="601"/>
      <c r="N22" s="601"/>
      <c r="O22" s="601"/>
      <c r="P22" s="601"/>
      <c r="Q22" s="601"/>
      <c r="R22" s="590"/>
      <c r="S22" s="445" t="s">
        <v>163</v>
      </c>
      <c r="T22" s="446">
        <f>Royal2!G85</f>
        <v>499976.94169858465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608" t="s">
        <v>163</v>
      </c>
      <c r="AF22" s="608"/>
      <c r="AG22" s="609">
        <f>'شماسي و كانتليفر'!AE12</f>
        <v>26937.3</v>
      </c>
      <c r="AH22" s="609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 t="e">
        <f>'بيرسا و لوفرز'!R69</f>
        <v>#DIV/0!</v>
      </c>
      <c r="AU22" s="483"/>
      <c r="BC22" s="417"/>
      <c r="BD22" s="475" t="s">
        <v>163</v>
      </c>
      <c r="BE22" s="476">
        <f>'بيرسا و لوفرز'!R140</f>
        <v>342116.25</v>
      </c>
      <c r="BF22" s="483"/>
      <c r="BN22" s="418"/>
    </row>
    <row r="23" ht="39.75" customHeight="1" s="416" customFormat="1">
      <c r="A23" s="601"/>
      <c r="B23" s="601"/>
      <c r="C23" s="601"/>
      <c r="D23" s="601"/>
      <c r="E23" s="601"/>
      <c r="F23" s="601"/>
      <c r="G23" s="601"/>
      <c r="H23" s="601"/>
      <c r="I23" s="601"/>
      <c r="J23" s="601"/>
      <c r="K23" s="601"/>
      <c r="L23" s="601"/>
      <c r="M23" s="601"/>
      <c r="N23" s="601"/>
      <c r="O23" s="601"/>
      <c r="P23" s="601"/>
      <c r="Q23" s="601"/>
      <c r="R23" s="590"/>
      <c r="S23" s="447" t="s">
        <v>127</v>
      </c>
      <c r="T23" s="446">
        <f>T22/(AA33*X31)*10000</f>
        <v>5208.09314269359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608"/>
      <c r="AF23" s="608"/>
      <c r="AG23" s="609"/>
      <c r="AH23" s="609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 t="e">
        <f>AT22/(AT33*AT34/10000)</f>
        <v>#DIV/0!</v>
      </c>
      <c r="AU23" s="483"/>
      <c r="AV23" s="484"/>
      <c r="BC23" s="417"/>
      <c r="BD23" s="475" t="s">
        <v>127</v>
      </c>
      <c r="BE23" s="477">
        <f>BE22/(BE33*BE34/10000)</f>
        <v>17105.8125</v>
      </c>
      <c r="BF23" s="483"/>
      <c r="BG23" s="484"/>
      <c r="BN23" s="418"/>
    </row>
    <row r="24" ht="39.75" customHeight="1" s="416" customFormat="1">
      <c r="A24" s="601"/>
      <c r="B24" s="601"/>
      <c r="C24" s="601"/>
      <c r="D24" s="601"/>
      <c r="E24" s="601"/>
      <c r="F24" s="601"/>
      <c r="G24" s="601"/>
      <c r="H24" s="601"/>
      <c r="I24" s="601"/>
      <c r="J24" s="601"/>
      <c r="K24" s="601"/>
      <c r="L24" s="601"/>
      <c r="M24" s="601"/>
      <c r="N24" s="601"/>
      <c r="O24" s="601"/>
      <c r="P24" s="601"/>
      <c r="Q24" s="601"/>
      <c r="R24" s="590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601"/>
      <c r="B25" s="601"/>
      <c r="C25" s="601"/>
      <c r="D25" s="601"/>
      <c r="E25" s="601"/>
      <c r="F25" s="601"/>
      <c r="G25" s="601"/>
      <c r="H25" s="601"/>
      <c r="I25" s="601"/>
      <c r="J25" s="601"/>
      <c r="K25" s="601"/>
      <c r="L25" s="601"/>
      <c r="M25" s="601"/>
      <c r="N25" s="601"/>
      <c r="O25" s="601"/>
      <c r="P25" s="601"/>
      <c r="Q25" s="601"/>
      <c r="R25" s="590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198</v>
      </c>
      <c r="AW25" s="496">
        <f>AT34</f>
        <v>200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601"/>
      <c r="B26" s="601"/>
      <c r="C26" s="601"/>
      <c r="D26" s="601"/>
      <c r="E26" s="601"/>
      <c r="F26" s="601"/>
      <c r="G26" s="601"/>
      <c r="H26" s="601"/>
      <c r="I26" s="601"/>
      <c r="J26" s="601"/>
      <c r="K26" s="601"/>
      <c r="L26" s="601"/>
      <c r="M26" s="601"/>
      <c r="N26" s="601"/>
      <c r="O26" s="601"/>
      <c r="P26" s="601"/>
      <c r="Q26" s="601"/>
      <c r="R26" s="590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92" t="s">
        <v>170</v>
      </c>
      <c r="AH26" s="596" t="s">
        <v>199</v>
      </c>
      <c r="AI26" s="592" t="s">
        <v>173</v>
      </c>
      <c r="AJ26" s="592" t="s">
        <v>174</v>
      </c>
      <c r="AK26" s="592" t="s">
        <v>175</v>
      </c>
      <c r="AL26" s="606" t="s">
        <v>176</v>
      </c>
      <c r="AM26" s="606"/>
      <c r="AN26" s="418"/>
      <c r="AO26" s="418"/>
      <c r="AP26" s="418"/>
      <c r="AQ26" s="418"/>
      <c r="AR26" s="417"/>
      <c r="AS26" s="431" t="s">
        <v>168</v>
      </c>
      <c r="AT26" s="432" t="s">
        <v>169</v>
      </c>
      <c r="BD26" s="431" t="s">
        <v>168</v>
      </c>
      <c r="BE26" s="432" t="s">
        <v>177</v>
      </c>
      <c r="BN26" s="418"/>
    </row>
    <row r="27" ht="39.75" customHeight="1">
      <c r="A27" s="601"/>
      <c r="B27" s="601"/>
      <c r="C27" s="601"/>
      <c r="D27" s="601"/>
      <c r="E27" s="601"/>
      <c r="F27" s="601"/>
      <c r="G27" s="601"/>
      <c r="H27" s="601"/>
      <c r="I27" s="601"/>
      <c r="J27" s="601"/>
      <c r="K27" s="601"/>
      <c r="L27" s="601"/>
      <c r="M27" s="601"/>
      <c r="N27" s="601"/>
      <c r="O27" s="601"/>
      <c r="P27" s="601"/>
      <c r="Q27" s="601"/>
      <c r="R27" s="590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93"/>
      <c r="AH27" s="597"/>
      <c r="AI27" s="593"/>
      <c r="AJ27" s="593"/>
      <c r="AK27" s="593"/>
      <c r="AL27" s="607"/>
      <c r="AM27" s="607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601"/>
      <c r="B28" s="601"/>
      <c r="C28" s="601"/>
      <c r="D28" s="601"/>
      <c r="E28" s="601"/>
      <c r="F28" s="601"/>
      <c r="G28" s="601"/>
      <c r="H28" s="601"/>
      <c r="I28" s="601"/>
      <c r="J28" s="601"/>
      <c r="K28" s="601"/>
      <c r="L28" s="601"/>
      <c r="M28" s="601"/>
      <c r="N28" s="601"/>
      <c r="O28" s="601"/>
      <c r="P28" s="601"/>
      <c r="Q28" s="601"/>
      <c r="R28" s="590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94" t="s">
        <v>179</v>
      </c>
      <c r="AH28" s="594" t="s">
        <v>200</v>
      </c>
      <c r="AI28" s="594" t="s">
        <v>169</v>
      </c>
      <c r="AJ28" s="594" t="s">
        <v>181</v>
      </c>
      <c r="AK28" s="594" t="s">
        <v>201</v>
      </c>
      <c r="AL28" s="604"/>
      <c r="AM28" s="604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601"/>
      <c r="B29" s="601"/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590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95"/>
      <c r="AH29" s="595"/>
      <c r="AI29" s="595"/>
      <c r="AJ29" s="595"/>
      <c r="AK29" s="595"/>
      <c r="AL29" s="605"/>
      <c r="AM29" s="605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601"/>
      <c r="B30" s="601"/>
      <c r="C30" s="601"/>
      <c r="D30" s="601"/>
      <c r="E30" s="601"/>
      <c r="F30" s="601"/>
      <c r="G30" s="601"/>
      <c r="H30" s="601"/>
      <c r="I30" s="601"/>
      <c r="J30" s="601"/>
      <c r="K30" s="601"/>
      <c r="L30" s="601"/>
      <c r="M30" s="601"/>
      <c r="N30" s="601"/>
      <c r="O30" s="601"/>
      <c r="P30" s="601"/>
      <c r="Q30" s="601"/>
      <c r="R30" s="590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601"/>
      <c r="B31" s="601"/>
      <c r="C31" s="601"/>
      <c r="D31" s="601"/>
      <c r="E31" s="601"/>
      <c r="F31" s="601"/>
      <c r="G31" s="601"/>
      <c r="H31" s="601"/>
      <c r="I31" s="601"/>
      <c r="J31" s="601"/>
      <c r="K31" s="601"/>
      <c r="L31" s="601"/>
      <c r="M31" s="601"/>
      <c r="N31" s="601"/>
      <c r="O31" s="601"/>
      <c r="P31" s="601"/>
      <c r="Q31" s="601"/>
      <c r="R31" s="590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619" t="s">
        <v>204</v>
      </c>
      <c r="AF31" s="619"/>
      <c r="AG31" s="619"/>
      <c r="AH31" s="619"/>
      <c r="AI31" s="619"/>
      <c r="AJ31" s="619"/>
      <c r="AK31" s="619"/>
      <c r="AL31" s="619"/>
      <c r="AM31" s="619"/>
      <c r="AN31" s="619"/>
      <c r="AO31" s="619"/>
      <c r="AP31" s="619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601"/>
      <c r="B32" s="601"/>
      <c r="C32" s="601"/>
      <c r="D32" s="601"/>
      <c r="E32" s="601"/>
      <c r="F32" s="601"/>
      <c r="G32" s="601"/>
      <c r="H32" s="601"/>
      <c r="I32" s="601"/>
      <c r="J32" s="601"/>
      <c r="K32" s="601"/>
      <c r="L32" s="601"/>
      <c r="M32" s="601"/>
      <c r="N32" s="601"/>
      <c r="O32" s="601"/>
      <c r="P32" s="601"/>
      <c r="Q32" s="601"/>
      <c r="R32" s="590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192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601"/>
      <c r="B33" s="601"/>
      <c r="C33" s="601"/>
      <c r="D33" s="601"/>
      <c r="E33" s="601"/>
      <c r="F33" s="601"/>
      <c r="G33" s="601"/>
      <c r="H33" s="601"/>
      <c r="I33" s="601"/>
      <c r="J33" s="601"/>
      <c r="K33" s="601"/>
      <c r="L33" s="601"/>
      <c r="M33" s="601"/>
      <c r="N33" s="601"/>
      <c r="O33" s="601"/>
      <c r="P33" s="601"/>
      <c r="Q33" s="601"/>
      <c r="R33" s="590"/>
      <c r="S33" s="443" t="s">
        <v>189</v>
      </c>
      <c r="T33" s="458"/>
      <c r="U33" s="457"/>
      <c r="V33" s="620"/>
      <c r="W33" s="620"/>
      <c r="X33" s="459"/>
      <c r="Y33" s="457"/>
      <c r="Z33" s="457"/>
      <c r="AA33" s="456">
        <v>1200</v>
      </c>
      <c r="AB33" s="457"/>
      <c r="AC33" s="457"/>
      <c r="AD33" s="417"/>
      <c r="AE33" s="603"/>
      <c r="AF33" s="603"/>
      <c r="AG33" s="603"/>
      <c r="AH33" s="603"/>
      <c r="AI33" s="603"/>
      <c r="AJ33" s="603"/>
      <c r="AK33" s="603"/>
      <c r="AL33" s="603"/>
      <c r="AM33" s="603"/>
      <c r="AN33" s="603"/>
      <c r="AO33" s="603"/>
      <c r="AP33" s="603"/>
      <c r="AQ33" s="603"/>
      <c r="AR33" s="417"/>
      <c r="AS33" s="441" t="s">
        <v>189</v>
      </c>
      <c r="AT33" s="441">
        <v>2500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601"/>
      <c r="B34" s="601"/>
      <c r="C34" s="601"/>
      <c r="D34" s="601"/>
      <c r="E34" s="601"/>
      <c r="F34" s="601"/>
      <c r="G34" s="601"/>
      <c r="H34" s="601"/>
      <c r="I34" s="601"/>
      <c r="J34" s="601"/>
      <c r="K34" s="601"/>
      <c r="L34" s="601"/>
      <c r="M34" s="601"/>
      <c r="N34" s="601"/>
      <c r="O34" s="601"/>
      <c r="P34" s="601"/>
      <c r="Q34" s="601"/>
      <c r="R34" s="590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603"/>
      <c r="AF34" s="603"/>
      <c r="AG34" s="603"/>
      <c r="AH34" s="603"/>
      <c r="AI34" s="603"/>
      <c r="AJ34" s="603"/>
      <c r="AK34" s="603"/>
      <c r="AL34" s="603"/>
      <c r="AM34" s="603"/>
      <c r="AN34" s="603"/>
      <c r="AO34" s="603"/>
      <c r="AP34" s="603"/>
      <c r="AQ34" s="603"/>
      <c r="AR34" s="417"/>
      <c r="AS34" s="441" t="s">
        <v>191</v>
      </c>
      <c r="AT34" s="441">
        <v>200</v>
      </c>
      <c r="AU34" s="489"/>
      <c r="AZ34" s="580"/>
      <c r="BA34" s="580"/>
      <c r="BB34" s="580"/>
      <c r="BD34" s="441" t="s">
        <v>191</v>
      </c>
      <c r="BE34" s="441">
        <v>500</v>
      </c>
      <c r="BF34" s="489"/>
      <c r="BK34" s="580"/>
      <c r="BL34" s="580"/>
      <c r="BM34" s="580"/>
      <c r="BN34" s="418"/>
    </row>
    <row r="35" ht="41.25" customHeight="1">
      <c r="A35" s="601"/>
      <c r="B35" s="601"/>
      <c r="C35" s="601"/>
      <c r="D35" s="601"/>
      <c r="E35" s="601"/>
      <c r="F35" s="601"/>
      <c r="G35" s="601"/>
      <c r="H35" s="601"/>
      <c r="I35" s="601"/>
      <c r="J35" s="601"/>
      <c r="K35" s="601"/>
      <c r="L35" s="601"/>
      <c r="M35" s="601"/>
      <c r="N35" s="601"/>
      <c r="O35" s="601"/>
      <c r="P35" s="601"/>
      <c r="Q35" s="601"/>
      <c r="R35" s="590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603"/>
      <c r="AF35" s="603"/>
      <c r="AG35" s="603"/>
      <c r="AH35" s="603"/>
      <c r="AI35" s="603"/>
      <c r="AJ35" s="603"/>
      <c r="AK35" s="603"/>
      <c r="AL35" s="603"/>
      <c r="AM35" s="603"/>
      <c r="AN35" s="603"/>
      <c r="AO35" s="603"/>
      <c r="AP35" s="603"/>
      <c r="AQ35" s="603"/>
      <c r="AR35" s="417"/>
      <c r="AS35" s="418"/>
      <c r="AT35" s="418"/>
      <c r="BD35" s="418"/>
      <c r="BE35" s="418"/>
      <c r="BN35" s="418"/>
    </row>
    <row r="36" ht="41.25" customHeight="1">
      <c r="A36" s="601"/>
      <c r="B36" s="601"/>
      <c r="C36" s="601"/>
      <c r="D36" s="601"/>
      <c r="E36" s="601"/>
      <c r="F36" s="601"/>
      <c r="G36" s="601"/>
      <c r="H36" s="601"/>
      <c r="I36" s="601"/>
      <c r="J36" s="601"/>
      <c r="K36" s="601"/>
      <c r="L36" s="601"/>
      <c r="M36" s="601"/>
      <c r="N36" s="601"/>
      <c r="O36" s="601"/>
      <c r="P36" s="601"/>
      <c r="Q36" s="601"/>
      <c r="R36" s="590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603"/>
      <c r="AF36" s="603"/>
      <c r="AG36" s="603"/>
      <c r="AH36" s="603"/>
      <c r="AI36" s="603"/>
      <c r="AJ36" s="603"/>
      <c r="AK36" s="603"/>
      <c r="AL36" s="603"/>
      <c r="AM36" s="603"/>
      <c r="AN36" s="603"/>
      <c r="AO36" s="603"/>
      <c r="AP36" s="603"/>
      <c r="AQ36" s="603"/>
      <c r="AR36" s="417"/>
      <c r="AS36" s="418"/>
      <c r="AT36" s="418"/>
      <c r="BA36" s="496">
        <f>AT33</f>
        <v>2500</v>
      </c>
      <c r="BD36" s="418"/>
      <c r="BE36" s="418"/>
      <c r="BN36" s="418"/>
    </row>
    <row r="37" ht="41.25" customHeight="1">
      <c r="A37" s="601"/>
      <c r="B37" s="601"/>
      <c r="C37" s="601"/>
      <c r="D37" s="601"/>
      <c r="E37" s="601"/>
      <c r="F37" s="601"/>
      <c r="G37" s="601"/>
      <c r="H37" s="601"/>
      <c r="I37" s="601"/>
      <c r="J37" s="601"/>
      <c r="K37" s="601"/>
      <c r="L37" s="601"/>
      <c r="M37" s="601"/>
      <c r="N37" s="601"/>
      <c r="O37" s="601"/>
      <c r="P37" s="601"/>
      <c r="Q37" s="601"/>
      <c r="R37" s="590"/>
      <c r="S37" s="418"/>
      <c r="T37" s="418"/>
      <c r="U37" s="61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14"/>
      <c r="W37" s="614"/>
      <c r="X37" s="614"/>
      <c r="Y37" s="614"/>
      <c r="Z37" s="614"/>
      <c r="AA37" s="614"/>
      <c r="AB37" s="614"/>
      <c r="AC37" s="614"/>
      <c r="AD37" s="417"/>
      <c r="AE37" s="603"/>
      <c r="AF37" s="603"/>
      <c r="AG37" s="603"/>
      <c r="AH37" s="603"/>
      <c r="AI37" s="603"/>
      <c r="AJ37" s="603"/>
      <c r="AK37" s="603"/>
      <c r="AL37" s="603"/>
      <c r="AM37" s="603"/>
      <c r="AN37" s="603"/>
      <c r="AO37" s="603"/>
      <c r="AP37" s="603"/>
      <c r="AQ37" s="603"/>
      <c r="AR37" s="417"/>
      <c r="AS37" s="583" t="e">
        <f>('بيرسا و لوفرز'!F23+'بيرسا و لوفرز'!V55+'بيرسا و لوفرز'!V63)*1.35</f>
        <v>#DIV/0!</v>
      </c>
      <c r="AT37" s="584"/>
      <c r="BD37" s="583">
        <f>('بيرسا و لوفرز'!F96+'بيرسا و لوفرز'!V126+'بيرسا و لوفرز'!V134)*1.35</f>
        <v>196281.90000000002</v>
      </c>
      <c r="BE37" s="584"/>
      <c r="BN37" s="418"/>
    </row>
    <row r="38" ht="41.25" customHeight="1">
      <c r="A38" s="602"/>
      <c r="B38" s="602"/>
      <c r="C38" s="602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590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603"/>
      <c r="AF38" s="603"/>
      <c r="AG38" s="603"/>
      <c r="AH38" s="603"/>
      <c r="AI38" s="603"/>
      <c r="AJ38" s="603"/>
      <c r="AK38" s="603"/>
      <c r="AL38" s="603"/>
      <c r="AM38" s="603"/>
      <c r="AN38" s="603"/>
      <c r="AO38" s="603"/>
      <c r="AP38" s="603"/>
      <c r="AQ38" s="603"/>
      <c r="AR38" s="417"/>
      <c r="AS38" s="583" t="e">
        <f>AS37/(AT34*AT33/10000)</f>
        <v>#DIV/0!</v>
      </c>
      <c r="AT38" s="584"/>
      <c r="BD38" s="583">
        <f>BD37/(BE33*BE34/10000)</f>
        <v>9814.0950000000012</v>
      </c>
      <c r="BE38" s="584"/>
      <c r="BK38" s="496">
        <f>BE33</f>
        <v>400</v>
      </c>
      <c r="BN38" s="418"/>
    </row>
    <row r="39" ht="41.25" customHeight="1">
      <c r="A39" s="602"/>
      <c r="B39" s="602"/>
      <c r="C39" s="602"/>
      <c r="D39" s="602"/>
      <c r="E39" s="602"/>
      <c r="F39" s="602"/>
      <c r="G39" s="602"/>
      <c r="H39" s="602"/>
      <c r="I39" s="602"/>
      <c r="J39" s="602"/>
      <c r="K39" s="602"/>
      <c r="L39" s="602"/>
      <c r="M39" s="602"/>
      <c r="N39" s="602"/>
      <c r="O39" s="602"/>
      <c r="P39" s="602"/>
      <c r="Q39" s="602"/>
      <c r="R39" s="590"/>
      <c r="S39" s="602"/>
      <c r="T39" s="602"/>
      <c r="U39" s="602"/>
      <c r="V39" s="602"/>
      <c r="W39" s="602"/>
      <c r="X39" s="602"/>
      <c r="Y39" s="602"/>
      <c r="Z39" s="602"/>
      <c r="AA39" s="602"/>
      <c r="AB39" s="602"/>
      <c r="AC39" s="602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602"/>
      <c r="B40" s="602"/>
      <c r="C40" s="602"/>
      <c r="D40" s="602"/>
      <c r="E40" s="602"/>
      <c r="F40" s="602"/>
      <c r="G40" s="602"/>
      <c r="H40" s="602"/>
      <c r="I40" s="602"/>
      <c r="J40" s="602"/>
      <c r="K40" s="602"/>
      <c r="L40" s="602"/>
      <c r="M40" s="602"/>
      <c r="N40" s="602"/>
      <c r="O40" s="602"/>
      <c r="P40" s="602"/>
      <c r="Q40" s="602"/>
      <c r="R40" s="590"/>
      <c r="S40" s="602"/>
      <c r="T40" s="602"/>
      <c r="U40" s="602"/>
      <c r="V40" s="602"/>
      <c r="W40" s="602"/>
      <c r="X40" s="602"/>
      <c r="Y40" s="602"/>
      <c r="Z40" s="602"/>
      <c r="AA40" s="602"/>
      <c r="AB40" s="602"/>
      <c r="AC40" s="602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602"/>
      <c r="B41" s="602"/>
      <c r="C41" s="602"/>
      <c r="D41" s="602"/>
      <c r="E41" s="602"/>
      <c r="F41" s="602"/>
      <c r="G41" s="602"/>
      <c r="H41" s="602"/>
      <c r="I41" s="602"/>
      <c r="J41" s="602"/>
      <c r="K41" s="602"/>
      <c r="L41" s="602"/>
      <c r="M41" s="602"/>
      <c r="N41" s="602"/>
      <c r="O41" s="602"/>
      <c r="P41" s="602"/>
      <c r="Q41" s="602"/>
      <c r="R41" s="590"/>
      <c r="S41" s="602"/>
      <c r="T41" s="602"/>
      <c r="U41" s="602"/>
      <c r="V41" s="602"/>
      <c r="W41" s="602"/>
      <c r="X41" s="602"/>
      <c r="Y41" s="602"/>
      <c r="Z41" s="602"/>
      <c r="AA41" s="602"/>
      <c r="AB41" s="602"/>
      <c r="AC41" s="602"/>
      <c r="AD41" s="417"/>
      <c r="AE41" s="599" t="s">
        <v>206</v>
      </c>
      <c r="AF41" s="599"/>
      <c r="AG41" s="599"/>
      <c r="AH41" s="599"/>
      <c r="AI41" s="599"/>
      <c r="AJ41" s="599"/>
      <c r="AK41" s="599"/>
      <c r="AL41" s="599"/>
      <c r="AM41" s="599"/>
      <c r="AN41" s="599"/>
      <c r="AO41" s="599"/>
      <c r="AP41" s="599"/>
      <c r="AQ41" s="599"/>
      <c r="AR41" s="417"/>
      <c r="AS41" s="585" t="s">
        <v>207</v>
      </c>
      <c r="AT41" s="585"/>
      <c r="AU41" s="585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602"/>
      <c r="B42" s="602"/>
      <c r="C42" s="602"/>
      <c r="D42" s="602"/>
      <c r="E42" s="602"/>
      <c r="F42" s="602"/>
      <c r="G42" s="602"/>
      <c r="H42" s="602"/>
      <c r="I42" s="602"/>
      <c r="J42" s="602"/>
      <c r="K42" s="602"/>
      <c r="L42" s="602"/>
      <c r="M42" s="602"/>
      <c r="N42" s="602"/>
      <c r="O42" s="602"/>
      <c r="P42" s="602"/>
      <c r="Q42" s="602"/>
      <c r="R42" s="590"/>
      <c r="S42" s="588" t="s">
        <v>209</v>
      </c>
      <c r="T42" s="589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99"/>
      <c r="AF42" s="599"/>
      <c r="AG42" s="599"/>
      <c r="AH42" s="599"/>
      <c r="AI42" s="599"/>
      <c r="AJ42" s="599"/>
      <c r="AK42" s="599"/>
      <c r="AL42" s="599"/>
      <c r="AM42" s="599"/>
      <c r="AN42" s="599"/>
      <c r="AO42" s="599"/>
      <c r="AP42" s="599"/>
      <c r="AQ42" s="599"/>
      <c r="AR42" s="417"/>
      <c r="AS42" s="475" t="s">
        <v>163</v>
      </c>
      <c r="AT42" s="476">
        <f>'بيرسا و لوفرز'!BM68</f>
        <v>197205.645</v>
      </c>
      <c r="AU42" s="483"/>
      <c r="BD42" s="475" t="s">
        <v>163</v>
      </c>
      <c r="BE42" s="476">
        <f>'بيرسا و لوفرز'!BM139</f>
        <v>207197.01166666666</v>
      </c>
      <c r="BF42" s="483"/>
      <c r="BN42" s="418"/>
    </row>
    <row r="43" ht="42" customHeight="1">
      <c r="A43" s="601" t="s">
        <v>210</v>
      </c>
      <c r="B43" s="601"/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1"/>
      <c r="P43" s="601"/>
      <c r="Q43" s="601"/>
      <c r="R43" s="590"/>
      <c r="S43" s="445" t="s">
        <v>163</v>
      </c>
      <c r="T43" s="446">
        <f>'شماسي و كانتليفر'!N51</f>
        <v>75384.400000000009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99"/>
      <c r="AF43" s="599"/>
      <c r="AG43" s="599"/>
      <c r="AH43" s="599"/>
      <c r="AI43" s="599"/>
      <c r="AJ43" s="599"/>
      <c r="AK43" s="599"/>
      <c r="AL43" s="599"/>
      <c r="AM43" s="599"/>
      <c r="AN43" s="599"/>
      <c r="AO43" s="599"/>
      <c r="AP43" s="599"/>
      <c r="AQ43" s="599"/>
      <c r="AR43" s="417"/>
      <c r="AS43" s="475" t="s">
        <v>127</v>
      </c>
      <c r="AT43" s="477">
        <f>AT42/(AT53*AT54/10000)</f>
        <v>9860.28225</v>
      </c>
      <c r="AU43" s="483"/>
      <c r="AV43" s="484"/>
      <c r="BD43" s="475" t="s">
        <v>127</v>
      </c>
      <c r="BE43" s="477">
        <f>BE42/(BE53*BE54/10000)</f>
        <v>10359.850583333333</v>
      </c>
      <c r="BF43" s="483"/>
      <c r="BG43" s="484"/>
      <c r="BN43" s="418"/>
    </row>
    <row r="44" ht="42" customHeight="1">
      <c r="A44" s="601"/>
      <c r="B44" s="601"/>
      <c r="C44" s="601"/>
      <c r="D44" s="601"/>
      <c r="E44" s="601"/>
      <c r="F44" s="601"/>
      <c r="G44" s="601"/>
      <c r="H44" s="601"/>
      <c r="I44" s="601"/>
      <c r="J44" s="601"/>
      <c r="K44" s="601"/>
      <c r="L44" s="601"/>
      <c r="M44" s="601"/>
      <c r="N44" s="601"/>
      <c r="O44" s="601"/>
      <c r="P44" s="601"/>
      <c r="Q44" s="601"/>
      <c r="R44" s="590"/>
      <c r="S44" s="447" t="s">
        <v>127</v>
      </c>
      <c r="T44" s="446">
        <f>T43/T51</f>
        <v>3015.376</v>
      </c>
      <c r="U44" s="461"/>
      <c r="V44" s="461"/>
      <c r="W44" s="461"/>
      <c r="X44" s="461"/>
      <c r="Y44" s="600"/>
      <c r="Z44" s="600"/>
      <c r="AA44" s="461"/>
      <c r="AB44" s="461"/>
      <c r="AC44" s="461"/>
      <c r="AD44" s="417"/>
      <c r="AE44" s="599"/>
      <c r="AF44" s="599"/>
      <c r="AG44" s="599"/>
      <c r="AH44" s="599"/>
      <c r="AI44" s="599"/>
      <c r="AJ44" s="599"/>
      <c r="AK44" s="599"/>
      <c r="AL44" s="599"/>
      <c r="AM44" s="599"/>
      <c r="AN44" s="599"/>
      <c r="AO44" s="599"/>
      <c r="AP44" s="599"/>
      <c r="AQ44" s="599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601"/>
      <c r="B45" s="601"/>
      <c r="C45" s="601"/>
      <c r="D45" s="601"/>
      <c r="E45" s="601"/>
      <c r="F45" s="601"/>
      <c r="G45" s="601"/>
      <c r="H45" s="601"/>
      <c r="I45" s="601"/>
      <c r="J45" s="601"/>
      <c r="K45" s="601"/>
      <c r="L45" s="601"/>
      <c r="M45" s="601"/>
      <c r="N45" s="601"/>
      <c r="O45" s="601"/>
      <c r="P45" s="601"/>
      <c r="Q45" s="601"/>
      <c r="R45" s="590"/>
      <c r="S45" s="443" t="s">
        <v>164</v>
      </c>
      <c r="T45" s="444" t="s">
        <v>21</v>
      </c>
      <c r="U45" s="461"/>
      <c r="V45" s="461"/>
      <c r="W45" s="461"/>
      <c r="X45" s="461"/>
      <c r="Y45" s="600"/>
      <c r="Z45" s="600"/>
      <c r="AA45" s="461"/>
      <c r="AB45" s="461"/>
      <c r="AC45" s="461"/>
      <c r="AD45" s="417"/>
      <c r="AE45" s="599"/>
      <c r="AF45" s="599"/>
      <c r="AG45" s="599"/>
      <c r="AH45" s="599"/>
      <c r="AI45" s="599"/>
      <c r="AJ45" s="599"/>
      <c r="AK45" s="599"/>
      <c r="AL45" s="599"/>
      <c r="AM45" s="599"/>
      <c r="AN45" s="599"/>
      <c r="AO45" s="599"/>
      <c r="AP45" s="599"/>
      <c r="AQ45" s="599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601"/>
      <c r="B46" s="601"/>
      <c r="C46" s="601"/>
      <c r="D46" s="601"/>
      <c r="E46" s="601"/>
      <c r="F46" s="601"/>
      <c r="G46" s="601"/>
      <c r="H46" s="601"/>
      <c r="I46" s="601"/>
      <c r="J46" s="601"/>
      <c r="K46" s="601"/>
      <c r="L46" s="601"/>
      <c r="M46" s="601"/>
      <c r="N46" s="601"/>
      <c r="O46" s="601"/>
      <c r="P46" s="601"/>
      <c r="Q46" s="601"/>
      <c r="R46" s="590"/>
      <c r="S46" s="448" t="s">
        <v>165</v>
      </c>
      <c r="T46" s="449" t="s">
        <v>166</v>
      </c>
      <c r="U46" s="461"/>
      <c r="V46" s="461"/>
      <c r="W46" s="461"/>
      <c r="X46" s="461"/>
      <c r="Y46" s="600"/>
      <c r="Z46" s="600"/>
      <c r="AA46" s="461"/>
      <c r="AB46" s="461"/>
      <c r="AC46" s="461"/>
      <c r="AD46" s="417"/>
      <c r="AE46" s="599"/>
      <c r="AF46" s="599"/>
      <c r="AG46" s="599"/>
      <c r="AH46" s="599"/>
      <c r="AI46" s="599"/>
      <c r="AJ46" s="599"/>
      <c r="AK46" s="599"/>
      <c r="AL46" s="599"/>
      <c r="AM46" s="599"/>
      <c r="AN46" s="599"/>
      <c r="AO46" s="599"/>
      <c r="AP46" s="599"/>
      <c r="AQ46" s="599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601"/>
      <c r="B47" s="601"/>
      <c r="C47" s="601"/>
      <c r="D47" s="601"/>
      <c r="E47" s="601"/>
      <c r="F47" s="601"/>
      <c r="G47" s="601"/>
      <c r="H47" s="601"/>
      <c r="I47" s="601"/>
      <c r="J47" s="601"/>
      <c r="K47" s="601"/>
      <c r="L47" s="601"/>
      <c r="M47" s="601"/>
      <c r="N47" s="601"/>
      <c r="O47" s="601"/>
      <c r="P47" s="601"/>
      <c r="Q47" s="601"/>
      <c r="R47" s="590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99"/>
      <c r="AF47" s="599"/>
      <c r="AG47" s="599"/>
      <c r="AH47" s="599"/>
      <c r="AI47" s="599"/>
      <c r="AJ47" s="599"/>
      <c r="AK47" s="599"/>
      <c r="AL47" s="599"/>
      <c r="AM47" s="599"/>
      <c r="AN47" s="599"/>
      <c r="AO47" s="599"/>
      <c r="AP47" s="599"/>
      <c r="AQ47" s="599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601"/>
      <c r="B48" s="601"/>
      <c r="C48" s="601"/>
      <c r="D48" s="601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590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99"/>
      <c r="AF48" s="599"/>
      <c r="AG48" s="599"/>
      <c r="AH48" s="599"/>
      <c r="AI48" s="599"/>
      <c r="AJ48" s="599"/>
      <c r="AK48" s="599"/>
      <c r="AL48" s="599"/>
      <c r="AM48" s="599"/>
      <c r="AN48" s="599"/>
      <c r="AO48" s="599"/>
      <c r="AP48" s="599"/>
      <c r="AQ48" s="599"/>
      <c r="AR48" s="417"/>
      <c r="AS48" s="442"/>
      <c r="AT48" s="442"/>
      <c r="BD48" s="442"/>
      <c r="BE48" s="442"/>
      <c r="BN48" s="418"/>
    </row>
    <row r="49" ht="42" customHeight="1">
      <c r="A49" s="601"/>
      <c r="B49" s="601"/>
      <c r="C49" s="601"/>
      <c r="D49" s="601"/>
      <c r="E49" s="601"/>
      <c r="F49" s="601"/>
      <c r="G49" s="601"/>
      <c r="H49" s="601"/>
      <c r="I49" s="601"/>
      <c r="J49" s="601"/>
      <c r="K49" s="601"/>
      <c r="L49" s="601"/>
      <c r="M49" s="601"/>
      <c r="N49" s="601"/>
      <c r="O49" s="601"/>
      <c r="P49" s="601"/>
      <c r="Q49" s="601"/>
      <c r="R49" s="590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99"/>
      <c r="AF49" s="599"/>
      <c r="AG49" s="599"/>
      <c r="AH49" s="599"/>
      <c r="AI49" s="599"/>
      <c r="AJ49" s="599"/>
      <c r="AK49" s="599"/>
      <c r="AL49" s="599"/>
      <c r="AM49" s="599"/>
      <c r="AN49" s="599"/>
      <c r="AO49" s="599"/>
      <c r="AP49" s="599"/>
      <c r="AQ49" s="599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601"/>
      <c r="B50" s="601"/>
      <c r="C50" s="601"/>
      <c r="D50" s="601"/>
      <c r="E50" s="601"/>
      <c r="F50" s="601"/>
      <c r="G50" s="601"/>
      <c r="H50" s="601"/>
      <c r="I50" s="601"/>
      <c r="J50" s="601"/>
      <c r="K50" s="601"/>
      <c r="L50" s="601"/>
      <c r="M50" s="601"/>
      <c r="N50" s="601"/>
      <c r="O50" s="601"/>
      <c r="P50" s="601"/>
      <c r="Q50" s="601"/>
      <c r="R50" s="590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99"/>
      <c r="AF50" s="599"/>
      <c r="AG50" s="599"/>
      <c r="AH50" s="599"/>
      <c r="AI50" s="599"/>
      <c r="AJ50" s="599"/>
      <c r="AK50" s="599"/>
      <c r="AL50" s="599"/>
      <c r="AM50" s="599"/>
      <c r="AN50" s="599"/>
      <c r="AO50" s="599"/>
      <c r="AP50" s="599"/>
      <c r="AQ50" s="599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601"/>
      <c r="B51" s="601"/>
      <c r="C51" s="601"/>
      <c r="D51" s="601"/>
      <c r="E51" s="601"/>
      <c r="F51" s="601"/>
      <c r="G51" s="601"/>
      <c r="H51" s="601"/>
      <c r="I51" s="601"/>
      <c r="J51" s="601"/>
      <c r="K51" s="601"/>
      <c r="L51" s="601"/>
      <c r="M51" s="601"/>
      <c r="N51" s="601"/>
      <c r="O51" s="601"/>
      <c r="P51" s="601"/>
      <c r="Q51" s="601"/>
      <c r="R51" s="590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99"/>
      <c r="AF51" s="599"/>
      <c r="AG51" s="599"/>
      <c r="AH51" s="599"/>
      <c r="AI51" s="599"/>
      <c r="AJ51" s="599"/>
      <c r="AK51" s="599"/>
      <c r="AL51" s="599"/>
      <c r="AM51" s="599"/>
      <c r="AN51" s="599"/>
      <c r="AO51" s="599"/>
      <c r="AP51" s="599"/>
      <c r="AQ51" s="599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601"/>
      <c r="B52" s="601"/>
      <c r="C52" s="601"/>
      <c r="D52" s="601"/>
      <c r="E52" s="601"/>
      <c r="F52" s="601"/>
      <c r="G52" s="601"/>
      <c r="H52" s="601"/>
      <c r="I52" s="601"/>
      <c r="J52" s="601"/>
      <c r="K52" s="601"/>
      <c r="L52" s="601"/>
      <c r="M52" s="601"/>
      <c r="N52" s="601"/>
      <c r="O52" s="601"/>
      <c r="P52" s="601"/>
      <c r="Q52" s="601"/>
      <c r="R52" s="590"/>
      <c r="S52" s="443" t="s">
        <v>213</v>
      </c>
      <c r="T52" s="462" t="s">
        <v>214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99"/>
      <c r="AF52" s="599"/>
      <c r="AG52" s="599"/>
      <c r="AH52" s="599"/>
      <c r="AI52" s="599"/>
      <c r="AJ52" s="599"/>
      <c r="AK52" s="599"/>
      <c r="AL52" s="599"/>
      <c r="AM52" s="599"/>
      <c r="AN52" s="599"/>
      <c r="AO52" s="599"/>
      <c r="AP52" s="599"/>
      <c r="AQ52" s="599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601"/>
      <c r="B53" s="601"/>
      <c r="C53" s="601"/>
      <c r="D53" s="601"/>
      <c r="E53" s="601"/>
      <c r="F53" s="601"/>
      <c r="G53" s="601"/>
      <c r="H53" s="601"/>
      <c r="I53" s="601"/>
      <c r="J53" s="601"/>
      <c r="K53" s="601"/>
      <c r="L53" s="601"/>
      <c r="M53" s="601"/>
      <c r="N53" s="601"/>
      <c r="O53" s="601"/>
      <c r="P53" s="601"/>
      <c r="Q53" s="601"/>
      <c r="R53" s="590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99"/>
      <c r="AF53" s="599"/>
      <c r="AG53" s="599"/>
      <c r="AH53" s="599"/>
      <c r="AI53" s="599"/>
      <c r="AJ53" s="599"/>
      <c r="AK53" s="599"/>
      <c r="AL53" s="599"/>
      <c r="AM53" s="599"/>
      <c r="AN53" s="599"/>
      <c r="AO53" s="599"/>
      <c r="AP53" s="599"/>
      <c r="AQ53" s="599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601"/>
      <c r="B54" s="601"/>
      <c r="C54" s="601"/>
      <c r="D54" s="601"/>
      <c r="E54" s="601"/>
      <c r="F54" s="601"/>
      <c r="G54" s="601"/>
      <c r="H54" s="601"/>
      <c r="I54" s="601"/>
      <c r="J54" s="601"/>
      <c r="K54" s="601"/>
      <c r="L54" s="601"/>
      <c r="M54" s="601"/>
      <c r="N54" s="601"/>
      <c r="O54" s="601"/>
      <c r="P54" s="601"/>
      <c r="Q54" s="601"/>
      <c r="R54" s="590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99"/>
      <c r="AF54" s="599"/>
      <c r="AG54" s="599"/>
      <c r="AH54" s="599"/>
      <c r="AI54" s="599"/>
      <c r="AJ54" s="599"/>
      <c r="AK54" s="599"/>
      <c r="AL54" s="599"/>
      <c r="AM54" s="599"/>
      <c r="AN54" s="599"/>
      <c r="AO54" s="599"/>
      <c r="AP54" s="599"/>
      <c r="AQ54" s="599"/>
      <c r="AR54" s="417"/>
      <c r="AS54" s="441" t="s">
        <v>191</v>
      </c>
      <c r="AT54" s="441">
        <v>400</v>
      </c>
      <c r="AU54" s="489"/>
      <c r="AZ54" s="580"/>
      <c r="BA54" s="580"/>
      <c r="BB54" s="580"/>
      <c r="BD54" s="441" t="s">
        <v>191</v>
      </c>
      <c r="BE54" s="441">
        <v>400</v>
      </c>
      <c r="BF54" s="489"/>
      <c r="BK54" s="580"/>
      <c r="BL54" s="580"/>
      <c r="BM54" s="580"/>
      <c r="BN54" s="418"/>
    </row>
    <row r="55" ht="42" customHeight="1">
      <c r="A55" s="601"/>
      <c r="B55" s="601"/>
      <c r="C55" s="601"/>
      <c r="D55" s="601"/>
      <c r="E55" s="601"/>
      <c r="F55" s="601"/>
      <c r="G55" s="601"/>
      <c r="H55" s="601"/>
      <c r="I55" s="601"/>
      <c r="J55" s="601"/>
      <c r="K55" s="601"/>
      <c r="L55" s="601"/>
      <c r="M55" s="601"/>
      <c r="N55" s="601"/>
      <c r="O55" s="601"/>
      <c r="P55" s="601"/>
      <c r="Q55" s="601"/>
      <c r="R55" s="590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99"/>
      <c r="AF55" s="599"/>
      <c r="AG55" s="599"/>
      <c r="AH55" s="599"/>
      <c r="AI55" s="599"/>
      <c r="AJ55" s="599"/>
      <c r="AK55" s="599"/>
      <c r="AL55" s="599"/>
      <c r="AM55" s="599"/>
      <c r="AN55" s="599"/>
      <c r="AO55" s="599"/>
      <c r="AP55" s="599"/>
      <c r="AQ55" s="599"/>
      <c r="AR55" s="417"/>
      <c r="AS55" s="418"/>
      <c r="AT55" s="418"/>
      <c r="BD55" s="418"/>
      <c r="BE55" s="418"/>
      <c r="BN55" s="418"/>
    </row>
    <row r="56" ht="42" customHeight="1">
      <c r="A56" s="601"/>
      <c r="B56" s="601"/>
      <c r="C56" s="601"/>
      <c r="D56" s="601"/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590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99"/>
      <c r="AF56" s="599"/>
      <c r="AG56" s="599"/>
      <c r="AH56" s="599"/>
      <c r="AI56" s="599"/>
      <c r="AJ56" s="599"/>
      <c r="AK56" s="599"/>
      <c r="AL56" s="599"/>
      <c r="AM56" s="599"/>
      <c r="AN56" s="599"/>
      <c r="AO56" s="599"/>
      <c r="AP56" s="599"/>
      <c r="AQ56" s="599"/>
      <c r="AR56" s="417"/>
      <c r="AS56" s="418"/>
      <c r="AT56" s="418"/>
      <c r="BD56" s="418"/>
      <c r="BE56" s="418"/>
      <c r="BN56" s="418"/>
    </row>
    <row r="57" ht="42" customHeight="1">
      <c r="A57" s="601"/>
      <c r="B57" s="601"/>
      <c r="C57" s="601"/>
      <c r="D57" s="601"/>
      <c r="E57" s="601"/>
      <c r="F57" s="601"/>
      <c r="G57" s="601"/>
      <c r="H57" s="601"/>
      <c r="I57" s="601"/>
      <c r="J57" s="601"/>
      <c r="K57" s="601"/>
      <c r="L57" s="601"/>
      <c r="M57" s="601"/>
      <c r="N57" s="601"/>
      <c r="O57" s="601"/>
      <c r="P57" s="601"/>
      <c r="Q57" s="601"/>
      <c r="R57" s="590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99"/>
      <c r="AF57" s="599"/>
      <c r="AG57" s="599"/>
      <c r="AH57" s="599"/>
      <c r="AI57" s="599"/>
      <c r="AJ57" s="599"/>
      <c r="AK57" s="599"/>
      <c r="AL57" s="599"/>
      <c r="AM57" s="599"/>
      <c r="AN57" s="599"/>
      <c r="AO57" s="599"/>
      <c r="AP57" s="599"/>
      <c r="AQ57" s="599"/>
      <c r="AR57" s="417"/>
      <c r="AS57" s="581">
        <f>('بيرسا و لوفرز'!BA14+'بيرسا و لوفرز'!BP62+'بيرسا و لوفرز'!BQ54)*1.35</f>
        <v>134043.52500000002</v>
      </c>
      <c r="AT57" s="582"/>
      <c r="BD57" s="581">
        <f>('بيرسا و لوفرز'!BA85+'بيرسا و لوفرز'!BP133+'بيرسا و لوفرز'!BQ125)*1.35</f>
        <v>134043.52500000002</v>
      </c>
      <c r="BE57" s="582"/>
      <c r="BN57" s="418"/>
    </row>
    <row r="58" ht="42" customHeight="1">
      <c r="A58" s="601"/>
      <c r="B58" s="601"/>
      <c r="C58" s="601"/>
      <c r="D58" s="601"/>
      <c r="E58" s="601"/>
      <c r="F58" s="601"/>
      <c r="G58" s="601"/>
      <c r="H58" s="601"/>
      <c r="I58" s="601"/>
      <c r="J58" s="601"/>
      <c r="K58" s="601"/>
      <c r="L58" s="601"/>
      <c r="M58" s="601"/>
      <c r="N58" s="601"/>
      <c r="O58" s="601"/>
      <c r="P58" s="601"/>
      <c r="Q58" s="601"/>
      <c r="R58" s="590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99"/>
      <c r="AF58" s="599"/>
      <c r="AG58" s="599"/>
      <c r="AH58" s="599"/>
      <c r="AI58" s="599"/>
      <c r="AJ58" s="599"/>
      <c r="AK58" s="599"/>
      <c r="AL58" s="599"/>
      <c r="AM58" s="599"/>
      <c r="AN58" s="599"/>
      <c r="AO58" s="599"/>
      <c r="AP58" s="599"/>
      <c r="AQ58" s="599"/>
      <c r="AR58" s="417"/>
      <c r="AS58" s="586">
        <f>AS57/(AT53*AT54/10000)</f>
        <v>6702.1762500000013</v>
      </c>
      <c r="AT58" s="587"/>
      <c r="BD58" s="586">
        <f>BD57/(BE53*BE54/10000)</f>
        <v>6702.1762500000013</v>
      </c>
      <c r="BE58" s="587"/>
      <c r="BN58" s="418"/>
    </row>
    <row r="59" ht="39" customHeight="1">
      <c r="A59" s="601"/>
      <c r="B59" s="601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590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601" t="s">
        <v>215</v>
      </c>
      <c r="B60" s="601"/>
      <c r="C60" s="601"/>
      <c r="D60" s="601"/>
      <c r="E60" s="601"/>
      <c r="F60" s="601"/>
      <c r="G60" s="601"/>
      <c r="H60" s="601"/>
      <c r="I60" s="601"/>
      <c r="J60" s="601"/>
      <c r="K60" s="601"/>
      <c r="L60" s="601"/>
      <c r="M60" s="601"/>
      <c r="N60" s="601"/>
      <c r="O60" s="601"/>
      <c r="P60" s="601"/>
      <c r="Q60" s="601"/>
      <c r="R60" s="590"/>
      <c r="S60" s="588" t="s">
        <v>209</v>
      </c>
      <c r="T60" s="589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601"/>
      <c r="B61" s="601"/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601"/>
      <c r="O61" s="601"/>
      <c r="P61" s="601"/>
      <c r="Q61" s="601"/>
      <c r="R61" s="590"/>
      <c r="S61" s="445" t="s">
        <v>163</v>
      </c>
      <c r="T61" s="446">
        <f>'شماسي و كانتليفر'!N84</f>
        <v>94657.950000000012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601"/>
      <c r="B62" s="601"/>
      <c r="C62" s="601"/>
      <c r="D62" s="601"/>
      <c r="E62" s="601"/>
      <c r="F62" s="601"/>
      <c r="G62" s="601"/>
      <c r="H62" s="601"/>
      <c r="I62" s="601"/>
      <c r="J62" s="601"/>
      <c r="K62" s="601"/>
      <c r="L62" s="601"/>
      <c r="M62" s="601"/>
      <c r="N62" s="601"/>
      <c r="O62" s="601"/>
      <c r="P62" s="601"/>
      <c r="Q62" s="601"/>
      <c r="R62" s="590"/>
      <c r="S62" s="447" t="s">
        <v>127</v>
      </c>
      <c r="T62" s="446">
        <f>T61/T69</f>
        <v>3786.3180000000007</v>
      </c>
      <c r="U62" s="461"/>
      <c r="V62" s="461"/>
      <c r="W62" s="461"/>
      <c r="X62" s="461"/>
      <c r="Y62" s="600"/>
      <c r="Z62" s="600"/>
      <c r="AA62" s="461"/>
      <c r="AB62" s="461"/>
      <c r="AC62" s="461"/>
      <c r="AD62" s="417"/>
      <c r="AR62" s="417"/>
      <c r="BN62" s="418"/>
    </row>
    <row r="63" ht="40.5" customHeight="1">
      <c r="A63" s="601"/>
      <c r="B63" s="601"/>
      <c r="C63" s="601"/>
      <c r="D63" s="601"/>
      <c r="E63" s="601"/>
      <c r="F63" s="601"/>
      <c r="G63" s="601"/>
      <c r="H63" s="601"/>
      <c r="I63" s="601"/>
      <c r="J63" s="601"/>
      <c r="K63" s="601"/>
      <c r="L63" s="601"/>
      <c r="M63" s="601"/>
      <c r="N63" s="601"/>
      <c r="O63" s="601"/>
      <c r="P63" s="601"/>
      <c r="Q63" s="601"/>
      <c r="R63" s="590"/>
      <c r="S63" s="443" t="s">
        <v>164</v>
      </c>
      <c r="T63" s="444" t="s">
        <v>19</v>
      </c>
      <c r="U63" s="461"/>
      <c r="V63" s="461"/>
      <c r="W63" s="461"/>
      <c r="X63" s="461"/>
      <c r="Y63" s="600"/>
      <c r="Z63" s="600"/>
      <c r="AA63" s="461"/>
      <c r="AB63" s="461"/>
      <c r="AC63" s="461"/>
      <c r="AD63" s="417"/>
      <c r="AR63" s="417"/>
      <c r="BN63" s="418"/>
    </row>
    <row r="64" ht="40.5" customHeight="1">
      <c r="A64" s="601"/>
      <c r="B64" s="601"/>
      <c r="C64" s="601"/>
      <c r="D64" s="601"/>
      <c r="E64" s="601"/>
      <c r="F64" s="601"/>
      <c r="G64" s="601"/>
      <c r="H64" s="601"/>
      <c r="I64" s="601"/>
      <c r="J64" s="601"/>
      <c r="K64" s="601"/>
      <c r="L64" s="601"/>
      <c r="M64" s="601"/>
      <c r="N64" s="601"/>
      <c r="O64" s="601"/>
      <c r="P64" s="601"/>
      <c r="Q64" s="601"/>
      <c r="R64" s="590"/>
      <c r="S64" s="448" t="s">
        <v>165</v>
      </c>
      <c r="T64" s="449" t="s">
        <v>166</v>
      </c>
      <c r="U64" s="461"/>
      <c r="V64" s="461"/>
      <c r="W64" s="461"/>
      <c r="X64" s="461"/>
      <c r="Y64" s="600"/>
      <c r="Z64" s="600"/>
      <c r="AA64" s="461"/>
      <c r="AB64" s="461"/>
      <c r="AC64" s="461"/>
      <c r="AD64" s="417"/>
      <c r="AR64" s="417"/>
      <c r="BN64" s="418"/>
    </row>
    <row r="65" ht="40.5" customHeight="1">
      <c r="A65" s="601"/>
      <c r="B65" s="601"/>
      <c r="C65" s="601"/>
      <c r="D65" s="601"/>
      <c r="E65" s="601"/>
      <c r="F65" s="601"/>
      <c r="G65" s="601"/>
      <c r="H65" s="601"/>
      <c r="I65" s="601"/>
      <c r="J65" s="601"/>
      <c r="K65" s="601"/>
      <c r="L65" s="601"/>
      <c r="M65" s="601"/>
      <c r="N65" s="601"/>
      <c r="O65" s="601"/>
      <c r="P65" s="601"/>
      <c r="Q65" s="601"/>
      <c r="R65" s="590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601"/>
      <c r="B66" s="601"/>
      <c r="C66" s="601"/>
      <c r="D66" s="601"/>
      <c r="E66" s="601"/>
      <c r="F66" s="601"/>
      <c r="G66" s="601"/>
      <c r="H66" s="601"/>
      <c r="I66" s="601"/>
      <c r="J66" s="601"/>
      <c r="K66" s="601"/>
      <c r="L66" s="601"/>
      <c r="M66" s="601"/>
      <c r="N66" s="601"/>
      <c r="O66" s="601"/>
      <c r="P66" s="601"/>
      <c r="Q66" s="601"/>
      <c r="R66" s="590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601"/>
      <c r="B67" s="601"/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590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601"/>
      <c r="B68" s="601"/>
      <c r="C68" s="601"/>
      <c r="D68" s="601"/>
      <c r="E68" s="601"/>
      <c r="F68" s="601"/>
      <c r="G68" s="601"/>
      <c r="H68" s="601"/>
      <c r="I68" s="601"/>
      <c r="J68" s="601"/>
      <c r="K68" s="601"/>
      <c r="L68" s="601"/>
      <c r="M68" s="601"/>
      <c r="N68" s="601"/>
      <c r="O68" s="601"/>
      <c r="P68" s="601"/>
      <c r="Q68" s="601"/>
      <c r="R68" s="590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601"/>
      <c r="B69" s="601"/>
      <c r="C69" s="601"/>
      <c r="D69" s="601"/>
      <c r="E69" s="601"/>
      <c r="F69" s="601"/>
      <c r="G69" s="601"/>
      <c r="H69" s="601"/>
      <c r="I69" s="601"/>
      <c r="J69" s="601"/>
      <c r="K69" s="601"/>
      <c r="L69" s="601"/>
      <c r="M69" s="601"/>
      <c r="N69" s="601"/>
      <c r="O69" s="601"/>
      <c r="P69" s="601"/>
      <c r="Q69" s="601"/>
      <c r="R69" s="590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601"/>
      <c r="B70" s="601"/>
      <c r="C70" s="601"/>
      <c r="D70" s="601"/>
      <c r="E70" s="601"/>
      <c r="F70" s="601"/>
      <c r="G70" s="601"/>
      <c r="H70" s="601"/>
      <c r="I70" s="601"/>
      <c r="J70" s="601"/>
      <c r="K70" s="601"/>
      <c r="L70" s="601"/>
      <c r="M70" s="601"/>
      <c r="N70" s="601"/>
      <c r="O70" s="601"/>
      <c r="P70" s="601"/>
      <c r="Q70" s="601"/>
      <c r="R70" s="590"/>
      <c r="S70" s="443" t="s">
        <v>213</v>
      </c>
      <c r="T70" s="462" t="s">
        <v>214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601"/>
      <c r="B71" s="601"/>
      <c r="C71" s="601"/>
      <c r="D71" s="601"/>
      <c r="E71" s="601"/>
      <c r="F71" s="601"/>
      <c r="G71" s="601"/>
      <c r="H71" s="601"/>
      <c r="I71" s="601"/>
      <c r="J71" s="601"/>
      <c r="K71" s="601"/>
      <c r="L71" s="601"/>
      <c r="M71" s="601"/>
      <c r="N71" s="601"/>
      <c r="O71" s="601"/>
      <c r="P71" s="601"/>
      <c r="Q71" s="601"/>
      <c r="R71" s="590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601"/>
      <c r="B72" s="601"/>
      <c r="C72" s="601"/>
      <c r="D72" s="601"/>
      <c r="E72" s="601"/>
      <c r="F72" s="601"/>
      <c r="G72" s="601"/>
      <c r="H72" s="601"/>
      <c r="I72" s="601"/>
      <c r="J72" s="601"/>
      <c r="K72" s="601"/>
      <c r="L72" s="601"/>
      <c r="M72" s="601"/>
      <c r="N72" s="601"/>
      <c r="O72" s="601"/>
      <c r="P72" s="601"/>
      <c r="Q72" s="601"/>
      <c r="R72" s="590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601"/>
      <c r="B73" s="601"/>
      <c r="C73" s="601"/>
      <c r="D73" s="601"/>
      <c r="E73" s="601"/>
      <c r="F73" s="601"/>
      <c r="G73" s="601"/>
      <c r="H73" s="601"/>
      <c r="I73" s="601"/>
      <c r="J73" s="601"/>
      <c r="K73" s="601"/>
      <c r="L73" s="601"/>
      <c r="M73" s="601"/>
      <c r="N73" s="601"/>
      <c r="O73" s="601"/>
      <c r="P73" s="601"/>
      <c r="Q73" s="601"/>
      <c r="R73" s="590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601"/>
      <c r="B74" s="601"/>
      <c r="C74" s="601"/>
      <c r="D74" s="601"/>
      <c r="E74" s="601"/>
      <c r="F74" s="601"/>
      <c r="G74" s="601"/>
      <c r="H74" s="601"/>
      <c r="I74" s="601"/>
      <c r="J74" s="601"/>
      <c r="K74" s="601"/>
      <c r="L74" s="601"/>
      <c r="M74" s="601"/>
      <c r="N74" s="601"/>
      <c r="O74" s="601"/>
      <c r="P74" s="601"/>
      <c r="Q74" s="601"/>
      <c r="R74" s="590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601"/>
      <c r="B75" s="601"/>
      <c r="C75" s="601"/>
      <c r="D75" s="601"/>
      <c r="E75" s="601"/>
      <c r="F75" s="601"/>
      <c r="G75" s="601"/>
      <c r="H75" s="601"/>
      <c r="I75" s="601"/>
      <c r="J75" s="601"/>
      <c r="K75" s="601"/>
      <c r="L75" s="601"/>
      <c r="M75" s="601"/>
      <c r="N75" s="601"/>
      <c r="O75" s="601"/>
      <c r="P75" s="601"/>
      <c r="Q75" s="601"/>
      <c r="R75" s="590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601"/>
      <c r="B76" s="601"/>
      <c r="C76" s="601"/>
      <c r="D76" s="601"/>
      <c r="E76" s="601"/>
      <c r="F76" s="601"/>
      <c r="G76" s="601"/>
      <c r="H76" s="601"/>
      <c r="I76" s="601"/>
      <c r="J76" s="601"/>
      <c r="K76" s="601"/>
      <c r="L76" s="601"/>
      <c r="M76" s="601"/>
      <c r="N76" s="601"/>
      <c r="O76" s="601"/>
      <c r="P76" s="601"/>
      <c r="Q76" s="601"/>
      <c r="R76" s="590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590"/>
      <c r="AD77" s="417"/>
      <c r="AR77" s="417"/>
      <c r="BN77" s="418"/>
    </row>
    <row r="78" ht="15" customHeight="1">
      <c r="A78" s="598" t="s">
        <v>216</v>
      </c>
      <c r="B78" s="598"/>
      <c r="C78" s="598"/>
      <c r="D78" s="598"/>
      <c r="E78" s="598"/>
      <c r="F78" s="598"/>
      <c r="G78" s="598"/>
      <c r="H78" s="598"/>
      <c r="I78" s="598"/>
      <c r="J78" s="598"/>
      <c r="K78" s="598"/>
      <c r="L78" s="598"/>
      <c r="M78" s="598"/>
      <c r="N78" s="598"/>
      <c r="O78" s="598"/>
      <c r="P78" s="598"/>
      <c r="Q78" s="598"/>
      <c r="R78" s="590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98"/>
      <c r="B79" s="598"/>
      <c r="C79" s="598"/>
      <c r="D79" s="598"/>
      <c r="E79" s="598"/>
      <c r="F79" s="598"/>
      <c r="G79" s="598"/>
      <c r="H79" s="598"/>
      <c r="I79" s="598"/>
      <c r="J79" s="598"/>
      <c r="K79" s="598"/>
      <c r="L79" s="598"/>
      <c r="M79" s="598"/>
      <c r="N79" s="598"/>
      <c r="O79" s="598"/>
      <c r="P79" s="598"/>
      <c r="Q79" s="598"/>
      <c r="R79" s="590"/>
      <c r="AC79" s="417"/>
      <c r="AQ79" s="417"/>
      <c r="BB79" s="417"/>
      <c r="BM79" s="418"/>
    </row>
    <row r="80" ht="38.25" customHeight="1">
      <c r="A80" s="598"/>
      <c r="B80" s="598"/>
      <c r="C80" s="598"/>
      <c r="D80" s="598"/>
      <c r="E80" s="598"/>
      <c r="F80" s="598"/>
      <c r="G80" s="598"/>
      <c r="H80" s="598"/>
      <c r="I80" s="598"/>
      <c r="J80" s="598"/>
      <c r="K80" s="598"/>
      <c r="L80" s="598"/>
      <c r="M80" s="598"/>
      <c r="N80" s="598"/>
      <c r="O80" s="598"/>
      <c r="P80" s="598"/>
      <c r="Q80" s="598"/>
      <c r="R80" s="590"/>
      <c r="AQ80" s="417"/>
      <c r="BB80" s="417"/>
      <c r="BM80" s="418"/>
    </row>
    <row r="81" ht="38.25" customHeight="1">
      <c r="A81" s="598"/>
      <c r="B81" s="598"/>
      <c r="C81" s="598"/>
      <c r="D81" s="598"/>
      <c r="E81" s="598"/>
      <c r="F81" s="598"/>
      <c r="G81" s="598"/>
      <c r="H81" s="598"/>
      <c r="I81" s="598"/>
      <c r="J81" s="598"/>
      <c r="K81" s="598"/>
      <c r="L81" s="598"/>
      <c r="M81" s="598"/>
      <c r="N81" s="598"/>
      <c r="O81" s="598"/>
      <c r="P81" s="598"/>
      <c r="Q81" s="598"/>
      <c r="R81" s="590"/>
      <c r="AQ81" s="417"/>
      <c r="BB81" s="417"/>
      <c r="BM81" s="418"/>
    </row>
    <row r="82" ht="38.25" customHeight="1">
      <c r="A82" s="598"/>
      <c r="B82" s="598"/>
      <c r="C82" s="598"/>
      <c r="D82" s="598"/>
      <c r="E82" s="598"/>
      <c r="F82" s="598"/>
      <c r="G82" s="598"/>
      <c r="H82" s="598"/>
      <c r="I82" s="598"/>
      <c r="J82" s="598"/>
      <c r="K82" s="598"/>
      <c r="L82" s="598"/>
      <c r="M82" s="598"/>
      <c r="N82" s="598"/>
      <c r="O82" s="598"/>
      <c r="P82" s="598"/>
      <c r="Q82" s="598"/>
      <c r="R82" s="590"/>
      <c r="AQ82" s="417"/>
      <c r="BB82" s="417"/>
      <c r="BM82" s="418"/>
    </row>
    <row r="83" ht="38.25" customHeight="1">
      <c r="A83" s="598"/>
      <c r="B83" s="598"/>
      <c r="C83" s="598"/>
      <c r="D83" s="598"/>
      <c r="E83" s="598"/>
      <c r="F83" s="598"/>
      <c r="G83" s="598"/>
      <c r="H83" s="598"/>
      <c r="I83" s="598"/>
      <c r="J83" s="598"/>
      <c r="K83" s="598"/>
      <c r="L83" s="598"/>
      <c r="M83" s="598"/>
      <c r="N83" s="598"/>
      <c r="O83" s="598"/>
      <c r="P83" s="598"/>
      <c r="Q83" s="598"/>
      <c r="R83" s="590"/>
      <c r="AQ83" s="417"/>
      <c r="BB83" s="417"/>
      <c r="BM83" s="418"/>
    </row>
    <row r="84" ht="38.25" customHeight="1">
      <c r="A84" s="598"/>
      <c r="B84" s="598"/>
      <c r="C84" s="598"/>
      <c r="D84" s="598"/>
      <c r="E84" s="598"/>
      <c r="F84" s="598"/>
      <c r="G84" s="598"/>
      <c r="H84" s="598"/>
      <c r="I84" s="598"/>
      <c r="J84" s="598"/>
      <c r="K84" s="598"/>
      <c r="L84" s="598"/>
      <c r="M84" s="598"/>
      <c r="N84" s="598"/>
      <c r="O84" s="598"/>
      <c r="P84" s="598"/>
      <c r="Q84" s="598"/>
      <c r="R84" s="590"/>
      <c r="AQ84" s="417"/>
      <c r="BB84" s="417"/>
      <c r="BM84" s="418"/>
    </row>
    <row r="85" ht="38.25" customHeight="1">
      <c r="A85" s="598"/>
      <c r="B85" s="598"/>
      <c r="C85" s="598"/>
      <c r="D85" s="598"/>
      <c r="E85" s="598"/>
      <c r="F85" s="598"/>
      <c r="G85" s="598"/>
      <c r="H85" s="598"/>
      <c r="I85" s="598"/>
      <c r="J85" s="598"/>
      <c r="K85" s="598"/>
      <c r="L85" s="598"/>
      <c r="M85" s="598"/>
      <c r="N85" s="598"/>
      <c r="O85" s="598"/>
      <c r="P85" s="598"/>
      <c r="Q85" s="598"/>
      <c r="R85" s="590"/>
      <c r="AQ85" s="417"/>
      <c r="BB85" s="417"/>
      <c r="BM85" s="418"/>
    </row>
    <row r="86" ht="38.25" customHeight="1">
      <c r="A86" s="598"/>
      <c r="B86" s="598"/>
      <c r="C86" s="598"/>
      <c r="D86" s="598"/>
      <c r="E86" s="598"/>
      <c r="F86" s="598"/>
      <c r="G86" s="598"/>
      <c r="H86" s="598"/>
      <c r="I86" s="598"/>
      <c r="J86" s="598"/>
      <c r="K86" s="598"/>
      <c r="L86" s="598"/>
      <c r="M86" s="598"/>
      <c r="N86" s="598"/>
      <c r="O86" s="598"/>
      <c r="P86" s="598"/>
      <c r="Q86" s="598"/>
      <c r="R86" s="590"/>
      <c r="AQ86" s="417"/>
      <c r="BB86" s="417"/>
      <c r="BM86" s="418"/>
    </row>
    <row r="87" ht="38.25" customHeight="1">
      <c r="A87" s="598"/>
      <c r="B87" s="598"/>
      <c r="C87" s="598"/>
      <c r="D87" s="598"/>
      <c r="E87" s="598"/>
      <c r="F87" s="598"/>
      <c r="G87" s="598"/>
      <c r="H87" s="598"/>
      <c r="I87" s="598"/>
      <c r="J87" s="598"/>
      <c r="K87" s="598"/>
      <c r="L87" s="598"/>
      <c r="M87" s="598"/>
      <c r="N87" s="598"/>
      <c r="O87" s="598"/>
      <c r="P87" s="598"/>
      <c r="Q87" s="598"/>
      <c r="R87" s="590"/>
      <c r="AQ87" s="417"/>
      <c r="BB87" s="417"/>
      <c r="BM87" s="418"/>
    </row>
    <row r="88" ht="38.25" customHeight="1">
      <c r="A88" s="598"/>
      <c r="B88" s="598"/>
      <c r="C88" s="598"/>
      <c r="D88" s="598"/>
      <c r="E88" s="598"/>
      <c r="F88" s="598"/>
      <c r="G88" s="598"/>
      <c r="H88" s="598"/>
      <c r="I88" s="598"/>
      <c r="J88" s="598"/>
      <c r="K88" s="598"/>
      <c r="L88" s="598"/>
      <c r="M88" s="598"/>
      <c r="N88" s="598"/>
      <c r="O88" s="598"/>
      <c r="P88" s="598"/>
      <c r="Q88" s="598"/>
      <c r="R88" s="590"/>
      <c r="AQ88" s="417"/>
      <c r="BB88" s="417"/>
      <c r="BM88" s="418"/>
    </row>
    <row r="89" ht="38.25" customHeight="1">
      <c r="A89" s="598"/>
      <c r="B89" s="598"/>
      <c r="C89" s="598"/>
      <c r="D89" s="598"/>
      <c r="E89" s="598"/>
      <c r="F89" s="598"/>
      <c r="G89" s="598"/>
      <c r="H89" s="598"/>
      <c r="I89" s="598"/>
      <c r="J89" s="598"/>
      <c r="K89" s="598"/>
      <c r="L89" s="598"/>
      <c r="M89" s="598"/>
      <c r="N89" s="598"/>
      <c r="O89" s="598"/>
      <c r="P89" s="598"/>
      <c r="Q89" s="598"/>
      <c r="R89" s="590"/>
      <c r="AQ89" s="417"/>
      <c r="BB89" s="417"/>
      <c r="BM89" s="418"/>
    </row>
    <row r="90" ht="38.25" customHeight="1">
      <c r="A90" s="598"/>
      <c r="B90" s="598"/>
      <c r="C90" s="598"/>
      <c r="D90" s="598"/>
      <c r="E90" s="598"/>
      <c r="F90" s="598"/>
      <c r="G90" s="598"/>
      <c r="H90" s="598"/>
      <c r="I90" s="598"/>
      <c r="J90" s="598"/>
      <c r="K90" s="598"/>
      <c r="L90" s="598"/>
      <c r="M90" s="598"/>
      <c r="N90" s="598"/>
      <c r="O90" s="598"/>
      <c r="P90" s="598"/>
      <c r="Q90" s="598"/>
      <c r="R90" s="590"/>
      <c r="AQ90" s="417"/>
      <c r="BB90" s="417"/>
      <c r="BM90" s="418"/>
    </row>
    <row r="91" ht="38.25" customHeight="1">
      <c r="A91" s="598"/>
      <c r="B91" s="598"/>
      <c r="C91" s="598"/>
      <c r="D91" s="598"/>
      <c r="E91" s="598"/>
      <c r="F91" s="598"/>
      <c r="G91" s="598"/>
      <c r="H91" s="598"/>
      <c r="I91" s="598"/>
      <c r="J91" s="598"/>
      <c r="K91" s="598"/>
      <c r="L91" s="598"/>
      <c r="M91" s="598"/>
      <c r="N91" s="598"/>
      <c r="O91" s="598"/>
      <c r="P91" s="598"/>
      <c r="Q91" s="598"/>
      <c r="R91" s="590"/>
      <c r="AQ91" s="417"/>
      <c r="BB91" s="417"/>
      <c r="BM91" s="418"/>
    </row>
    <row r="92" ht="38.25" customHeight="1">
      <c r="A92" s="598"/>
      <c r="B92" s="598"/>
      <c r="C92" s="598"/>
      <c r="D92" s="598"/>
      <c r="E92" s="598"/>
      <c r="F92" s="598"/>
      <c r="G92" s="598"/>
      <c r="H92" s="598"/>
      <c r="I92" s="598"/>
      <c r="J92" s="598"/>
      <c r="K92" s="598"/>
      <c r="L92" s="598"/>
      <c r="M92" s="598"/>
      <c r="N92" s="598"/>
      <c r="O92" s="598"/>
      <c r="P92" s="598"/>
      <c r="Q92" s="598"/>
      <c r="R92" s="590"/>
      <c r="AQ92" s="417"/>
      <c r="BB92" s="417"/>
      <c r="BM92" s="418"/>
    </row>
    <row r="93" ht="38.25" customHeight="1">
      <c r="A93" s="598"/>
      <c r="B93" s="598"/>
      <c r="C93" s="598"/>
      <c r="D93" s="598"/>
      <c r="E93" s="598"/>
      <c r="F93" s="598"/>
      <c r="G93" s="598"/>
      <c r="H93" s="598"/>
      <c r="I93" s="598"/>
      <c r="J93" s="598"/>
      <c r="K93" s="598"/>
      <c r="L93" s="598"/>
      <c r="M93" s="598"/>
      <c r="N93" s="598"/>
      <c r="O93" s="598"/>
      <c r="P93" s="598"/>
      <c r="Q93" s="598"/>
      <c r="R93" s="590"/>
      <c r="AQ93" s="417"/>
      <c r="BB93" s="417"/>
      <c r="BM93" s="418"/>
    </row>
    <row r="94" ht="38.25" customHeight="1">
      <c r="A94" s="598"/>
      <c r="B94" s="598"/>
      <c r="C94" s="598"/>
      <c r="D94" s="598"/>
      <c r="E94" s="598"/>
      <c r="F94" s="598"/>
      <c r="G94" s="598"/>
      <c r="H94" s="598"/>
      <c r="I94" s="598"/>
      <c r="J94" s="598"/>
      <c r="K94" s="598"/>
      <c r="L94" s="598"/>
      <c r="M94" s="598"/>
      <c r="N94" s="598"/>
      <c r="O94" s="598"/>
      <c r="P94" s="598"/>
      <c r="Q94" s="598"/>
      <c r="R94" s="590"/>
      <c r="AQ94" s="417"/>
      <c r="BB94" s="417"/>
      <c r="BM94" s="418"/>
    </row>
    <row r="95" ht="38.25" customHeight="1">
      <c r="A95" s="598"/>
      <c r="B95" s="598"/>
      <c r="C95" s="598"/>
      <c r="D95" s="598"/>
      <c r="E95" s="598"/>
      <c r="F95" s="598"/>
      <c r="G95" s="598"/>
      <c r="H95" s="598"/>
      <c r="I95" s="598"/>
      <c r="J95" s="598"/>
      <c r="K95" s="598"/>
      <c r="L95" s="598"/>
      <c r="M95" s="598"/>
      <c r="N95" s="598"/>
      <c r="O95" s="598"/>
      <c r="P95" s="598"/>
      <c r="Q95" s="598"/>
      <c r="R95" s="590"/>
      <c r="AQ95" s="417"/>
      <c r="BB95" s="417"/>
      <c r="BM95" s="418"/>
    </row>
    <row r="96" ht="38.25" customHeight="1">
      <c r="A96" s="598"/>
      <c r="B96" s="598"/>
      <c r="C96" s="598"/>
      <c r="D96" s="598"/>
      <c r="E96" s="598"/>
      <c r="F96" s="598"/>
      <c r="G96" s="598"/>
      <c r="H96" s="598"/>
      <c r="I96" s="598"/>
      <c r="J96" s="598"/>
      <c r="K96" s="598"/>
      <c r="L96" s="598"/>
      <c r="M96" s="598"/>
      <c r="N96" s="598"/>
      <c r="O96" s="598"/>
      <c r="P96" s="598"/>
      <c r="Q96" s="598"/>
      <c r="R96" s="590"/>
      <c r="AQ96" s="417"/>
      <c r="BB96" s="417"/>
      <c r="BM96" s="418"/>
    </row>
    <row r="97" ht="39" customHeight="1">
      <c r="A97" s="598"/>
      <c r="B97" s="598"/>
      <c r="C97" s="598"/>
      <c r="D97" s="598"/>
      <c r="E97" s="598"/>
      <c r="F97" s="598"/>
      <c r="G97" s="598"/>
      <c r="H97" s="598"/>
      <c r="I97" s="598"/>
      <c r="J97" s="598"/>
      <c r="K97" s="598"/>
      <c r="L97" s="598"/>
      <c r="M97" s="598"/>
      <c r="N97" s="598"/>
      <c r="O97" s="598"/>
      <c r="P97" s="598"/>
      <c r="Q97" s="598"/>
      <c r="R97" s="590"/>
      <c r="AQ97" s="417"/>
      <c r="BB97" s="417"/>
      <c r="BM97" s="418"/>
    </row>
    <row r="98" ht="39" customHeight="1">
      <c r="A98" s="598" t="s">
        <v>217</v>
      </c>
      <c r="B98" s="598"/>
      <c r="C98" s="598"/>
      <c r="D98" s="598"/>
      <c r="E98" s="598"/>
      <c r="F98" s="598"/>
      <c r="G98" s="598"/>
      <c r="H98" s="598"/>
      <c r="I98" s="598"/>
      <c r="J98" s="598"/>
      <c r="K98" s="598"/>
      <c r="L98" s="598"/>
      <c r="M98" s="598"/>
      <c r="N98" s="598"/>
      <c r="O98" s="598"/>
      <c r="P98" s="598"/>
      <c r="Q98" s="598"/>
      <c r="R98" s="590"/>
      <c r="AR98" s="417"/>
      <c r="BN98" s="418"/>
    </row>
    <row r="99" ht="39" customHeight="1">
      <c r="A99" s="598"/>
      <c r="B99" s="598"/>
      <c r="C99" s="598"/>
      <c r="D99" s="598"/>
      <c r="E99" s="598"/>
      <c r="F99" s="598"/>
      <c r="G99" s="598"/>
      <c r="H99" s="598"/>
      <c r="I99" s="598"/>
      <c r="J99" s="598"/>
      <c r="K99" s="598"/>
      <c r="L99" s="598"/>
      <c r="M99" s="598"/>
      <c r="N99" s="598"/>
      <c r="O99" s="598"/>
      <c r="P99" s="598"/>
      <c r="Q99" s="598"/>
      <c r="R99" s="590"/>
      <c r="AR99" s="417"/>
      <c r="BN99" s="418"/>
    </row>
    <row r="100" ht="39" customHeight="1">
      <c r="A100" s="598"/>
      <c r="B100" s="598"/>
      <c r="C100" s="598"/>
      <c r="D100" s="598"/>
      <c r="E100" s="598"/>
      <c r="F100" s="598"/>
      <c r="G100" s="598"/>
      <c r="H100" s="598"/>
      <c r="I100" s="598"/>
      <c r="J100" s="598"/>
      <c r="K100" s="598"/>
      <c r="L100" s="598"/>
      <c r="M100" s="598"/>
      <c r="N100" s="598"/>
      <c r="O100" s="598"/>
      <c r="P100" s="598"/>
      <c r="Q100" s="598"/>
      <c r="R100" s="590"/>
      <c r="AR100" s="417"/>
      <c r="BN100" s="418"/>
    </row>
    <row r="101" ht="39" customHeight="1">
      <c r="A101" s="598"/>
      <c r="B101" s="598"/>
      <c r="C101" s="598"/>
      <c r="D101" s="598"/>
      <c r="E101" s="598"/>
      <c r="F101" s="598"/>
      <c r="G101" s="598"/>
      <c r="H101" s="598"/>
      <c r="I101" s="598"/>
      <c r="J101" s="598"/>
      <c r="K101" s="598"/>
      <c r="L101" s="598"/>
      <c r="M101" s="598"/>
      <c r="N101" s="598"/>
      <c r="O101" s="598"/>
      <c r="P101" s="598"/>
      <c r="Q101" s="598"/>
      <c r="R101" s="590"/>
      <c r="AR101" s="417"/>
      <c r="BN101" s="418"/>
    </row>
    <row r="102" ht="39" customHeight="1">
      <c r="A102" s="598"/>
      <c r="B102" s="598"/>
      <c r="C102" s="598"/>
      <c r="D102" s="598"/>
      <c r="E102" s="598"/>
      <c r="F102" s="598"/>
      <c r="G102" s="598"/>
      <c r="H102" s="598"/>
      <c r="I102" s="598"/>
      <c r="J102" s="598"/>
      <c r="K102" s="598"/>
      <c r="L102" s="598"/>
      <c r="M102" s="598"/>
      <c r="N102" s="598"/>
      <c r="O102" s="598"/>
      <c r="P102" s="598"/>
      <c r="Q102" s="598"/>
      <c r="R102" s="590"/>
      <c r="AR102" s="417"/>
      <c r="BN102" s="418"/>
    </row>
    <row r="103" ht="39" customHeight="1">
      <c r="A103" s="598"/>
      <c r="B103" s="598"/>
      <c r="C103" s="598"/>
      <c r="D103" s="598"/>
      <c r="E103" s="598"/>
      <c r="F103" s="598"/>
      <c r="G103" s="598"/>
      <c r="H103" s="598"/>
      <c r="I103" s="598"/>
      <c r="J103" s="598"/>
      <c r="K103" s="598"/>
      <c r="L103" s="598"/>
      <c r="M103" s="598"/>
      <c r="N103" s="598"/>
      <c r="O103" s="598"/>
      <c r="P103" s="598"/>
      <c r="Q103" s="598"/>
      <c r="R103" s="590"/>
      <c r="AR103" s="417"/>
      <c r="BN103" s="418"/>
    </row>
    <row r="104" ht="39" customHeight="1">
      <c r="A104" s="598"/>
      <c r="B104" s="598"/>
      <c r="C104" s="598"/>
      <c r="D104" s="598"/>
      <c r="E104" s="598"/>
      <c r="F104" s="598"/>
      <c r="G104" s="598"/>
      <c r="H104" s="598"/>
      <c r="I104" s="598"/>
      <c r="J104" s="598"/>
      <c r="K104" s="598"/>
      <c r="L104" s="598"/>
      <c r="M104" s="598"/>
      <c r="N104" s="598"/>
      <c r="O104" s="598"/>
      <c r="P104" s="598"/>
      <c r="Q104" s="598"/>
      <c r="R104" s="590"/>
      <c r="AR104" s="417"/>
      <c r="BN104" s="418"/>
    </row>
    <row r="105" ht="39" customHeight="1">
      <c r="A105" s="598"/>
      <c r="B105" s="598"/>
      <c r="C105" s="598"/>
      <c r="D105" s="598"/>
      <c r="E105" s="598"/>
      <c r="F105" s="598"/>
      <c r="G105" s="598"/>
      <c r="H105" s="598"/>
      <c r="I105" s="598"/>
      <c r="J105" s="598"/>
      <c r="K105" s="598"/>
      <c r="L105" s="598"/>
      <c r="M105" s="598"/>
      <c r="N105" s="598"/>
      <c r="O105" s="598"/>
      <c r="P105" s="598"/>
      <c r="Q105" s="598"/>
      <c r="R105" s="590"/>
      <c r="AR105" s="417"/>
      <c r="BN105" s="418"/>
    </row>
    <row r="106" ht="39" customHeight="1">
      <c r="A106" s="598"/>
      <c r="B106" s="598"/>
      <c r="C106" s="598"/>
      <c r="D106" s="598"/>
      <c r="E106" s="598"/>
      <c r="F106" s="598"/>
      <c r="G106" s="598"/>
      <c r="H106" s="598"/>
      <c r="I106" s="598"/>
      <c r="J106" s="598"/>
      <c r="K106" s="598"/>
      <c r="L106" s="598"/>
      <c r="M106" s="598"/>
      <c r="N106" s="598"/>
      <c r="O106" s="598"/>
      <c r="P106" s="598"/>
      <c r="Q106" s="598"/>
      <c r="R106" s="590"/>
      <c r="AR106" s="417"/>
      <c r="BN106" s="418"/>
    </row>
    <row r="107" ht="39" customHeight="1">
      <c r="A107" s="598"/>
      <c r="B107" s="598"/>
      <c r="C107" s="598"/>
      <c r="D107" s="598"/>
      <c r="E107" s="598"/>
      <c r="F107" s="598"/>
      <c r="G107" s="598"/>
      <c r="H107" s="598"/>
      <c r="I107" s="598"/>
      <c r="J107" s="598"/>
      <c r="K107" s="598"/>
      <c r="L107" s="598"/>
      <c r="M107" s="598"/>
      <c r="N107" s="598"/>
      <c r="O107" s="598"/>
      <c r="P107" s="598"/>
      <c r="Q107" s="598"/>
      <c r="R107" s="590"/>
      <c r="AR107" s="417"/>
      <c r="BN107" s="418"/>
    </row>
    <row r="108" ht="39" customHeight="1">
      <c r="A108" s="598"/>
      <c r="B108" s="598"/>
      <c r="C108" s="598"/>
      <c r="D108" s="598"/>
      <c r="E108" s="598"/>
      <c r="F108" s="598"/>
      <c r="G108" s="598"/>
      <c r="H108" s="598"/>
      <c r="I108" s="598"/>
      <c r="J108" s="598"/>
      <c r="K108" s="598"/>
      <c r="L108" s="598"/>
      <c r="M108" s="598"/>
      <c r="N108" s="598"/>
      <c r="O108" s="598"/>
      <c r="P108" s="598"/>
      <c r="Q108" s="598"/>
      <c r="R108" s="590"/>
      <c r="AR108" s="417"/>
      <c r="BN108" s="418"/>
    </row>
    <row r="109" ht="39" customHeight="1">
      <c r="A109" s="598"/>
      <c r="B109" s="598"/>
      <c r="C109" s="598"/>
      <c r="D109" s="598"/>
      <c r="E109" s="598"/>
      <c r="F109" s="598"/>
      <c r="G109" s="598"/>
      <c r="H109" s="598"/>
      <c r="I109" s="598"/>
      <c r="J109" s="598"/>
      <c r="K109" s="598"/>
      <c r="L109" s="598"/>
      <c r="M109" s="598"/>
      <c r="N109" s="598"/>
      <c r="O109" s="598"/>
      <c r="P109" s="598"/>
      <c r="Q109" s="598"/>
      <c r="R109" s="590"/>
      <c r="AR109" s="417"/>
      <c r="BN109" s="418"/>
    </row>
    <row r="110" ht="39" customHeight="1">
      <c r="A110" s="598"/>
      <c r="B110" s="598"/>
      <c r="C110" s="598"/>
      <c r="D110" s="598"/>
      <c r="E110" s="598"/>
      <c r="F110" s="598"/>
      <c r="G110" s="598"/>
      <c r="H110" s="598"/>
      <c r="I110" s="598"/>
      <c r="J110" s="598"/>
      <c r="K110" s="598"/>
      <c r="L110" s="598"/>
      <c r="M110" s="598"/>
      <c r="N110" s="598"/>
      <c r="O110" s="598"/>
      <c r="P110" s="598"/>
      <c r="Q110" s="598"/>
      <c r="R110" s="590"/>
      <c r="AR110" s="417"/>
      <c r="BN110" s="418"/>
    </row>
    <row r="111" ht="39" customHeight="1">
      <c r="A111" s="598"/>
      <c r="B111" s="598"/>
      <c r="C111" s="598"/>
      <c r="D111" s="598"/>
      <c r="E111" s="598"/>
      <c r="F111" s="598"/>
      <c r="G111" s="598"/>
      <c r="H111" s="598"/>
      <c r="I111" s="598"/>
      <c r="J111" s="598"/>
      <c r="K111" s="598"/>
      <c r="L111" s="598"/>
      <c r="M111" s="598"/>
      <c r="N111" s="598"/>
      <c r="O111" s="598"/>
      <c r="P111" s="598"/>
      <c r="Q111" s="598"/>
      <c r="R111" s="590"/>
      <c r="AR111" s="417"/>
      <c r="BN111" s="418"/>
    </row>
    <row r="112" ht="39" customHeight="1">
      <c r="A112" s="598"/>
      <c r="B112" s="598"/>
      <c r="C112" s="598"/>
      <c r="D112" s="598"/>
      <c r="E112" s="598"/>
      <c r="F112" s="598"/>
      <c r="G112" s="598"/>
      <c r="H112" s="598"/>
      <c r="I112" s="598"/>
      <c r="J112" s="598"/>
      <c r="K112" s="598"/>
      <c r="L112" s="598"/>
      <c r="M112" s="598"/>
      <c r="N112" s="598"/>
      <c r="O112" s="598"/>
      <c r="P112" s="598"/>
      <c r="Q112" s="598"/>
      <c r="R112" s="590"/>
      <c r="AR112" s="417"/>
      <c r="BN112" s="418"/>
    </row>
    <row r="113" ht="39" customHeight="1">
      <c r="A113" s="598"/>
      <c r="B113" s="598"/>
      <c r="C113" s="598"/>
      <c r="D113" s="598"/>
      <c r="E113" s="598"/>
      <c r="F113" s="598"/>
      <c r="G113" s="598"/>
      <c r="H113" s="598"/>
      <c r="I113" s="598"/>
      <c r="J113" s="598"/>
      <c r="K113" s="598"/>
      <c r="L113" s="598"/>
      <c r="M113" s="598"/>
      <c r="N113" s="598"/>
      <c r="O113" s="598"/>
      <c r="P113" s="598"/>
      <c r="Q113" s="598"/>
      <c r="R113" s="590"/>
      <c r="AR113" s="417"/>
      <c r="BN113" s="418"/>
    </row>
    <row r="114" ht="39" customHeight="1">
      <c r="A114" s="598"/>
      <c r="B114" s="598"/>
      <c r="C114" s="598"/>
      <c r="D114" s="598"/>
      <c r="E114" s="598"/>
      <c r="F114" s="598"/>
      <c r="G114" s="598"/>
      <c r="H114" s="598"/>
      <c r="I114" s="598"/>
      <c r="J114" s="598"/>
      <c r="K114" s="598"/>
      <c r="L114" s="598"/>
      <c r="M114" s="598"/>
      <c r="N114" s="598"/>
      <c r="O114" s="598"/>
      <c r="P114" s="598"/>
      <c r="Q114" s="598"/>
      <c r="R114" s="590"/>
      <c r="AR114" s="417"/>
      <c r="BN114" s="418"/>
    </row>
    <row r="115" ht="39" customHeight="1">
      <c r="A115" s="598"/>
      <c r="B115" s="598"/>
      <c r="C115" s="598"/>
      <c r="D115" s="598"/>
      <c r="E115" s="598"/>
      <c r="F115" s="598"/>
      <c r="G115" s="598"/>
      <c r="H115" s="598"/>
      <c r="I115" s="598"/>
      <c r="J115" s="598"/>
      <c r="K115" s="598"/>
      <c r="L115" s="598"/>
      <c r="M115" s="598"/>
      <c r="N115" s="598"/>
      <c r="O115" s="598"/>
      <c r="P115" s="598"/>
      <c r="Q115" s="598"/>
      <c r="R115" s="590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O8:Q10" location="تسعير!AQ38" display="تليسكوب"/>
    <hyperlink ref="P8:R10" location="تسعير!AQ38" display="تليسكوب"/>
    <hyperlink ref="Q8:S10" location="تسعير!AQ38" display="تليسكوب"/>
    <hyperlink ref="R8:T10" location="تسعير!AQ38" display="تليسكوب"/>
    <hyperlink ref="S8:U10" location="تسعير!AQ38" display="تليسكوب"/>
    <hyperlink ref="T8:V10" location="تسعير!AQ38" display="تليسكوب"/>
    <hyperlink ref="U8:W10" location="تسعير!AQ38" display="تليسكوب"/>
    <hyperlink ref="V8:X10" location="تسعير!AQ38" display="تليسكوب"/>
    <hyperlink ref="W8:Y10" location="تسعير!AQ38" display="تليسكوب"/>
    <hyperlink ref="X8:Z10" location="تسعير!AQ38" display="تليسكوب"/>
    <hyperlink ref="Y8:AA10" location="تسعير!AQ38" display="تليسكوب"/>
    <hyperlink ref="Z8:AB10" location="تسعير!AQ38" display="تليسكوب"/>
    <hyperlink ref="AA8:AC10" location="تسعير!AQ38" display="تليسكوب"/>
    <hyperlink ref="AB8:AD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O9:Q11" location="تسعير!AQ38" display="تليسكوب"/>
    <hyperlink ref="P9:R11" location="تسعير!AQ38" display="تليسكوب"/>
    <hyperlink ref="Q9:S11" location="تسعير!AQ38" display="تليسكوب"/>
    <hyperlink ref="R9:T11" location="تسعير!AQ38" display="تليسكوب"/>
    <hyperlink ref="S9:U11" location="تسعير!AQ38" display="تليسكوب"/>
    <hyperlink ref="T9:V11" location="تسعير!AQ38" display="تليسكوب"/>
    <hyperlink ref="U9:W11" location="تسعير!AQ38" display="تليسكوب"/>
    <hyperlink ref="V9:X11" location="تسعير!AQ38" display="تليسكوب"/>
    <hyperlink ref="W9:Y11" location="تسعير!AQ38" display="تليسكوب"/>
    <hyperlink ref="X9:Z11" location="تسعير!AQ38" display="تليسكوب"/>
    <hyperlink ref="Y9:AA11" location="تسعير!AQ38" display="تليسكوب"/>
    <hyperlink ref="Z9:AB11" location="تسعير!AQ38" display="تليسكوب"/>
    <hyperlink ref="AA9:AC11" location="تسعير!AQ38" display="تليسكوب"/>
    <hyperlink ref="AB9:AD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O10:Q12" location="تسعير!AQ38" display="تليسكوب"/>
    <hyperlink ref="P10:R12" location="تسعير!AQ38" display="تليسكوب"/>
    <hyperlink ref="Q10:S12" location="تسعير!AQ38" display="تليسكوب"/>
    <hyperlink ref="R10:T12" location="تسعير!AQ38" display="تليسكوب"/>
    <hyperlink ref="S10:U12" location="تسعير!AQ38" display="تليسكوب"/>
    <hyperlink ref="T10:V12" location="تسعير!AQ38" display="تليسكوب"/>
    <hyperlink ref="U10:W12" location="تسعير!AQ38" display="تليسكوب"/>
    <hyperlink ref="V10:X12" location="تسعير!AQ38" display="تليسكوب"/>
    <hyperlink ref="W10:Y12" location="تسعير!AQ38" display="تليسكوب"/>
    <hyperlink ref="X10:Z12" location="تسعير!AQ38" display="تليسكوب"/>
    <hyperlink ref="Y10:AA12" location="تسعير!AQ38" display="تليسكوب"/>
    <hyperlink ref="Z10:AB12" location="تسعير!AQ38" display="تليسكوب"/>
    <hyperlink ref="AA10:AC12" location="تسعير!AQ38" display="تليسكوب"/>
    <hyperlink ref="AB10:AD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O11:Q13" location="تسعير!AQ38" display="تليسكوب"/>
    <hyperlink ref="P11:R13" location="تسعير!AQ38" display="تليسكوب"/>
    <hyperlink ref="Q11:S13" location="تسعير!AQ38" display="تليسكوب"/>
    <hyperlink ref="R11:T13" location="تسعير!AQ38" display="تليسكوب"/>
    <hyperlink ref="S11:U13" location="تسعير!AQ38" display="تليسكوب"/>
    <hyperlink ref="T11:V13" location="تسعير!AQ38" display="تليسكوب"/>
    <hyperlink ref="U11:W13" location="تسعير!AQ38" display="تليسكوب"/>
    <hyperlink ref="V11:X13" location="تسعير!AQ38" display="تليسكوب"/>
    <hyperlink ref="W11:Y13" location="تسعير!AQ38" display="تليسكوب"/>
    <hyperlink ref="X11:Z13" location="تسعير!AQ38" display="تليسكوب"/>
    <hyperlink ref="Y11:AA13" location="تسعير!AQ38" display="تليسكوب"/>
    <hyperlink ref="Z11:AB13" location="تسعير!AQ38" display="تليسكوب"/>
    <hyperlink ref="AA11:AC13" location="تسعير!AQ38" display="تليسكوب"/>
    <hyperlink ref="AB11:AD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O12:Q14" location="تسعير!AQ38" display="تليسكوب"/>
    <hyperlink ref="P12:R14" location="تسعير!AQ38" display="تليسكوب"/>
    <hyperlink ref="Q12:S14" location="تسعير!AQ38" display="تليسكوب"/>
    <hyperlink ref="R12:T14" location="تسعير!AQ38" display="تليسكوب"/>
    <hyperlink ref="S12" location="تسعير!X14" display="التثبيت"/>
    <hyperlink ref="T12:V14" location="تسعير!AQ38" display="تليسكوب"/>
    <hyperlink ref="U12:W14" location="تسعير!AQ38" display="تليسكوب"/>
    <hyperlink ref="V12:X14" location="تسعير!AQ38" display="تليسكوب"/>
    <hyperlink ref="W12:Y14" location="تسعير!AQ38" display="تليسكوب"/>
    <hyperlink ref="X12:Z14" location="تسعير!AQ38" display="تليسكوب"/>
    <hyperlink ref="Y12:AA14" location="تسعير!AQ38" display="تليسكوب"/>
    <hyperlink ref="Z12:AB14" location="تسعير!AQ38" display="تليسكوب"/>
    <hyperlink ref="AA12:AC14" location="تسعير!AQ38" display="تليسكوب"/>
    <hyperlink ref="AB12:AD14" location="تسعير!AQ38" display="تليسكوب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O13:Q15" location="تسعير!AQ38" display="تليسكوب"/>
    <hyperlink ref="P13:R15" location="تسعير!AQ38" display="تليسكوب"/>
    <hyperlink ref="Q13:S15" location="تسعير!AQ38" display="تليسكوب"/>
    <hyperlink ref="R13:T15" location="تسعير!AQ38" display="تليسكوب"/>
    <hyperlink ref="S13" location="تسعير!AA10" display="العرض cm"/>
    <hyperlink ref="T13:V15" location="تسعير!AQ38" display="تليسكوب"/>
    <hyperlink ref="U13:W15" location="تسعير!AQ38" display="تليسكوب"/>
    <hyperlink ref="V13:X15" location="تسعير!AQ38" display="تليسكوب"/>
    <hyperlink ref="W13:Y15" location="تسعير!AQ38" display="تليسكوب"/>
    <hyperlink ref="X13:Z15" location="تسعير!AQ38" display="تليسكوب"/>
    <hyperlink ref="Y13:AA15" location="تسعير!AQ38" display="تليسكوب"/>
    <hyperlink ref="Z13:AB15" location="تسعير!AQ38" display="تليسكوب"/>
    <hyperlink ref="AA13:AC15" location="تسعير!AQ38" display="تليسكوب"/>
    <hyperlink ref="AB13:AD15" location="تسعير!AQ38" display="تليسكوب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O14:Q16" location="تسعير!AQ38" display="تليسكوب"/>
    <hyperlink ref="P14:R16" location="تسعير!AQ38" display="تليسكوب"/>
    <hyperlink ref="Q14:S16" location="تسعير!AQ38" display="تليسكوب"/>
    <hyperlink ref="R14:T16" location="تسعير!AQ38" display="تليسكوب"/>
    <hyperlink ref="S14" location="تسعير!X8" display="الامتداد cm"/>
    <hyperlink ref="T14:V16" location="تسعير!AQ38" display="تليسكوب"/>
    <hyperlink ref="U14:W16" location="تسعير!AQ38" display="تليسكوب"/>
    <hyperlink ref="V14:X16" location="تسعير!AQ38" display="تليسكوب"/>
    <hyperlink ref="W14:Y16" location="تسعير!AQ38" display="تليسكوب"/>
    <hyperlink ref="X14:Z16" location="تسعير!AQ38" display="تليسكوب"/>
    <hyperlink ref="Y14:AA16" location="تسعير!AQ38" display="تليسكوب"/>
    <hyperlink ref="Z14:AB16" location="تسعير!AQ38" display="تليسكوب"/>
    <hyperlink ref="AA14:AC16" location="تسعير!AQ38" display="تليسكوب"/>
    <hyperlink ref="AB14:AD16" location="تسعير!AQ38" display="تليسكوب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O15:Q17" location="تسعير!AQ38" display="تليسكوب"/>
    <hyperlink ref="P15:R17" location="تسعير!AQ38" display="تليسكوب"/>
    <hyperlink ref="Q15:S17" location="تسعير!AQ38" display="تليسكوب"/>
    <hyperlink ref="R15:T17" location="تسعير!AQ38" display="تليسكوب"/>
    <hyperlink ref="S15:U17" location="تسعير!AQ38" display="تليسكوب"/>
    <hyperlink ref="T15:V17" location="تسعير!AQ38" display="تليسكوب"/>
    <hyperlink ref="U15:W17" location="تسعير!AQ38" display="تليسكوب"/>
    <hyperlink ref="V15:X17" location="تسعير!AQ38" display="تليسكوب"/>
    <hyperlink ref="W15:Y17" location="تسعير!AQ38" display="تليسكوب"/>
    <hyperlink ref="X15:Z17" location="تسعير!AQ38" display="تليسكوب"/>
    <hyperlink ref="Y15:AA17" location="تسعير!AQ38" display="تليسكوب"/>
    <hyperlink ref="Z15:AB17" location="تسعير!AQ38" display="تليسكوب"/>
    <hyperlink ref="AA15:AC17" location="تسعير!AQ38" display="تليسكوب"/>
    <hyperlink ref="AB15:AD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O16:Q18" location="تسعير!AQ38" display="تليسكوب"/>
    <hyperlink ref="P16:R18" location="تسعير!AQ38" display="تليسكوب"/>
    <hyperlink ref="Q16:S18" location="تسعير!AQ38" display="تليسكوب"/>
    <hyperlink ref="R16:T18" location="تسعير!AQ38" display="تليسكوب"/>
    <hyperlink ref="S16:U18" location="تسعير!AQ38" display="تليسكوب"/>
    <hyperlink ref="T16:V18" location="تسعير!AQ38" display="تليسكوب"/>
    <hyperlink ref="U16:W18" location="تسعير!AQ38" display="تليسكوب"/>
    <hyperlink ref="V16:X18" location="تسعير!AQ38" display="تليسكوب"/>
    <hyperlink ref="W16:Y18" location="تسعير!AQ38" display="تليسكوب"/>
    <hyperlink ref="X16:Z18" location="تسعير!AQ38" display="تليسكوب"/>
    <hyperlink ref="Y16:AA18" location="تسعير!AQ38" display="تليسكوب"/>
    <hyperlink ref="Z16:AB18" location="تسعير!AQ38" display="تليسكوب"/>
    <hyperlink ref="AA16:AC18" location="تسعير!AQ38" display="تليسكوب"/>
    <hyperlink ref="AB16:AD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O17:Q19" location="تسعير!AQ38" display="تليسكوب"/>
    <hyperlink ref="P17:R19" location="تسعير!AQ38" display="تليسكوب"/>
    <hyperlink ref="Q17:S19" location="تسعير!AQ38" display="تليسكوب"/>
    <hyperlink ref="R17:T19" location="تسعير!AQ38" display="تليسكوب"/>
    <hyperlink ref="S17:U19" location="تسعير!AQ38" display="تليسكوب"/>
    <hyperlink ref="T17:V19" location="تسعير!AQ38" display="تليسكوب"/>
    <hyperlink ref="U17:W19" location="تسعير!AQ38" display="تليسكوب"/>
    <hyperlink ref="V17:X19" location="تسعير!AQ38" display="تليسكوب"/>
    <hyperlink ref="W17:Y19" location="تسعير!AQ38" display="تليسكوب"/>
    <hyperlink ref="X17:Z19" location="تسعير!AQ38" display="تليسكوب"/>
    <hyperlink ref="Y17:AA19" location="تسعير!AQ38" display="تليسكوب"/>
    <hyperlink ref="Z17:AB19" location="تسعير!AQ38" display="تليسكوب"/>
    <hyperlink ref="AA17:AC19" location="تسعير!AQ38" display="تليسكوب"/>
    <hyperlink ref="AB17:AD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O18:Q20" location="تسعير!AQ38" display="تليسكوب"/>
    <hyperlink ref="P18:R20" location="تسعير!AQ38" display="تليسكوب"/>
    <hyperlink ref="Q18:S20" location="تسعير!AQ38" display="تليسكوب"/>
    <hyperlink ref="R18:T20" location="تسعير!AQ38" display="تليسكوب"/>
    <hyperlink ref="S18:U20" location="تسعير!AQ38" display="تليسكوب"/>
    <hyperlink ref="T18:V20" location="تسعير!AQ38" display="تليسكوب"/>
    <hyperlink ref="U18:W20" location="تسعير!AQ38" display="تليسكوب"/>
    <hyperlink ref="V18:X20" location="تسعير!AQ38" display="تليسكوب"/>
    <hyperlink ref="W18:Y20" location="تسعير!AQ38" display="تليسكوب"/>
    <hyperlink ref="X18:Z20" location="تسعير!AQ38" display="تليسكوب"/>
    <hyperlink ref="Y18:AA20" location="تسعير!AQ38" display="تليسكوب"/>
    <hyperlink ref="Z18:AB20" location="تسعير!AQ38" display="تليسكوب"/>
    <hyperlink ref="AA18:AC20" location="تسعير!AQ38" display="تليسكوب"/>
    <hyperlink ref="AB18:AD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O19:Q21" location="تسعير!AQ38" display="تليسكوب"/>
    <hyperlink ref="P19:R21" location="تسعير!AQ38" display="تليسكوب"/>
    <hyperlink ref="Q19:S21" location="تسعير!AQ38" display="تليسكوب"/>
    <hyperlink ref="R19:T21" location="تسعير!AQ38" display="تليسكوب"/>
    <hyperlink ref="S19:U21" location="تسعير!AQ38" display="تليسكوب"/>
    <hyperlink ref="T19:V21" location="تسعير!AQ38" display="تليسكوب"/>
    <hyperlink ref="U19:W21" location="تسعير!AQ38" display="تليسكوب"/>
    <hyperlink ref="V19:X21" location="تسعير!AQ38" display="تليسكوب"/>
    <hyperlink ref="W19:Y21" location="تسعير!AQ38" display="تليسكوب"/>
    <hyperlink ref="X19:Z21" location="تسعير!AQ38" display="تليسكوب"/>
    <hyperlink ref="Y19:AA21" location="تسعير!AQ38" display="تليسكوب"/>
    <hyperlink ref="Z19:AB21" location="تسعير!AQ38" display="تليسكوب"/>
    <hyperlink ref="AA19:AC21" location="تسعير!AQ38" display="تليسكوب"/>
    <hyperlink ref="AB19:AD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O20:Q22" location="تسعير!AQ38" display="تليسكوب"/>
    <hyperlink ref="P20:R22" location="تسعير!AQ38" display="تليسكوب"/>
    <hyperlink ref="Q20:S22" location="تسعير!AQ38" display="تليسكوب"/>
    <hyperlink ref="R20:T22" location="تسعير!AQ38" display="تليسكوب"/>
    <hyperlink ref="S20:U22" location="تسعير!AQ38" display="تليسكوب"/>
    <hyperlink ref="T20:V22" location="تسعير!AQ38" display="تليسكوب"/>
    <hyperlink ref="U20:W22" location="تسعير!AQ38" display="تليسكوب"/>
    <hyperlink ref="V20:X22" location="تسعير!AQ38" display="تليسكوب"/>
    <hyperlink ref="W20:Y22" location="تسعير!AQ38" display="تليسكوب"/>
    <hyperlink ref="X20:Z22" location="تسعير!AQ38" display="تليسكوب"/>
    <hyperlink ref="Y20:AA22" location="تسعير!AQ38" display="تليسكوب"/>
    <hyperlink ref="Z20:AB22" location="تسعير!AQ38" display="تليسكوب"/>
    <hyperlink ref="AA20:AC22" location="تسعير!AQ38" display="تليسكوب"/>
    <hyperlink ref="AB20:AD22" location="تسعير!AQ38" display="تليسكوب"/>
    <hyperlink ref="B21:D23" location="تسعير!AQ38" display="تليسكوب"/>
    <hyperlink ref="C21:E23" location="تسعير!AQ38" display="تليسكوب"/>
    <hyperlink ref="D21:F23" location="تسعير!AQ38" display="تليسكوب"/>
    <hyperlink ref="E21:G23" location="تسعير!AQ38" display="تليسكوب"/>
    <hyperlink ref="F21:H23" location="تسعير!AQ38" display="تليسكوب"/>
    <hyperlink ref="G21:I23" location="تسعير!AQ38" display="تليسكوب"/>
    <hyperlink ref="H21:J23" location="تسعير!AQ38" display="تليسكوب"/>
    <hyperlink ref="I21:K23" location="تسعير!AQ38" display="تليسكوب"/>
    <hyperlink ref="J21:L23" location="تسعير!AQ38" display="تليسكوب"/>
    <hyperlink ref="K21:M23" location="تسعير!AQ38" display="تليسكوب"/>
    <hyperlink ref="L21:N23" location="تسعير!AQ38" display="تليسكوب"/>
    <hyperlink ref="M21:O23" location="تسعير!AQ38" display="تليسكوب"/>
    <hyperlink ref="N21:P23" location="تسعير!AQ38" display="تليسكوب"/>
    <hyperlink ref="O21:Q23" location="تسعير!AQ38" display="تليسكوب"/>
    <hyperlink ref="P21:R23" location="تسعير!AQ38" display="تليسكوب"/>
    <hyperlink ref="Q21:S23" location="تسعير!AQ38" display="تليسكوب"/>
    <hyperlink ref="R21:T23" location="تسعير!AQ38" display="تليسكوب"/>
    <hyperlink ref="S21:U23" location="تسعير!AQ38" display="تليسكوب"/>
    <hyperlink ref="T21:V23" location="تسعير!AQ38" display="تليسكوب"/>
    <hyperlink ref="U21:W23" location="تسعير!AQ38" display="تليسكوب"/>
    <hyperlink ref="V21:X23" location="تسعير!AQ38" display="تليسكوب"/>
    <hyperlink ref="W21:Y23" location="تسعير!AQ38" display="تليسكوب"/>
    <hyperlink ref="X21:Z23" location="تسعير!AQ38" display="تليسكوب"/>
    <hyperlink ref="Y21:AA23" location="تسعير!AQ38" display="تليسكوب"/>
    <hyperlink ref="Z21:AB23" location="تسعير!AQ38" display="تليسكوب"/>
    <hyperlink ref="AA21:AC23" location="تسعير!AQ38" display="تليسكوب"/>
    <hyperlink ref="AB21:AD23" location="تسعير!AQ38" display="تليسكوب"/>
    <hyperlink ref="B22:D24" location="تسعير!AQ38" display="تليسكوب"/>
    <hyperlink ref="C22:E24" location="تسعير!AQ38" display="تليسكوب"/>
    <hyperlink ref="D22:F24" location="تسعير!AQ38" display="تليسكوب"/>
    <hyperlink ref="E22:G24" location="تسعير!AQ38" display="تليسكوب"/>
    <hyperlink ref="F22:H24" location="تسعير!AQ38" display="تليسكوب"/>
    <hyperlink ref="G22:I24" location="تسعير!AQ38" display="تليسكوب"/>
    <hyperlink ref="H22:J24" location="تسعير!AQ38" display="تليسكوب"/>
    <hyperlink ref="I22:K24" location="تسعير!AQ38" display="تليسكوب"/>
    <hyperlink ref="J22:L24" location="تسعير!AQ38" display="تليسكوب"/>
    <hyperlink ref="K22:M24" location="تسعير!AQ38" display="تليسكوب"/>
    <hyperlink ref="L22:N24" location="تسعير!AQ38" display="تليسكوب"/>
    <hyperlink ref="M22:O24" location="تسعير!AQ38" display="تليسكوب"/>
    <hyperlink ref="N22:P24" location="تسعير!AQ38" display="تليسكوب"/>
    <hyperlink ref="O22:Q24" location="تسعير!AQ38" display="تليسكوب"/>
    <hyperlink ref="P22:R24" location="تسعير!AQ38" display="تليسكوب"/>
    <hyperlink ref="Q22:S24" location="تسعير!AQ38" display="تليسكوب"/>
    <hyperlink ref="R22:T24" location="تسعير!AQ38" display="تليسكوب"/>
    <hyperlink ref="S22:U24" location="تسعير!AQ38" display="تليسكوب"/>
    <hyperlink ref="T22:V24" location="تسعير!AQ38" display="تليسكوب"/>
    <hyperlink ref="U22:W24" location="تسعير!AQ38" display="تليسكوب"/>
    <hyperlink ref="V22:X24" location="تسعير!AQ38" display="تليسكوب"/>
    <hyperlink ref="W22:Y24" location="تسعير!AQ38" display="تليسكوب"/>
    <hyperlink ref="X22:Z24" location="تسعير!AQ38" display="تليسكوب"/>
    <hyperlink ref="Y22:AA24" location="تسعير!AQ38" display="تليسكوب"/>
    <hyperlink ref="Z22:AB24" location="تسعير!AQ38" display="تليسكوب"/>
    <hyperlink ref="AA22:AC24" location="تسعير!AQ38" display="تليسكوب"/>
    <hyperlink ref="AB22:AD24" location="تسعير!AQ38" display="تليسكوب"/>
    <hyperlink ref="B23:D25" location="تسعير!AQ38" display="تليسكوب"/>
    <hyperlink ref="C23:E25" location="تسعير!AQ38" display="تليسكوب"/>
    <hyperlink ref="D23:F25" location="تسعير!AQ38" display="تليسكوب"/>
    <hyperlink ref="E23:G25" location="تسعير!AQ38" display="تليسكوب"/>
    <hyperlink ref="F23:H25" location="تسعير!AQ38" display="تليسكوب"/>
    <hyperlink ref="G23:I25" location="تسعير!AQ38" display="تليسكوب"/>
    <hyperlink ref="H23:J25" location="تسعير!AQ38" display="تليسكوب"/>
    <hyperlink ref="I23:K25" location="تسعير!AQ38" display="تليسكوب"/>
    <hyperlink ref="J23:L25" location="تسعير!AQ38" display="تليسكوب"/>
    <hyperlink ref="K23:M25" location="تسعير!AQ38" display="تليسكوب"/>
    <hyperlink ref="L23:N25" location="تسعير!AQ38" display="تليسكوب"/>
    <hyperlink ref="M23:O25" location="تسعير!AQ38" display="تليسكوب"/>
    <hyperlink ref="N23:P25" location="تسعير!AQ38" display="تليسكوب"/>
    <hyperlink ref="O23:Q25" location="تسعير!AQ38" display="تليسكوب"/>
    <hyperlink ref="P23:R25" location="تسعير!AQ38" display="تليسكوب"/>
    <hyperlink ref="Q23:S25" location="تسعير!AQ38" display="تليسكوب"/>
    <hyperlink ref="R23:T25" location="تسعير!AQ38" display="تليسكوب"/>
    <hyperlink ref="S23:U25" location="تسعير!AQ38" display="تليسكوب"/>
    <hyperlink ref="T23:V25" location="تسعير!AQ38" display="تليسكوب"/>
    <hyperlink ref="U23:W25" location="تسعير!AQ38" display="تليسكوب"/>
    <hyperlink ref="V23:X25" location="تسعير!AQ38" display="تليسكوب"/>
    <hyperlink ref="W23:Y25" location="تسعير!AQ38" display="تليسكوب"/>
    <hyperlink ref="X23:Z25" location="تسعير!AQ38" display="تليسكوب"/>
    <hyperlink ref="Y23:AA25" location="تسعير!AQ38" display="تليسكوب"/>
    <hyperlink ref="Z23:AB25" location="تسعير!AQ38" display="تليسكوب"/>
    <hyperlink ref="AA23:AC25" location="تسعير!AQ38" display="تليسكوب"/>
    <hyperlink ref="AB23:AD25" location="تسعير!AQ38" display="تليسكوب"/>
    <hyperlink ref="B24:D26" location="تسعير!AQ38" display="تليسكوب"/>
    <hyperlink ref="C24:E26" location="تسعير!AQ38" display="تليسكوب"/>
    <hyperlink ref="D24:F26" location="تسعير!AQ38" display="تليسكوب"/>
    <hyperlink ref="E24:G26" location="تسعير!AQ38" display="تليسكوب"/>
    <hyperlink ref="F24:H26" location="تسعير!AQ38" display="تليسكوب"/>
    <hyperlink ref="G24:I26" location="تسعير!AQ38" display="تليسكوب"/>
    <hyperlink ref="H24:J26" location="تسعير!AQ38" display="تليسكوب"/>
    <hyperlink ref="I24:K26" location="تسعير!AQ38" display="تليسكوب"/>
    <hyperlink ref="J24:L26" location="تسعير!AQ38" display="تليسكوب"/>
    <hyperlink ref="K24:M26" location="تسعير!AQ38" display="تليسكوب"/>
    <hyperlink ref="L24:N26" location="تسعير!AQ38" display="تليسكوب"/>
    <hyperlink ref="M24:O26" location="تسعير!AQ38" display="تليسكوب"/>
    <hyperlink ref="N24:P26" location="تسعير!AQ38" display="تليسكوب"/>
    <hyperlink ref="O24:Q26" location="تسعير!AQ38" display="تليسكوب"/>
    <hyperlink ref="P24:R26" location="تسعير!AQ38" display="تليسكوب"/>
    <hyperlink ref="Q24:S26" location="تسعير!AQ38" display="تليسكوب"/>
    <hyperlink ref="R24:T26" location="تسعير!AQ38" display="تليسكوب"/>
    <hyperlink ref="S24:U26" location="تسعير!AQ38" display="تليسكوب"/>
    <hyperlink ref="T24:V26" location="تسعير!AQ38" display="تليسكوب"/>
    <hyperlink ref="U24:W26" location="تسعير!AQ38" display="تليسكوب"/>
    <hyperlink ref="V24:X26" location="تسعير!AQ38" display="تليسكوب"/>
    <hyperlink ref="W24:Y26" location="تسعير!AQ38" display="تليسكوب"/>
    <hyperlink ref="X24:Z26" location="تسعير!AQ38" display="تليسكوب"/>
    <hyperlink ref="Y24:AA26" location="تسعير!AQ38" display="تليسكوب"/>
    <hyperlink ref="Z24:AB26" location="تسعير!AQ38" display="تليسكوب"/>
    <hyperlink ref="AA24:AC26" location="تسعير!AQ38" display="تليسكوب"/>
    <hyperlink ref="AB24:AD26" location="تسعير!AQ38" display="تليسكوب"/>
    <hyperlink ref="B25:D27" location="تسعير!AQ38" display="تليسكوب"/>
    <hyperlink ref="C25:E27" location="تسعير!AQ38" display="تليسكوب"/>
    <hyperlink ref="D25:F27" location="تسعير!AQ38" display="تليسكوب"/>
    <hyperlink ref="E25:G27" location="تسعير!AQ38" display="تليسكوب"/>
    <hyperlink ref="F25:H27" location="تسعير!AQ38" display="تليسكوب"/>
    <hyperlink ref="G25:I27" location="تسعير!AQ38" display="تليسكوب"/>
    <hyperlink ref="H25:J27" location="تسعير!AQ38" display="تليسكوب"/>
    <hyperlink ref="I25:K27" location="تسعير!AQ38" display="تليسكوب"/>
    <hyperlink ref="J25:L27" location="تسعير!AQ38" display="تليسكوب"/>
    <hyperlink ref="K25:M27" location="تسعير!AQ38" display="تليسكوب"/>
    <hyperlink ref="L25:N27" location="تسعير!AQ38" display="تليسكوب"/>
    <hyperlink ref="M25:O27" location="تسعير!AQ38" display="تليسكوب"/>
    <hyperlink ref="N25:P27" location="تسعير!AQ38" display="تليسكوب"/>
    <hyperlink ref="O25:Q27" location="تسعير!AQ38" display="تليسكوب"/>
    <hyperlink ref="P25:R27" location="تسعير!AQ38" display="تليسكوب"/>
    <hyperlink ref="Q25:S27" location="تسعير!AQ38" display="تليسكوب"/>
    <hyperlink ref="R25:T27" location="تسعير!AQ38" display="تليسكوب"/>
    <hyperlink ref="S25:U27" location="تسعير!AQ38" display="تليسكوب"/>
    <hyperlink ref="T25:V27" location="تسعير!AQ38" display="تليسكوب"/>
    <hyperlink ref="U25:W27" location="تسعير!AQ38" display="تليسكوب"/>
    <hyperlink ref="V25:X27" location="تسعير!AQ38" display="تليسكوب"/>
    <hyperlink ref="W25:Y27" location="تسعير!AQ38" display="تليسكوب"/>
    <hyperlink ref="X25:Z27" location="تسعير!AQ38" display="تليسكوب"/>
    <hyperlink ref="Y25:AA27" location="تسعير!AQ38" display="تليسكوب"/>
    <hyperlink ref="Z25:AB27" location="تسعير!AQ38" display="تليسكوب"/>
    <hyperlink ref="AA25:AC27" location="تسعير!AQ38" display="تليسكوب"/>
    <hyperlink ref="AB25:AD27" location="تسعير!AQ38" display="تليسكوب"/>
    <hyperlink ref="B26:D28" location="تسعير!AQ38" display="تليسكوب"/>
    <hyperlink ref="C26:E28" location="تسعير!AQ38" display="تليسكوب"/>
    <hyperlink ref="D26:F28" location="تسعير!AQ38" display="تليسكوب"/>
    <hyperlink ref="E26:G28" location="تسعير!AQ38" display="تليسكوب"/>
    <hyperlink ref="F26:H28" location="تسعير!AQ38" display="تليسكوب"/>
    <hyperlink ref="G26:I28" location="تسعير!AQ38" display="تليسكوب"/>
    <hyperlink ref="H26:J28" location="تسعير!AQ38" display="تليسكوب"/>
    <hyperlink ref="I26:K28" location="تسعير!AQ38" display="تليسكوب"/>
    <hyperlink ref="J26:L28" location="تسعير!AQ38" display="تليسكوب"/>
    <hyperlink ref="K26:M28" location="تسعير!AQ38" display="تليسكوب"/>
    <hyperlink ref="L26:N28" location="تسعير!AQ38" display="تليسكوب"/>
    <hyperlink ref="M26:O28" location="تسعير!AQ38" display="تليسكوب"/>
    <hyperlink ref="N26:P28" location="تسعير!AQ38" display="تليسكوب"/>
    <hyperlink ref="O26:Q28" location="تسعير!AQ38" display="تليسكوب"/>
    <hyperlink ref="P26:R28" location="تسعير!AQ38" display="تليسكوب"/>
    <hyperlink ref="Q26:S28" location="تسعير!AQ38" display="تليسكوب"/>
    <hyperlink ref="R26:T28" location="تسعير!AQ38" display="تليسكوب"/>
    <hyperlink ref="S26:U28" location="تسعير!AQ38" display="تليسكوب"/>
    <hyperlink ref="T26:V28" location="تسعير!AQ38" display="تليسكوب"/>
    <hyperlink ref="U26:W28" location="تسعير!AQ38" display="تليسكوب"/>
    <hyperlink ref="V26:X28" location="تسعير!AQ38" display="تليسكوب"/>
    <hyperlink ref="W26:Y28" location="تسعير!AQ38" display="تليسكوب"/>
    <hyperlink ref="X26:Z28" location="تسعير!AQ38" display="تليسكوب"/>
    <hyperlink ref="Y26:AA28" location="تسعير!AQ38" display="تليسكوب"/>
    <hyperlink ref="Z26:AB28" location="تسعير!AQ38" display="تليسكوب"/>
    <hyperlink ref="AA26:AC28" location="تسعير!AQ38" display="تليسكوب"/>
    <hyperlink ref="AB26:AD28" location="تسعير!AQ38" display="تليسكوب"/>
    <hyperlink ref="B27:D29" location="تسعير!AQ38" display="تليسكوب"/>
    <hyperlink ref="C27:E29" location="تسعير!AQ38" display="تليسكوب"/>
    <hyperlink ref="D27:F29" location="تسعير!AQ38" display="تليسكوب"/>
    <hyperlink ref="E27:G29" location="تسعير!AQ38" display="تليسكوب"/>
    <hyperlink ref="F27:H29" location="تسعير!AQ38" display="تليسكوب"/>
    <hyperlink ref="G27:I29" location="تسعير!AQ38" display="تليسكوب"/>
    <hyperlink ref="H27:J29" location="تسعير!AQ38" display="تليسكوب"/>
    <hyperlink ref="I27:K29" location="تسعير!AQ38" display="تليسكوب"/>
    <hyperlink ref="J27:L29" location="تسعير!AQ38" display="تليسكوب"/>
    <hyperlink ref="K27:M29" location="تسعير!AQ38" display="تليسكوب"/>
    <hyperlink ref="L27:N29" location="تسعير!AQ38" display="تليسكوب"/>
    <hyperlink ref="M27:O29" location="تسعير!AQ38" display="تليسكوب"/>
    <hyperlink ref="N27:P29" location="تسعير!AQ38" display="تليسكوب"/>
    <hyperlink ref="O27:Q29" location="تسعير!AQ38" display="تليسكوب"/>
    <hyperlink ref="P27:R29" location="تسعير!AQ38" display="تليسكوب"/>
    <hyperlink ref="Q27:S29" location="تسعير!AQ38" display="تليسكوب"/>
    <hyperlink ref="R27:T29" location="تسعير!AQ38" display="تليسكوب"/>
    <hyperlink ref="S27:U29" location="تسعير!AQ38" display="تليسكوب"/>
    <hyperlink ref="T27:V29" location="تسعير!AQ38" display="تليسكوب"/>
    <hyperlink ref="U27:W29" location="تسعير!AQ38" display="تليسكوب"/>
    <hyperlink ref="V27:X29" location="تسعير!AQ38" display="تليسكوب"/>
    <hyperlink ref="W27:Y29" location="تسعير!AQ38" display="تليسكوب"/>
    <hyperlink ref="X27:Z29" location="تسعير!AQ38" display="تليسكوب"/>
    <hyperlink ref="Y27:AA29" location="تسعير!AQ38" display="تليسكوب"/>
    <hyperlink ref="Z27:AB29" location="تسعير!AQ38" display="تليسكوب"/>
    <hyperlink ref="AA27:AC29" location="تسعير!AQ38" display="تليسكوب"/>
    <hyperlink ref="AB27:AD29" location="تسعير!AQ38" display="تليسكوب"/>
    <hyperlink ref="B28:D30" location="تسعير!AQ38" display="تليسكوب"/>
    <hyperlink ref="C28:E30" location="تسعير!AQ38" display="تليسكوب"/>
    <hyperlink ref="D28:F30" location="تسعير!AQ38" display="تليسكوب"/>
    <hyperlink ref="E28:G30" location="تسعير!AQ38" display="تليسكوب"/>
    <hyperlink ref="F28:H30" location="تسعير!AQ38" display="تليسكوب"/>
    <hyperlink ref="G28:I30" location="تسعير!AQ38" display="تليسكوب"/>
    <hyperlink ref="H28:J30" location="تسعير!AQ38" display="تليسكوب"/>
    <hyperlink ref="I28:K30" location="تسعير!AQ38" display="تليسكوب"/>
    <hyperlink ref="J28:L30" location="تسعير!AQ38" display="تليسكوب"/>
    <hyperlink ref="K28:M30" location="تسعير!AQ38" display="تليسكوب"/>
    <hyperlink ref="L28:N30" location="تسعير!AQ38" display="تليسكوب"/>
    <hyperlink ref="M28:O30" location="تسعير!AQ38" display="تليسكوب"/>
    <hyperlink ref="N28:P30" location="تسعير!AQ38" display="تليسكوب"/>
    <hyperlink ref="O28:Q30" location="تسعير!AQ38" display="تليسكوب"/>
    <hyperlink ref="P28:R30" location="تسعير!AQ38" display="تليسكوب"/>
    <hyperlink ref="Q28:S30" location="تسعير!AQ38" display="تليسكوب"/>
    <hyperlink ref="R28:T30" location="تسعير!AQ38" display="تليسكوب"/>
    <hyperlink ref="S28:U30" location="تسعير!AQ38" display="تليسكوب"/>
    <hyperlink ref="T28:V30" location="تسعير!AQ38" display="تليسكوب"/>
    <hyperlink ref="U28:W30" location="تسعير!AQ38" display="تليسكوب"/>
    <hyperlink ref="V28:X30" location="تسعير!AQ38" display="تليسكوب"/>
    <hyperlink ref="W28:Y30" location="تسعير!AQ38" display="تليسكوب"/>
    <hyperlink ref="X28:Z30" location="تسعير!AQ38" display="تليسكوب"/>
    <hyperlink ref="Y28:AA30" location="تسعير!AQ38" display="تليسكوب"/>
    <hyperlink ref="Z28:AB30" location="تسعير!AQ38" display="تليسكوب"/>
    <hyperlink ref="AA28:AC30" location="تسعير!AQ38" display="تليسكوب"/>
    <hyperlink ref="AB28:AD30" location="تسعير!AQ38" display="تليسكوب"/>
    <hyperlink ref="B29:D31" location="تسعير!AQ38" display="تليسكوب"/>
    <hyperlink ref="C29:E31" location="تسعير!AQ38" display="تليسكوب"/>
    <hyperlink ref="D29:F31" location="تسعير!AQ38" display="تليسكوب"/>
    <hyperlink ref="E29:G31" location="تسعير!AQ38" display="تليسكوب"/>
    <hyperlink ref="F29:H31" location="تسعير!AQ38" display="تليسكوب"/>
    <hyperlink ref="G29:I31" location="تسعير!AQ38" display="تليسكوب"/>
    <hyperlink ref="H29:J31" location="تسعير!AQ38" display="تليسكوب"/>
    <hyperlink ref="I29:K31" location="تسعير!AQ38" display="تليسكوب"/>
    <hyperlink ref="J29:L31" location="تسعير!AQ38" display="تليسكوب"/>
    <hyperlink ref="K29:M31" location="تسعير!AQ38" display="تليسكوب"/>
    <hyperlink ref="L29:N31" location="تسعير!AQ38" display="تليسكوب"/>
    <hyperlink ref="M29:O31" location="تسعير!AQ38" display="تليسكوب"/>
    <hyperlink ref="N29:P31" location="تسعير!AQ38" display="تليسكوب"/>
    <hyperlink ref="O29:Q31" location="تسعير!AQ38" display="تليسكوب"/>
    <hyperlink ref="P29:R31" location="تسعير!AQ38" display="تليسكوب"/>
    <hyperlink ref="Q29:S31" location="تسعير!AQ38" display="تليسكوب"/>
    <hyperlink ref="R29:T31" location="تسعير!AQ38" display="تليسكوب"/>
    <hyperlink ref="S29:U31" location="تسعير!AQ38" display="تليسكوب"/>
    <hyperlink ref="T29:V31" location="تسعير!AQ38" display="تليسكوب"/>
    <hyperlink ref="U29:W31" location="تسعير!AQ38" display="تليسكوب"/>
    <hyperlink ref="V29:X31" location="تسعير!AQ38" display="تليسكوب"/>
    <hyperlink ref="W29:Y31" location="تسعير!AQ38" display="تليسكوب"/>
    <hyperlink ref="X29:Z31" location="تسعير!AQ38" display="تليسكوب"/>
    <hyperlink ref="Y29:AA31" location="تسعير!AQ38" display="تليسكوب"/>
    <hyperlink ref="Z29:AB31" location="تسعير!AQ38" display="تليسكوب"/>
    <hyperlink ref="AA29:AC31" location="تسعير!AQ38" display="تليسكوب"/>
    <hyperlink ref="AB29:AD31" location="تسعير!AQ38" display="تليسكوب"/>
    <hyperlink ref="B30:D32" location="تسعير!AQ38" display="تليسكوب"/>
    <hyperlink ref="C30:E32" location="تسعير!AQ38" display="تليسكوب"/>
    <hyperlink ref="D30:F32" location="تسعير!AQ38" display="تليسكوب"/>
    <hyperlink ref="E30:G32" location="تسعير!AQ38" display="تليسكوب"/>
    <hyperlink ref="F30:H32" location="تسعير!AQ38" display="تليسكوب"/>
    <hyperlink ref="G30:I32" location="تسعير!AQ38" display="تليسكوب"/>
    <hyperlink ref="H30:J32" location="تسعير!AQ38" display="تليسكوب"/>
    <hyperlink ref="I30:K32" location="تسعير!AQ38" display="تليسكوب"/>
    <hyperlink ref="J30:L32" location="تسعير!AQ38" display="تليسكوب"/>
    <hyperlink ref="K30:M32" location="تسعير!AQ38" display="تليسكوب"/>
    <hyperlink ref="L30:N32" location="تسعير!AQ38" display="تليسكوب"/>
    <hyperlink ref="M30:O32" location="تسعير!AQ38" display="تليسكوب"/>
    <hyperlink ref="N30:P32" location="تسعير!AQ38" display="تليسكوب"/>
    <hyperlink ref="O30:Q32" location="تسعير!AQ38" display="تليسكوب"/>
    <hyperlink ref="P30:R32" location="تسعير!AQ38" display="تليسكوب"/>
    <hyperlink ref="Q30:S32" location="تسعير!AQ38" display="تليسكوب"/>
    <hyperlink ref="R30:T32" location="تسعير!AQ38" display="تليسكوب"/>
    <hyperlink ref="S30" location="تسعير!AF31" display="الارتفاع الخلفي"/>
    <hyperlink ref="T30:V32" location="تسعير!AQ38" display="تليسكوب"/>
    <hyperlink ref="U30:W32" location="تسعير!AQ38" display="تليسكوب"/>
    <hyperlink ref="V30:X32" location="تسعير!AQ38" display="تليسكوب"/>
    <hyperlink ref="W30:Y32" location="تسعير!AQ38" display="تليسكوب"/>
    <hyperlink ref="X30:Z32" location="تسعير!AQ38" display="تليسكوب"/>
    <hyperlink ref="Y30:AA32" location="تسعير!AQ38" display="تليسكوب"/>
    <hyperlink ref="Z30:AB32" location="تسعير!AQ38" display="تليسكوب"/>
    <hyperlink ref="AA30:AC32" location="تسعير!AQ38" display="تليسكوب"/>
    <hyperlink ref="AB30:AD32" location="تسعير!AQ38" display="تليسكوب"/>
    <hyperlink ref="B31:D33" location="تسعير!AQ38" display="تليسكوب"/>
    <hyperlink ref="C31:E33" location="تسعير!AQ38" display="تليسكوب"/>
    <hyperlink ref="D31:F33" location="تسعير!AQ38" display="تليسكوب"/>
    <hyperlink ref="E31:G33" location="تسعير!AQ38" display="تليسكوب"/>
    <hyperlink ref="F31:H33" location="تسعير!AQ38" display="تليسكوب"/>
    <hyperlink ref="G31:I33" location="تسعير!AQ38" display="تليسكوب"/>
    <hyperlink ref="H31:J33" location="تسعير!AQ38" display="تليسكوب"/>
    <hyperlink ref="I31:K33" location="تسعير!AQ38" display="تليسكوب"/>
    <hyperlink ref="J31:L33" location="تسعير!AQ38" display="تليسكوب"/>
    <hyperlink ref="K31:M33" location="تسعير!AQ38" display="تليسكوب"/>
    <hyperlink ref="L31:N33" location="تسعير!AQ38" display="تليسكوب"/>
    <hyperlink ref="M31:O33" location="تسعير!AQ38" display="تليسكوب"/>
    <hyperlink ref="N31:P33" location="تسعير!AQ38" display="تليسكوب"/>
    <hyperlink ref="O31:Q33" location="تسعير!AQ38" display="تليسكوب"/>
    <hyperlink ref="P31:R33" location="تسعير!AQ38" display="تليسكوب"/>
    <hyperlink ref="Q31:S33" location="تسعير!AQ38" display="تليسكوب"/>
    <hyperlink ref="R31:T33" location="تسعير!AQ38" display="تليسكوب"/>
    <hyperlink ref="S31" location="تسعير!X31" display="الارتفاع الامامي"/>
    <hyperlink ref="T31:V33" location="تسعير!AQ38" display="تليسكوب"/>
    <hyperlink ref="U31:W33" location="تسعير!AQ38" display="تليسكوب"/>
    <hyperlink ref="V31:X33" location="تسعير!AQ38" display="تليسكوب"/>
    <hyperlink ref="W31:Y33" location="تسعير!AQ38" display="تليسكوب"/>
    <hyperlink ref="X31:Z33" location="تسعير!AQ38" display="تليسكوب"/>
    <hyperlink ref="Y31:AA33" location="تسعير!AQ38" display="تليسكوب"/>
    <hyperlink ref="Z31:AB33" location="تسعير!AQ38" display="تليسكوب"/>
    <hyperlink ref="AA31:AC33" location="تسعير!AQ38" display="تليسكوب"/>
    <hyperlink ref="AB31:AD33" location="تسعير!AQ38" display="تليسكوب"/>
    <hyperlink ref="B32:D34" location="تسعير!AQ38" display="تليسكوب"/>
    <hyperlink ref="C32:E34" location="تسعير!AQ38" display="تليسكوب"/>
    <hyperlink ref="D32:F34" location="تسعير!AQ38" display="تليسكوب"/>
    <hyperlink ref="E32:G34" location="تسعير!AQ38" display="تليسكوب"/>
    <hyperlink ref="F32:H34" location="تسعير!AQ38" display="تليسكوب"/>
    <hyperlink ref="G32:I34" location="تسعير!AQ38" display="تليسكوب"/>
    <hyperlink ref="H32:J34" location="تسعير!AQ38" display="تليسكوب"/>
    <hyperlink ref="I32:K34" location="تسعير!AQ38" display="تليسكوب"/>
    <hyperlink ref="J32:L34" location="تسعير!AQ38" display="تليسكوب"/>
    <hyperlink ref="K32:M34" location="تسعير!AQ38" display="تليسكوب"/>
    <hyperlink ref="L32:N34" location="تسعير!AQ38" display="تليسكوب"/>
    <hyperlink ref="M32:O34" location="تسعير!AQ38" display="تليسكوب"/>
    <hyperlink ref="N32:P34" location="تسعير!AQ38" display="تليسكوب"/>
    <hyperlink ref="O32:Q34" location="تسعير!AQ38" display="تليسكوب"/>
    <hyperlink ref="P32:R34" location="تسعير!AQ38" display="تليسكوب"/>
    <hyperlink ref="Q32:S34" location="تسعير!AQ38" display="تليسكوب"/>
    <hyperlink ref="R32:T34" location="تسعير!AQ38" display="تليسكوب"/>
    <hyperlink ref="S32" location="تسعير!X37" display="التثبيت"/>
    <hyperlink ref="T32:V34" location="تسعير!AQ38" display="تليسكوب"/>
    <hyperlink ref="U32:W34" location="تسعير!AQ38" display="تليسكوب"/>
    <hyperlink ref="V32:X34" location="تسعير!AQ38" display="تليسكوب"/>
    <hyperlink ref="W32:Y34" location="تسعير!AQ38" display="تليسكوب"/>
    <hyperlink ref="X32:Z34" location="تسعير!AQ38" display="تليسكوب"/>
    <hyperlink ref="Y32:AA34" location="تسعير!AQ38" display="تليسكوب"/>
    <hyperlink ref="Z32:AB34" location="تسعير!AQ38" display="تليسكوب"/>
    <hyperlink ref="AA32:AC34" location="تسعير!AQ38" display="تليسكوب"/>
    <hyperlink ref="AB32:AD34" location="تسعير!AQ38" display="تليسكوب"/>
    <hyperlink ref="AS32" location="تسعير!BB14" display="التثبيت"/>
    <hyperlink ref="BD32" location="تسعير!BB14" display="التثبيت"/>
    <hyperlink ref="B33:D35" location="تسعير!AQ38" display="تليسكوب"/>
    <hyperlink ref="C33:E35" location="تسعير!AQ38" display="تليسكوب"/>
    <hyperlink ref="D33:F35" location="تسعير!AQ38" display="تليسكوب"/>
    <hyperlink ref="E33:G35" location="تسعير!AQ38" display="تليسكوب"/>
    <hyperlink ref="F33:H35" location="تسعير!AQ38" display="تليسكوب"/>
    <hyperlink ref="G33:I35" location="تسعير!AQ38" display="تليسكوب"/>
    <hyperlink ref="H33:J35" location="تسعير!AQ38" display="تليسكوب"/>
    <hyperlink ref="I33:K35" location="تسعير!AQ38" display="تليسكوب"/>
    <hyperlink ref="J33:L35" location="تسعير!AQ38" display="تليسكوب"/>
    <hyperlink ref="K33:M35" location="تسعير!AQ38" display="تليسكوب"/>
    <hyperlink ref="L33:N35" location="تسعير!AQ38" display="تليسكوب"/>
    <hyperlink ref="M33:O35" location="تسعير!AQ38" display="تليسكوب"/>
    <hyperlink ref="N33:P35" location="تسعير!AQ38" display="تليسكوب"/>
    <hyperlink ref="O33:Q35" location="تسعير!AQ38" display="تليسكوب"/>
    <hyperlink ref="P33:R35" location="تسعير!AQ38" display="تليسكوب"/>
    <hyperlink ref="Q33:S35" location="تسعير!AQ38" display="تليسكوب"/>
    <hyperlink ref="R33:T35" location="تسعير!AQ38" display="تليسكوب"/>
    <hyperlink ref="S33" location="تسعير!AA33" display="العرض cm"/>
    <hyperlink ref="T33:V35" location="تسعير!AQ38" display="تليسكوب"/>
    <hyperlink ref="U33:W35" location="تسعير!AQ38" display="تليسكوب"/>
    <hyperlink ref="V33:X35" location="تسعير!AQ38" display="تليسكوب"/>
    <hyperlink ref="W33:Y35" location="تسعير!AQ38" display="تليسكوب"/>
    <hyperlink ref="X33:Z35" location="تسعير!AQ38" display="تليسكوب"/>
    <hyperlink ref="Y33:AA35" location="تسعير!AQ38" display="تليسكوب"/>
    <hyperlink ref="Z33:AB35" location="تسعير!AQ38" display="تليسكوب"/>
    <hyperlink ref="AA33:AC35" location="تسعير!AQ38" display="تليسكوب"/>
    <hyperlink ref="AB33:AD35" location="تسعير!AQ38" display="تليسكوب"/>
    <hyperlink ref="AS33" location="تسعير!BA36" display="العرض cm"/>
    <hyperlink ref="BD33" location="تسعير!AV10" display="العرض cm"/>
    <hyperlink ref="B34:D36" location="تسعير!AQ38" display="تليسكوب"/>
    <hyperlink ref="C34:E36" location="تسعير!AQ38" display="تليسكوب"/>
    <hyperlink ref="D34:F36" location="تسعير!AQ38" display="تليسكوب"/>
    <hyperlink ref="E34:G36" location="تسعير!AQ38" display="تليسكوب"/>
    <hyperlink ref="F34:H36" location="تسعير!AQ38" display="تليسكوب"/>
    <hyperlink ref="G34:I36" location="تسعير!AQ38" display="تليسكوب"/>
    <hyperlink ref="H34:J36" location="تسعير!AQ38" display="تليسكوب"/>
    <hyperlink ref="I34:K36" location="تسعير!AQ38" display="تليسكوب"/>
    <hyperlink ref="J34:L36" location="تسعير!AQ38" display="تليسكوب"/>
    <hyperlink ref="K34:M36" location="تسعير!AQ38" display="تليسكوب"/>
    <hyperlink ref="L34:N36" location="تسعير!AQ38" display="تليسكوب"/>
    <hyperlink ref="M34:O36" location="تسعير!AQ38" display="تليسكوب"/>
    <hyperlink ref="N34:P36" location="تسعير!AQ38" display="تليسكوب"/>
    <hyperlink ref="O34:Q36" location="تسعير!AQ38" display="تليسكوب"/>
    <hyperlink ref="P34:R36" location="تسعير!AQ38" display="تليسكوب"/>
    <hyperlink ref="Q34:S36" location="تسعير!AQ38" display="تليسكوب"/>
    <hyperlink ref="R34:T36" location="تسعير!AQ38" display="تليسكوب"/>
    <hyperlink ref="S34" location="تسعير!X31" display="الامتداد cm"/>
    <hyperlink ref="T34:V36" location="تسعير!AQ38" display="تليسكوب"/>
    <hyperlink ref="U34:W36" location="تسعير!AQ38" display="تليسكوب"/>
    <hyperlink ref="V34:X36" location="تسعير!AQ38" display="تليسكوب"/>
    <hyperlink ref="W34:Y36" location="تسعير!AQ38" display="تليسكوب"/>
    <hyperlink ref="X34:Z36" location="تسعير!AQ38" display="تليسكوب"/>
    <hyperlink ref="Y34:AA36" location="تسعير!AQ38" display="تليسكوب"/>
    <hyperlink ref="Z34:AB36" location="تسعير!AQ38" display="تليسكوب"/>
    <hyperlink ref="AA34:AC36" location="تسعير!AQ38" display="تليسكوب"/>
    <hyperlink ref="AB34:AD36" location="تسعير!AQ38" display="تليسكوب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CA697E9C-4E21-4761-B775-D318415E41E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1B42F9F3-7932-4460-A808-19BC60FAA3F5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424F2697-A85E-4D5D-BF3F-640A2D6F72C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9BB860EB-8A1D-4A5E-B83C-71E630A3C0F5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199EBE3F-B96A-4C11-A197-0A085CD3F8A1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6CB3C39D-F245-459A-B3C8-6B37A3E6F85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4AE9692D-33E9-4E4C-A16C-4599ED8EE48E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8AAE96CA-1198-4A4F-A395-9849B05985A7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486A3E1-7A2F-4230-89A9-134140FEAA86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15F5EADE-7231-4B6B-9A91-944C3805461C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4D1D0443-5E56-4888-9D66-C400F435A8D7}">
          <x14:formula1>
            <xm:f>wavy2!$A$19:$A$20</xm:f>
          </x14:formula1>
          <xm:sqref>BE9</xm:sqref>
        </x14:dataValidation>
        <x14:dataValidation type="list" allowBlank="1" showInputMessage="1" showErrorMessage="1" xr:uid="{F4922E2A-E02C-4D30-9021-10514193975E}">
          <x14:formula1>
            <xm:f>wavy1!$A$19:$A$20</xm:f>
          </x14:formula1>
          <xm:sqref>AT9</xm:sqref>
        </x14:dataValidation>
        <x14:dataValidation type="list" allowBlank="1" showInputMessage="1" showErrorMessage="1" xr:uid="{5C30A690-1595-4FDA-820A-17427324C6C7}">
          <x14:formula1>
            <xm:f>Sheet2!$B$5:$B$7</xm:f>
          </x14:formula1>
          <xm:sqref>T25 T46 T64</xm:sqref>
        </x14:dataValidation>
        <x14:dataValidation type="list" allowBlank="1" showInputMessage="1" showErrorMessage="1" xr:uid="{2C781C81-75B5-4893-A221-49C1C8BCE2D3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3E6D9A1D-217E-433E-8F66-113DDE087DC6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39B2CF9F-B910-4B07-9E24-40B19BFD4363}">
          <x14:formula1>
            <xm:f>Sheet2!$C$5:$C$6</xm:f>
          </x14:formula1>
          <xm:sqref>T26</xm:sqref>
        </x14:dataValidation>
        <x14:dataValidation type="list" allowBlank="1" showInputMessage="1" showErrorMessage="1" xr:uid="{B1BCA1AD-BF60-436A-A9AF-509D583B0514}">
          <x14:formula1>
            <xm:f>Sheet2!$A$5</xm:f>
          </x14:formula1>
          <xm:sqref>U31</xm:sqref>
        </x14:dataValidation>
        <x14:dataValidation type="list" allowBlank="1" showInputMessage="1" showErrorMessage="1" xr:uid="{4051519E-0CD3-4808-9B8C-77478BE6F87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9EF426F-743A-4A16-B46F-2D3811D1E285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F95E01CE-090F-45AB-BA40-40D8D262A2E3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62349C5-10C0-4CD3-BFF0-8C83B8B2D732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398C3D-9F32-4B76-A2FC-DED552D96363}">
          <x14:formula1>
            <xm:f>Sheet2!$D$5:$D$6</xm:f>
          </x14:formula1>
          <xm:sqref>T32 T53 T71</xm:sqref>
        </x14:dataValidation>
        <x14:dataValidation type="list" allowBlank="1" showInputMessage="1" showErrorMessage="1" xr:uid="{CFA8ECAF-9CEE-4877-8605-A1A12EF57471}">
          <x14:formula1>
            <xm:f>Sheet2!$A$6</xm:f>
          </x14:formula1>
          <xm:sqref>AC36</xm:sqref>
        </x14:dataValidation>
        <x14:dataValidation type="list" allowBlank="1" showInputMessage="1" showErrorMessage="1" xr:uid="{CB3698C4-9261-492F-9841-72B35E279D98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7" t="s">
        <v>258</v>
      </c>
      <c r="I7" s="787"/>
      <c r="J7" s="787"/>
      <c r="K7" s="788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7"/>
      <c r="I8" s="787"/>
      <c r="J8" s="787"/>
      <c r="K8" s="788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7"/>
      <c r="I9" s="787"/>
      <c r="J9" s="787"/>
      <c r="K9" s="788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7" t="s">
        <v>262</v>
      </c>
      <c r="I15" s="787"/>
      <c r="J15" s="787"/>
      <c r="K15" s="788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7"/>
      <c r="I16" s="787"/>
      <c r="J16" s="787"/>
      <c r="K16" s="788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7"/>
      <c r="I17" s="787"/>
      <c r="J17" s="787"/>
      <c r="K17" s="788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2" t="s">
        <v>0</v>
      </c>
      <c r="B1" s="623"/>
      <c r="C1" s="62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5"/>
      <c r="B2" s="626"/>
      <c r="C2" s="62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65000</v>
      </c>
      <c r="I2" s="231">
        <f>Sheet2!B13</f>
        <v>75000</v>
      </c>
      <c r="J2" s="232">
        <f>Sheet2!B14</f>
        <v>240000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9" t="s">
        <v>17</v>
      </c>
      <c r="B3" s="630"/>
      <c r="C3" s="408"/>
      <c r="F3" s="234" t="s">
        <v>18</v>
      </c>
      <c r="G3" s="631">
        <f>NOW()</f>
        <v>45341.384371782406</v>
      </c>
      <c r="H3" s="632"/>
      <c r="I3" s="63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8" t="s">
        <v>20</v>
      </c>
      <c r="E4" s="628"/>
      <c r="F4" s="628"/>
      <c r="G4" s="628"/>
      <c r="H4" s="628"/>
      <c r="I4" s="62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552.5</v>
      </c>
      <c r="K6" s="240">
        <f>B6*J6</f>
        <v>4420</v>
      </c>
      <c r="L6" s="241">
        <f>(K6)/$G$79</f>
        <v>0.020956305101922597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3038.75</v>
      </c>
      <c r="K7" s="240">
        <f>B7*J7</f>
        <v>10635.625</v>
      </c>
      <c r="L7" s="241">
        <f>(K7)/$G$79</f>
        <v>0.050426109151501246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3640</v>
      </c>
      <c r="K8" s="240">
        <f>B8*J8</f>
        <v>5460</v>
      </c>
      <c r="L8" s="241">
        <f>(K8)/$G$79</f>
        <v>0.02588720042002203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20515.625</v>
      </c>
      <c r="L9" s="244">
        <f>Table1[[#Totals],[اجمالي]]/$G$79</f>
        <v>0.097269614673445873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8" t="s">
        <v>60</v>
      </c>
      <c r="E10" s="628"/>
      <c r="F10" s="628"/>
      <c r="G10" s="628"/>
      <c r="H10" s="628"/>
      <c r="I10" s="628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8" t="s">
        <v>76</v>
      </c>
      <c r="E15" s="628"/>
      <c r="F15" s="628"/>
      <c r="G15" s="628"/>
      <c r="H15" s="628"/>
      <c r="I15" s="628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0.0037929963985380267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0.0035559341236294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0.0016120234693786613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0.00035559341236294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0.00142237364945176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0.000426712094835528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0.023706227490862666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0.00018964981992690132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0.0142237364945176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0.00284474729890352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0.052129994252407004</v>
      </c>
    </row>
    <row r="28" ht="21" customHeight="1" s="216" customFormat="1">
      <c r="C28" s="217"/>
      <c r="D28" s="628" t="s">
        <v>99</v>
      </c>
      <c r="E28" s="628"/>
      <c r="F28" s="628"/>
      <c r="G28" s="628"/>
      <c r="H28" s="628"/>
      <c r="I28" s="62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910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65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8" t="s">
        <v>102</v>
      </c>
      <c r="E33" s="628"/>
      <c r="F33" s="628"/>
      <c r="G33" s="628"/>
      <c r="H33" s="628"/>
      <c r="I33" s="62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0.00035559341236294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0.00035559341236294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0.00059265568727156668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0.0035559341236294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0.00094824909963450667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0.0059297177030477816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0.0016507020510742796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0.015883172418877989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0.0324016717345111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400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500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13007.824561403511</v>
      </c>
      <c r="L49" s="244">
        <f>Table13[[#Totals],[اجمالي]]/$G$79</f>
        <v>0.0616732896427725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8" t="s">
        <v>119</v>
      </c>
      <c r="E51" s="628"/>
      <c r="F51" s="628"/>
      <c r="G51" s="628"/>
      <c r="H51" s="628"/>
      <c r="I51" s="62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240</v>
      </c>
      <c r="J53" s="414">
        <f>Table1610[[#This Row],[سعر الكيلو]]*Table1610[[#This Row],[الوزن]]</f>
        <v>420</v>
      </c>
      <c r="K53" s="240">
        <f>B53*J53</f>
        <v>1680</v>
      </c>
      <c r="L53" s="241">
        <f>(Table1610[[#This Row],[اجمالي]])/$G$79</f>
        <v>0.0079652924369298557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0.015409047869060734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4930</v>
      </c>
      <c r="L55" s="244">
        <f>Table1610[[#Totals],[اجمالي]]/$G$79</f>
        <v>0.023374340305990587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8" t="s">
        <v>123</v>
      </c>
      <c r="E56" s="628"/>
      <c r="F56" s="628"/>
      <c r="G56" s="628"/>
      <c r="H56" s="628"/>
      <c r="I56" s="62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2979.127132613336</v>
      </c>
      <c r="I58" s="247"/>
      <c r="J58" s="414">
        <f>IF((Table1611[[#This Row],[عدد]]&gt;0),'Cutting Ro-1'!O8,0)</f>
        <v>119165.08530453344</v>
      </c>
      <c r="K58" s="240">
        <f>B58*Table1611[[#This Row],[سعر البرجولا كاملة]]</f>
        <v>119165.08530453344</v>
      </c>
      <c r="L58" s="241">
        <f>(K58)/$G$79</f>
        <v>0.56499092423946506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119165.08530453344</v>
      </c>
      <c r="K59" s="240">
        <f>B59*Table1611[[#This Row],[سعر البرجولا كاملة]]</f>
        <v>11916.508530453344</v>
      </c>
      <c r="L59" s="241">
        <f>(K59)/$G$79</f>
        <v>0.056499092423946504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131081.59383498679</v>
      </c>
      <c r="L60" s="244">
        <f>Table1611[[#Totals],[اجمالي]]/$G$79</f>
        <v>0.62149001666341164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8" t="s">
        <v>133</v>
      </c>
      <c r="E61" s="628"/>
      <c r="F61" s="628"/>
      <c r="G61" s="628"/>
      <c r="H61" s="628"/>
      <c r="I61" s="62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0.0037929963985380267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0.00284474729890352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0.00568949459780704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0.00426712094835528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0.01849085744287288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0.013868143082154659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0.01849085744287288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0.012516888115175488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0.018964981992690134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0.0142237364945176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0.021809729291593652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0.0091031913564912637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0.14406274446197243</v>
      </c>
    </row>
    <row r="77" ht="18.75">
      <c r="A77" s="216"/>
      <c r="B77" s="216"/>
      <c r="C77" s="217"/>
      <c r="D77" s="621"/>
      <c r="E77" s="621"/>
      <c r="F77" s="621"/>
      <c r="G77" s="621"/>
      <c r="H77" s="621"/>
      <c r="I77" s="62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210915.04339639031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274189.55641530739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B7024081-9A89-4276-AF47-775A19BFAEE6}">
      <formula1>$N$2:$N$20</formula1>
    </dataValidation>
    <dataValidation type="list" allowBlank="1" showInputMessage="1" showErrorMessage="1" sqref="G63:G75" xr:uid="{5B904559-C3F8-4259-83CF-E60A5F00E175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2" t="s">
        <v>0</v>
      </c>
      <c r="B1" s="623"/>
      <c r="C1" s="62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5"/>
      <c r="B2" s="626"/>
      <c r="C2" s="62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65000</v>
      </c>
      <c r="I2" s="231">
        <f>Sheet2!B13</f>
        <v>75000</v>
      </c>
      <c r="J2" s="232">
        <f>Sheet2!B14</f>
        <v>240000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9" t="s">
        <v>17</v>
      </c>
      <c r="B3" s="630"/>
      <c r="C3" s="408"/>
      <c r="F3" s="234" t="s">
        <v>18</v>
      </c>
      <c r="G3" s="631">
        <f>NOW()</f>
        <v>45341.384371782406</v>
      </c>
      <c r="H3" s="632"/>
      <c r="I3" s="63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8" t="s">
        <v>20</v>
      </c>
      <c r="E4" s="628"/>
      <c r="F4" s="628"/>
      <c r="G4" s="628"/>
      <c r="H4" s="628"/>
      <c r="I4" s="62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552.5</v>
      </c>
      <c r="K6" s="240">
        <f>B6*J6</f>
        <v>2762.5</v>
      </c>
      <c r="L6" s="241">
        <f>(K6)/$G$84</f>
        <v>0.0071828312477758534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3038.75</v>
      </c>
      <c r="K7" s="240">
        <f ref="K7:K9" t="shared" si="2">B7*J7</f>
        <v>24310</v>
      </c>
      <c r="L7" s="241">
        <f>(K7)/$G$84</f>
        <v>0.063208914980427508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1836.25</v>
      </c>
      <c r="K8" s="240">
        <f t="shared" si="2"/>
        <v>5508.75</v>
      </c>
      <c r="L8" s="241">
        <f>(K8)/$G$84</f>
        <v>0.014323410547035379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3640</v>
      </c>
      <c r="K9" s="240">
        <f t="shared" si="2"/>
        <v>7280</v>
      </c>
      <c r="L9" s="241">
        <f>(K9)/$G$84</f>
        <v>0.018928872935315193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39861.25</v>
      </c>
      <c r="L10" s="244">
        <f>Table118[[#Totals],[اجمالي]]/$G$84</f>
        <v>0.10364402971055393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8" t="s">
        <v>60</v>
      </c>
      <c r="E11" s="628"/>
      <c r="F11" s="628"/>
      <c r="G11" s="628"/>
      <c r="H11" s="628"/>
      <c r="I11" s="628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8" t="s">
        <v>76</v>
      </c>
      <c r="E16" s="628"/>
      <c r="F16" s="628"/>
      <c r="G16" s="628"/>
      <c r="H16" s="628"/>
      <c r="I16" s="62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0.00312014389043657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0.0026001199086971415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0.0011050509611962851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0.00058502697945685687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0.0024961151123492559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0.000312014389043657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0.0312014389043657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0.00010400479634788567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0.0023401079178274275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0.043864022859720783</v>
      </c>
    </row>
    <row r="29" ht="18.75" s="216" customFormat="1">
      <c r="C29" s="217"/>
      <c r="D29" s="628" t="s">
        <v>99</v>
      </c>
      <c r="E29" s="628"/>
      <c r="F29" s="628"/>
      <c r="G29" s="628"/>
      <c r="H29" s="628"/>
      <c r="I29" s="62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65</v>
      </c>
      <c r="J31" s="243">
        <f ref="J31:J32" t="shared" si="8">H31*$H$2/1000</f>
        <v>910</v>
      </c>
      <c r="K31" s="240">
        <f ref="K31:K32" t="shared" si="9">B31*J31</f>
        <v>7280</v>
      </c>
      <c r="L31" s="241">
        <f>(K31)/$G$84</f>
        <v>0.018928872935315193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65</v>
      </c>
      <c r="J32" s="243">
        <f t="shared" si="8"/>
        <v>97.5</v>
      </c>
      <c r="K32" s="240">
        <f t="shared" si="9"/>
        <v>3120</v>
      </c>
      <c r="L32" s="251">
        <f>(K32)/$G$84</f>
        <v>0.0081123741151350823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10400</v>
      </c>
      <c r="L33" s="244">
        <f>Table1624[[#Totals],[اجمالي]]/$G$84</f>
        <v>0.027041247050450273</v>
      </c>
    </row>
    <row r="34" ht="18.75" s="216" customFormat="1">
      <c r="C34" s="217"/>
      <c r="D34" s="628" t="s">
        <v>102</v>
      </c>
      <c r="E34" s="628"/>
      <c r="F34" s="628"/>
      <c r="G34" s="628"/>
      <c r="H34" s="628"/>
      <c r="I34" s="62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0.00624028778087314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0.00046802158356548548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0.00019500899315228563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0.00019500899315228563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0.00065002997717428538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0.0019500899315228562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0.00052002398173942835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400</v>
      </c>
      <c r="J46" s="248"/>
      <c r="K46" s="240">
        <f>B46*Table1319[[#This Row],[سعر الكيلو]]</f>
        <v>8000</v>
      </c>
      <c r="L46" s="251">
        <f t="shared" si="11"/>
        <v>0.020800959269577132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500</v>
      </c>
      <c r="J47" s="248"/>
      <c r="K47" s="240">
        <f>B47*Table1319[[#This Row],[سعر الكيلو]]</f>
        <v>10000</v>
      </c>
      <c r="L47" s="251">
        <f t="shared" si="11"/>
        <v>0.026001199086971415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0.0020800959269577134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0.0020800959269577134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23530</v>
      </c>
      <c r="L50" s="244">
        <f>Table1319[[#Totals],[اجمالي]]/$G$84</f>
        <v>0.061180821451643747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8" t="s">
        <v>119</v>
      </c>
      <c r="E52" s="628"/>
      <c r="F52" s="628"/>
      <c r="G52" s="628"/>
      <c r="H52" s="628"/>
      <c r="I52" s="62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240</v>
      </c>
      <c r="J54" s="414">
        <f>Table161027[[#This Row],[سعر الكيلو]]*Table161027[[#This Row],[الوزن]]</f>
        <v>420</v>
      </c>
      <c r="K54" s="240">
        <f ref="K54:K55" t="shared" si="13">B54*J54</f>
        <v>2100</v>
      </c>
      <c r="L54" s="241">
        <f>(Table161027[[#This Row],[اجمالي]])/$G$84</f>
        <v>0.0054602518082639976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0.084503897032657108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34600</v>
      </c>
      <c r="L56" s="241">
        <f>Table161027[[#Totals],[اجمالي]]/$G$84</f>
        <v>0.0899641488409211</v>
      </c>
    </row>
    <row r="57" ht="18.75" s="216" customFormat="1">
      <c r="C57" s="217"/>
      <c r="D57" s="628" t="s">
        <v>123</v>
      </c>
      <c r="E57" s="628"/>
      <c r="F57" s="628"/>
      <c r="G57" s="628"/>
      <c r="H57" s="628"/>
      <c r="I57" s="62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2161.3295214057739</v>
      </c>
      <c r="I59" s="247"/>
      <c r="J59" s="414">
        <f>IF((Table161128[[#This Row],[عدد]]&gt;0),'Cutting Ro-2'!O8,0)</f>
        <v>207487.63405495428</v>
      </c>
      <c r="K59" s="240">
        <f>Table161128[[#This Row],[عدد]]*Table161128[[#This Row],[سعر البرجولا كاملة]]</f>
        <v>207487.63405495428</v>
      </c>
      <c r="L59" s="241">
        <f>(K59)/$G$84</f>
        <v>0.53949272811475368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207487.63405495428</v>
      </c>
      <c r="K60" s="240">
        <f>Table161128[[#This Row],[عدد]]*Table161128[[#This Row],[سعر البرجولا كاملة]]</f>
        <v>20748.763405495429</v>
      </c>
      <c r="L60" s="241">
        <f>(K60)/$G$84</f>
        <v>0.053949272811475366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228236.39746044972</v>
      </c>
      <c r="L61" s="244">
        <f>Table161128[[#Totals],[اجمالي]]/$G$84</f>
        <v>0.593442000926229</v>
      </c>
    </row>
    <row r="62" ht="18.75" s="216" customFormat="1">
      <c r="C62" s="217"/>
      <c r="D62" s="628" t="s">
        <v>131</v>
      </c>
      <c r="E62" s="628"/>
      <c r="F62" s="628"/>
      <c r="G62" s="628"/>
      <c r="H62" s="628"/>
      <c r="I62" s="62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8" t="s">
        <v>133</v>
      </c>
      <c r="E66" s="628"/>
      <c r="F66" s="628"/>
      <c r="G66" s="628"/>
      <c r="H66" s="628"/>
      <c r="I66" s="62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0.00312014389043657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0.0015600719452182851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0.0046802158356548549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0.00312014389043657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0.010140467643918853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0.010140467643918853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0.010140467643918853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0.006864316558960454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0.011700539589137138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0.0078003597260914246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0.0059802757900034257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0.0056162590027858256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0.08086372916048111</v>
      </c>
    </row>
    <row r="82" ht="18.75">
      <c r="A82" s="216"/>
      <c r="B82" s="216"/>
      <c r="C82" s="217"/>
      <c r="D82" s="621"/>
      <c r="E82" s="621"/>
      <c r="F82" s="621"/>
      <c r="G82" s="621"/>
      <c r="H82" s="621"/>
      <c r="I82" s="62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384597.64746044972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499976.94169858465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EB2D872F-C8DA-4B68-BC59-B1117E3FF6C0}">
      <formula1>$U$4:$U$5</formula1>
    </dataValidation>
    <dataValidation type="list" allowBlank="1" showInputMessage="1" showErrorMessage="1" sqref="F72:F80" xr:uid="{EFE17244-2070-4412-A67B-B8FAC1563FA4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2" t="s">
        <v>0</v>
      </c>
      <c r="M1" s="623"/>
      <c r="N1" s="62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5"/>
      <c r="M2" s="626"/>
      <c r="N2" s="62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240000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255</v>
      </c>
      <c r="E3" s="187">
        <v>2</v>
      </c>
      <c r="F3" s="395">
        <f>B3*C3*D3*E3</f>
        <v>5737.5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9" t="s">
        <v>17</v>
      </c>
      <c r="M3" s="63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1">
        <f>NOW()</f>
        <v>45341.384371967593</v>
      </c>
      <c r="S3" s="632"/>
      <c r="T3" s="63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255</v>
      </c>
      <c r="E4" s="187">
        <f>CEILING(D1/60,1)+1</f>
        <v>10</v>
      </c>
      <c r="F4" s="395">
        <f>B4*C4*D4*E4</f>
        <v>3570.0000000000005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8" t="s">
        <v>20</v>
      </c>
      <c r="P4" s="628"/>
      <c r="Q4" s="628"/>
      <c r="R4" s="628"/>
      <c r="S4" s="628"/>
      <c r="T4" s="62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552.5</v>
      </c>
      <c r="V6" s="240">
        <f>M6*U6</f>
        <v>1657.5</v>
      </c>
      <c r="W6" s="241">
        <f>(V6)/$R$71</f>
        <v>0.02876550495997731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1852.5</v>
      </c>
      <c r="V7" s="240">
        <f>M7*U7</f>
        <v>4631.25</v>
      </c>
      <c r="W7" s="241">
        <f>(V7)/$R$71</f>
        <v>0.080374205035230725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6288.75</v>
      </c>
      <c r="W8" s="244">
        <f>Table158[[#Totals],[اجمالي]]/$R$71</f>
        <v>0.10913970999520803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8" t="s">
        <v>76</v>
      </c>
      <c r="P9" s="628"/>
      <c r="Q9" s="628"/>
      <c r="R9" s="628"/>
      <c r="S9" s="628"/>
      <c r="T9" s="62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0.0069419016494666206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0.0029503082010233139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0.0013016065592749914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0.0020825704948399864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1781.3</v>
      </c>
      <c r="F15" s="398">
        <f>SUBTOTAL(109,Table8[اجمالي التكلفة])</f>
        <v>22266.25</v>
      </c>
      <c r="G15" s="397"/>
      <c r="H15" s="397"/>
      <c r="I15" s="397"/>
      <c r="J15" s="397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0.034709508247333105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0.047985895151938018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8" t="s">
        <v>99</v>
      </c>
      <c r="P19" s="628"/>
      <c r="Q19" s="628"/>
      <c r="R19" s="628"/>
      <c r="S19" s="628"/>
      <c r="T19" s="62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8" t="s">
        <v>102</v>
      </c>
      <c r="P24" s="628"/>
      <c r="Q24" s="628"/>
      <c r="R24" s="628"/>
      <c r="S24" s="628"/>
      <c r="T24" s="62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0.00078096393556499491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0.00078096393556499491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0.00043386885309166379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0.0026032131185499828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0.0013883803298933243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0.0032882692023789256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400</v>
      </c>
      <c r="V41" s="240">
        <f t="shared" si="5"/>
        <v>2000</v>
      </c>
      <c r="W41" s="251">
        <f t="shared" si="4" ca="1"/>
        <v>0.034709508247333105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500</v>
      </c>
      <c r="V42" s="240">
        <f t="shared" si="5"/>
        <v>2500</v>
      </c>
      <c r="W42" s="251">
        <f t="shared" si="4" ca="1"/>
        <v>0.04338688530916638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0.013883803298933241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0.013883803298933241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6634.4736842105267</v>
      </c>
      <c r="W45" s="244">
        <f>Table1359[[#Totals],[اجمالي]]/$R$71</f>
        <v>0.11513965952940987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8" t="s">
        <v>131</v>
      </c>
      <c r="P47" s="628"/>
      <c r="Q47" s="628"/>
      <c r="R47" s="628"/>
      <c r="S47" s="628"/>
      <c r="T47" s="62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22266.25</v>
      </c>
      <c r="V50" s="240">
        <f>M50*Table161368[[#This Row],[سعر الشبك ]]</f>
        <v>22266.25</v>
      </c>
      <c r="W50" s="241">
        <f t="shared" si="6" ca="1"/>
        <v>0.38642529400609038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22266.25</v>
      </c>
      <c r="V51" s="240">
        <f>M51*Table161368[[#This Row],[سعر الشبك ]]</f>
        <v>2226.625</v>
      </c>
      <c r="W51" s="241">
        <f t="shared" si="6" ca="1"/>
        <v>0.038642529400609041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24492.875</v>
      </c>
      <c r="W52" s="244">
        <f>Table161368[[#Totals],[اجمالي]]/$R$71</f>
        <v>0.42506782340669941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8" t="s">
        <v>133</v>
      </c>
      <c r="P53" s="628"/>
      <c r="Q53" s="628"/>
      <c r="R53" s="628"/>
      <c r="S53" s="628"/>
      <c r="T53" s="62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0.0069419016494666206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0.0069419016494666206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0.010412852474199931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0.010412852474199931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0.045122360721533035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0.033841770541149778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0.022561180360766517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0.0458165508864797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0.030370819716416468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0.07983186896886614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0.010412852474199931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0.30266691191674466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1"/>
      <c r="P69" s="621"/>
      <c r="Q69" s="621"/>
      <c r="R69" s="621"/>
      <c r="S69" s="621"/>
      <c r="T69" s="62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57621.098684210527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74907.428289473683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39209144-A6B2-4655-AAF7-F2C136C72CD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2" t="s">
        <v>0</v>
      </c>
      <c r="M1" s="623"/>
      <c r="N1" s="62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5"/>
      <c r="M2" s="626"/>
      <c r="N2" s="62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65000</v>
      </c>
      <c r="T2" s="231">
        <f>Sheet2!B13</f>
        <v>75000</v>
      </c>
      <c r="U2" s="232">
        <f>Sheet2!B14</f>
        <v>240000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255</v>
      </c>
      <c r="E3" s="187">
        <v>2</v>
      </c>
      <c r="F3" s="395">
        <f>B3*C3*D3*E3</f>
        <v>8032.5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9" t="s">
        <v>17</v>
      </c>
      <c r="M3" s="63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1">
        <f>NOW()</f>
        <v>45341.384371967593</v>
      </c>
      <c r="S3" s="632"/>
      <c r="T3" s="63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255</v>
      </c>
      <c r="E4" s="187">
        <f>CEILING(D1/60,1)+1</f>
        <v>13</v>
      </c>
      <c r="F4" s="395">
        <f>B4*C4*D4*E4</f>
        <v>9282.0000000000018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8" t="s">
        <v>20</v>
      </c>
      <c r="P4" s="628"/>
      <c r="Q4" s="628"/>
      <c r="R4" s="628"/>
      <c r="S4" s="628"/>
      <c r="T4" s="62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552.5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1852.5</v>
      </c>
      <c r="V7" s="240">
        <f>M7*U7</f>
        <v>7410</v>
      </c>
      <c r="W7" s="241">
        <f>(V7)/$R$71</f>
        <v>0.095445227081848438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7410</v>
      </c>
      <c r="W8" s="244">
        <f>Table15855[[#Totals],[اجمالي]]/$R$71</f>
        <v>0.095445227081848438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8" t="s">
        <v>76</v>
      </c>
      <c r="P9" s="628"/>
      <c r="Q9" s="628"/>
      <c r="R9" s="628"/>
      <c r="S9" s="628"/>
      <c r="T9" s="62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0.0051522389787772432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0.0021897015659803286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0.00096604480852073311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0.0061826867745326921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4" t="s">
        <v>467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1125.4142857142858</v>
      </c>
      <c r="F17" s="398">
        <f>SUBTOTAL(109,Table823[اجمالي التكلفة])</f>
        <v>39389.5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0.014490672127810998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470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8" t="s">
        <v>99</v>
      </c>
      <c r="P19" s="628"/>
      <c r="Q19" s="628"/>
      <c r="R19" s="628"/>
      <c r="S19" s="628"/>
      <c r="T19" s="62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455</v>
      </c>
      <c r="V21" s="240">
        <f>M21*U21</f>
        <v>1820</v>
      </c>
      <c r="W21" s="241">
        <f>(V21)/$R$71</f>
        <v>0.023442687353436457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48.75</v>
      </c>
      <c r="V22" s="240">
        <f>M22*U22</f>
        <v>780</v>
      </c>
      <c r="W22" s="251">
        <f>(V22)/$R$71</f>
        <v>0.010046866008615625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2600</v>
      </c>
      <c r="W23" s="244">
        <f>Table166241[[#Totals],[اجمالي]]/$R$71</f>
        <v>0.033489553362052081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8" t="s">
        <v>102</v>
      </c>
      <c r="P24" s="628"/>
      <c r="Q24" s="628"/>
      <c r="R24" s="628"/>
      <c r="S24" s="628"/>
      <c r="T24" s="62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0.0038985274939414487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0.00057962688511243991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0.00057962688511243991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0.00096604480852073311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0.0057962688511243986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0.001545671693633173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0.00244053425310501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0.039672240136584776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400</v>
      </c>
      <c r="V41" s="240">
        <f t="shared" si="5"/>
        <v>4000</v>
      </c>
      <c r="W41" s="251">
        <f t="shared" si="4"/>
        <v>0.051522389787772432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500</v>
      </c>
      <c r="V42" s="240">
        <f t="shared" si="5"/>
        <v>5000</v>
      </c>
      <c r="W42" s="251">
        <f t="shared" si="4"/>
        <v>0.064402987234715547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0.0018712931970918951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0.0018712931970918951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13597.700350877194</v>
      </c>
      <c r="W45" s="528">
        <f>Table135926[[#Totals],[اجمالي]]/$R$71</f>
        <v>0.17514650442380619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8" t="s">
        <v>131</v>
      </c>
      <c r="P47" s="628"/>
      <c r="Q47" s="628"/>
      <c r="R47" s="628"/>
      <c r="S47" s="628"/>
      <c r="T47" s="62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39389.5</v>
      </c>
      <c r="V50" s="240">
        <f>M50*Table16136845[[#This Row],[سعر الشبك ]]</f>
        <v>39389.5</v>
      </c>
      <c r="W50" s="241">
        <f t="shared" si="6"/>
        <v>0.50736029313636555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39389.5</v>
      </c>
      <c r="V51" s="240">
        <f>M51*Table16136845[[#This Row],[سعر الشبك ]]</f>
        <v>3938.9500000000003</v>
      </c>
      <c r="W51" s="241">
        <f t="shared" si="6"/>
        <v>0.050736029313636563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43328.45</v>
      </c>
      <c r="W52" s="244">
        <f>Table16136845[[#Totals],[اجمالي]]/$R$71</f>
        <v>0.55809632245000207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8" t="s">
        <v>133</v>
      </c>
      <c r="P53" s="628"/>
      <c r="Q53" s="628"/>
      <c r="R53" s="628"/>
      <c r="S53" s="628"/>
      <c r="T53" s="62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0.010304477957554487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0.010304477957554487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0.0051522389787772432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0.0077283584681658649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0.016744776681026041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0.012558582510769531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0.030913433872663459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0.029625374127969149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0.12333172055448026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1"/>
      <c r="P69" s="621"/>
      <c r="Q69" s="621"/>
      <c r="R69" s="621"/>
      <c r="S69" s="621"/>
      <c r="T69" s="62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77636.150350877186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100926.99545614034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D48EC5D-2314-479C-B27D-D8DCC599CEDE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abSelected="1" topLeftCell="D1" zoomScaleNormal="100" workbookViewId="0">
      <selection activeCell="G10" sqref="G10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475</v>
      </c>
      <c r="B2" s="323" t="s">
        <v>199</v>
      </c>
      <c r="C2" s="323" t="s">
        <v>476</v>
      </c>
      <c r="E2" s="324" t="s">
        <v>9</v>
      </c>
      <c r="F2" s="323" t="s">
        <v>30</v>
      </c>
      <c r="H2" s="329" t="s">
        <v>9</v>
      </c>
      <c r="I2" s="364" t="s">
        <v>477</v>
      </c>
      <c r="J2" s="365" t="s">
        <v>478</v>
      </c>
      <c r="K2" s="366" t="s">
        <v>479</v>
      </c>
      <c r="M2" s="367" t="s">
        <v>480</v>
      </c>
      <c r="N2" s="367" t="s">
        <v>481</v>
      </c>
      <c r="O2" s="0" t="s">
        <v>9</v>
      </c>
      <c r="P2" s="368"/>
      <c r="R2" s="343"/>
      <c r="S2" s="323" t="s">
        <v>199</v>
      </c>
      <c r="T2" s="323" t="s">
        <v>476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8"/>
    </row>
    <row r="3" ht="26.25">
      <c r="A3" s="330" t="s">
        <v>482</v>
      </c>
      <c r="B3" s="331">
        <v>2.5</v>
      </c>
      <c r="C3" s="331">
        <v>11.75</v>
      </c>
      <c r="E3" s="331" t="s">
        <v>483</v>
      </c>
      <c r="F3" s="331">
        <f>Sheet2!B42</f>
        <v>650</v>
      </c>
      <c r="H3" s="332" t="s">
        <v>484</v>
      </c>
      <c r="I3" s="369">
        <v>2</v>
      </c>
      <c r="J3" s="370">
        <v>75</v>
      </c>
      <c r="K3" s="371">
        <f ref="K3:K10" t="shared" si="0">I3*J3</f>
        <v>150</v>
      </c>
      <c r="M3" s="372" t="s">
        <v>485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2" t="str">
        <f>IF((N6&gt;0),"OK","WAIT")</f>
        <v>OK</v>
      </c>
      <c r="P3" s="368"/>
      <c r="R3" s="343"/>
      <c r="S3" s="386" t="s">
        <v>450</v>
      </c>
      <c r="T3" s="331">
        <v>17</v>
      </c>
      <c r="U3" s="323"/>
      <c r="V3" s="331" t="s">
        <v>483</v>
      </c>
      <c r="W3" s="331">
        <f>Sheet2!B42</f>
        <v>650</v>
      </c>
      <c r="X3" s="323"/>
      <c r="Y3" s="342" t="s">
        <v>486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485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482</v>
      </c>
      <c r="B4" s="331">
        <v>2.7</v>
      </c>
      <c r="C4" s="331">
        <v>13.5</v>
      </c>
      <c r="E4" s="331" t="s">
        <v>487</v>
      </c>
      <c r="F4" s="331">
        <f>Sheet2!B43</f>
        <v>150</v>
      </c>
      <c r="H4" s="332" t="s">
        <v>488</v>
      </c>
      <c r="I4" s="369">
        <v>2</v>
      </c>
      <c r="J4" s="370">
        <v>7</v>
      </c>
      <c r="K4" s="371">
        <f t="shared" si="0"/>
        <v>14</v>
      </c>
      <c r="M4" s="372" t="s">
        <v>489</v>
      </c>
      <c r="N4" s="372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2" t="str">
        <f>IF((N10=0),"WAIT","OK")</f>
        <v>OK</v>
      </c>
      <c r="P4" s="368"/>
      <c r="R4" s="343"/>
      <c r="S4" s="386" t="s">
        <v>200</v>
      </c>
      <c r="T4" s="331">
        <v>18.75</v>
      </c>
      <c r="U4" s="323"/>
      <c r="V4" s="331" t="s">
        <v>487</v>
      </c>
      <c r="W4" s="331">
        <f>Sheet2!B43</f>
        <v>150</v>
      </c>
      <c r="X4" s="323"/>
      <c r="Y4" s="342" t="s">
        <v>488</v>
      </c>
      <c r="Z4" s="378">
        <v>2</v>
      </c>
      <c r="AA4" s="331">
        <v>15</v>
      </c>
      <c r="AB4" s="331">
        <f t="shared" si="1"/>
        <v>30</v>
      </c>
      <c r="AD4" s="391" t="s">
        <v>489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482</v>
      </c>
      <c r="B5" s="331">
        <v>3</v>
      </c>
      <c r="C5" s="331">
        <v>13.5</v>
      </c>
      <c r="E5" s="331" t="s">
        <v>181</v>
      </c>
      <c r="F5" s="331">
        <f>Sheet2!B44</f>
        <v>200</v>
      </c>
      <c r="H5" s="332" t="s">
        <v>490</v>
      </c>
      <c r="I5" s="369">
        <v>16</v>
      </c>
      <c r="J5" s="370">
        <v>10</v>
      </c>
      <c r="K5" s="371">
        <f t="shared" si="0"/>
        <v>160</v>
      </c>
      <c r="M5" s="372" t="s">
        <v>491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8"/>
      <c r="R5" s="343"/>
      <c r="S5" s="331"/>
      <c r="T5" s="331"/>
      <c r="U5" s="323"/>
      <c r="V5" s="331" t="s">
        <v>181</v>
      </c>
      <c r="W5" s="331">
        <f>Sheet2!B44</f>
        <v>200</v>
      </c>
      <c r="X5" s="323"/>
      <c r="Y5" s="342" t="s">
        <v>492</v>
      </c>
      <c r="Z5" s="378">
        <v>1</v>
      </c>
      <c r="AA5" s="331">
        <v>150</v>
      </c>
      <c r="AB5" s="331">
        <f t="shared" si="1"/>
        <v>150</v>
      </c>
      <c r="AD5" s="391" t="s">
        <v>491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482</v>
      </c>
      <c r="B6" s="331">
        <v>3.5</v>
      </c>
      <c r="C6" s="331">
        <v>14.6</v>
      </c>
      <c r="E6" s="331" t="s">
        <v>493</v>
      </c>
      <c r="F6" s="331">
        <v>250</v>
      </c>
      <c r="H6" s="332" t="s">
        <v>494</v>
      </c>
      <c r="I6" s="369">
        <v>16</v>
      </c>
      <c r="J6" s="370">
        <v>1</v>
      </c>
      <c r="K6" s="371">
        <f t="shared" si="0"/>
        <v>16</v>
      </c>
      <c r="M6" s="372" t="s">
        <v>495</v>
      </c>
      <c r="N6" s="372">
        <f>(N5+'شماسي و كانتليفر'!F10)*(N4)</f>
        <v>3510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496</v>
      </c>
      <c r="W6" s="331">
        <v>250</v>
      </c>
      <c r="X6" s="323"/>
      <c r="Y6" s="342" t="s">
        <v>497</v>
      </c>
      <c r="Z6" s="378">
        <v>1</v>
      </c>
      <c r="AA6" s="331">
        <v>150</v>
      </c>
      <c r="AB6" s="331">
        <f t="shared" si="1"/>
        <v>150</v>
      </c>
      <c r="AD6" s="391" t="s">
        <v>495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4875</v>
      </c>
      <c r="AF6" s="391"/>
      <c r="AG6" s="368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332" t="s">
        <v>498</v>
      </c>
      <c r="I7" s="369">
        <v>2</v>
      </c>
      <c r="J7" s="370">
        <v>100</v>
      </c>
      <c r="K7" s="371">
        <f t="shared" si="0"/>
        <v>200</v>
      </c>
      <c r="M7" s="372" t="s">
        <v>499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200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500</v>
      </c>
      <c r="Z7" s="378">
        <v>1</v>
      </c>
      <c r="AA7" s="331">
        <v>150</v>
      </c>
      <c r="AB7" s="331">
        <f t="shared" si="1"/>
        <v>150</v>
      </c>
      <c r="AD7" s="391" t="s">
        <v>499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50</v>
      </c>
      <c r="H8" s="332" t="s">
        <v>501</v>
      </c>
      <c r="I8" s="369">
        <v>2</v>
      </c>
      <c r="J8" s="370">
        <v>20</v>
      </c>
      <c r="K8" s="371">
        <f t="shared" si="0"/>
        <v>40</v>
      </c>
      <c r="M8" s="372" t="s">
        <v>502</v>
      </c>
      <c r="N8" s="372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503</v>
      </c>
      <c r="Z8" s="378">
        <v>2</v>
      </c>
      <c r="AA8" s="331">
        <v>50</v>
      </c>
      <c r="AB8" s="331">
        <f t="shared" si="1"/>
        <v>100</v>
      </c>
      <c r="AD8" s="391" t="s">
        <v>502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332" t="s">
        <v>504</v>
      </c>
      <c r="I9" s="369">
        <v>7</v>
      </c>
      <c r="J9" s="370">
        <v>8</v>
      </c>
      <c r="K9" s="371">
        <f t="shared" si="0"/>
        <v>56</v>
      </c>
      <c r="M9" s="372" t="s">
        <v>505</v>
      </c>
      <c r="N9" s="372">
        <f>IF((تسعير!AM8="اسباني"),(N7*N8),IF((تسعير!AM8="بولي استر"),(N7*N8*1.42),IF((تسعير!AM8="hdpe"),(N7*N8*1.5),IF((تسعير!AM8="بدون"),(0),IF((تسعير!AM8="مصري "),(N7*N8*1.4),"v")))))</f>
        <v>2414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506</v>
      </c>
      <c r="Z9" s="378">
        <v>36</v>
      </c>
      <c r="AA9" s="331">
        <v>25</v>
      </c>
      <c r="AB9" s="331">
        <f t="shared" si="1"/>
        <v>900</v>
      </c>
      <c r="AD9" s="391" t="s">
        <v>505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16.5</v>
      </c>
      <c r="E10" s="331" t="s">
        <v>225</v>
      </c>
      <c r="F10" s="331">
        <f>W11</f>
        <v>240</v>
      </c>
      <c r="H10" s="332" t="s">
        <v>507</v>
      </c>
      <c r="I10" s="369">
        <v>8</v>
      </c>
      <c r="J10" s="370">
        <v>50</v>
      </c>
      <c r="K10" s="371">
        <f t="shared" si="0"/>
        <v>400</v>
      </c>
      <c r="M10" s="372" t="s">
        <v>508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509</v>
      </c>
      <c r="W10" s="331">
        <v>90</v>
      </c>
      <c r="X10" s="323"/>
      <c r="Y10" s="342" t="s">
        <v>510</v>
      </c>
      <c r="Z10" s="378">
        <v>1</v>
      </c>
      <c r="AA10" s="331">
        <v>75</v>
      </c>
      <c r="AB10" s="331">
        <f t="shared" si="1"/>
        <v>75</v>
      </c>
      <c r="AD10" s="391" t="s">
        <v>508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511</v>
      </c>
      <c r="F11" s="334">
        <v>450</v>
      </c>
      <c r="H11" s="335" t="s">
        <v>512</v>
      </c>
      <c r="I11" s="373"/>
      <c r="J11" s="374"/>
      <c r="K11" s="375">
        <v>250</v>
      </c>
      <c r="M11" s="372" t="s">
        <v>513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225</v>
      </c>
      <c r="W11" s="331">
        <f>Sheet2!B14/1000</f>
        <v>240</v>
      </c>
      <c r="X11" s="323"/>
      <c r="Y11" s="342" t="s">
        <v>514</v>
      </c>
      <c r="Z11" s="378">
        <v>1</v>
      </c>
      <c r="AA11" s="331">
        <v>75</v>
      </c>
      <c r="AB11" s="331">
        <f t="shared" si="1"/>
        <v>75</v>
      </c>
      <c r="AD11" s="391" t="s">
        <v>513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515</v>
      </c>
      <c r="F12" s="337">
        <v>450</v>
      </c>
      <c r="H12" s="338" t="s">
        <v>516</v>
      </c>
      <c r="I12" s="369"/>
      <c r="J12" s="370"/>
      <c r="K12" s="376">
        <f>Sheet2!B46</f>
        <v>3000</v>
      </c>
      <c r="M12" s="372" t="s">
        <v>517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511</v>
      </c>
      <c r="W12" s="331">
        <v>500</v>
      </c>
      <c r="X12" s="323"/>
      <c r="Y12" s="391" t="s">
        <v>516</v>
      </c>
      <c r="Z12" s="378"/>
      <c r="AA12" s="331"/>
      <c r="AB12" s="217">
        <f>Sheet2!B45</f>
        <v>4000</v>
      </c>
      <c r="AD12" s="391" t="s">
        <v>518</v>
      </c>
      <c r="AE12" s="391">
        <f>IF(تسعير!AG28="نصف جملة",((AE6+AE9+AE10+AE11+تسعير!AL28)*1.25),IF(تسعير!AG28="جملة",(((AE6+AE9+AE10+AE11+تسعير!AL28)*1.275)),((AE6+AE9+AE10+AE11+تسعير!AL28)*1.3)))</f>
        <v>26937.3</v>
      </c>
      <c r="AF12" s="391"/>
      <c r="AG12" s="368"/>
    </row>
    <row r="13" ht="18.75">
      <c r="A13" s="328"/>
      <c r="E13" s="339" t="s">
        <v>519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518</v>
      </c>
      <c r="N13" s="372">
        <f>IF(تسعير!AI8="نصف جملة",((N6+N9+N10+N11+تسعير!AO8)*1.275),IF(تسعير!AI8="جملة",(((N6+N9+N10+N11+تسعير!AO8)*1.25)),((N6+N9+N10+N11+تسعير!AO8)*1.3)))</f>
        <v>14443</v>
      </c>
      <c r="O13" s="372"/>
      <c r="P13" s="368"/>
      <c r="R13" s="343"/>
      <c r="S13" s="323"/>
      <c r="T13" s="323"/>
      <c r="U13" s="323"/>
      <c r="V13" s="331" t="s">
        <v>515</v>
      </c>
      <c r="W13" s="331">
        <v>500</v>
      </c>
      <c r="X13" s="323"/>
      <c r="Y13" s="342" t="s">
        <v>520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519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199</v>
      </c>
      <c r="I15" s="323" t="s">
        <v>521</v>
      </c>
      <c r="J15" s="323" t="s">
        <v>522</v>
      </c>
      <c r="K15" s="323" t="s">
        <v>523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524</v>
      </c>
      <c r="I16" s="331">
        <v>5.8</v>
      </c>
      <c r="J16" s="331">
        <v>8.6</v>
      </c>
      <c r="K16" s="331">
        <v>11.4</v>
      </c>
      <c r="M16" s="372"/>
      <c r="N16" s="372">
        <f>N6+N9+N10+N11+تسعير!AO8</f>
        <v>11110</v>
      </c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182</v>
      </c>
      <c r="H17" s="331" t="s">
        <v>525</v>
      </c>
      <c r="I17" s="331">
        <v>5.65</v>
      </c>
      <c r="J17" s="331" t="s">
        <v>526</v>
      </c>
      <c r="K17" s="331" t="s">
        <v>526</v>
      </c>
      <c r="P17" s="368"/>
      <c r="R17" s="343"/>
      <c r="V17" s="324" t="s">
        <v>9</v>
      </c>
      <c r="W17" s="323" t="s">
        <v>30</v>
      </c>
      <c r="X17" s="323"/>
      <c r="Y17" s="324" t="s">
        <v>199</v>
      </c>
      <c r="Z17" s="323" t="s">
        <v>521</v>
      </c>
      <c r="AA17" s="323" t="s">
        <v>522</v>
      </c>
      <c r="AB17" s="323" t="s">
        <v>523</v>
      </c>
      <c r="AG17" s="368"/>
    </row>
    <row r="18" ht="18.75">
      <c r="A18" s="343"/>
      <c r="E18" s="324" t="s">
        <v>527</v>
      </c>
      <c r="F18" s="323" t="s">
        <v>214</v>
      </c>
      <c r="H18" s="331" t="s">
        <v>528</v>
      </c>
      <c r="I18" s="331">
        <v>6.1</v>
      </c>
      <c r="J18" s="331" t="s">
        <v>526</v>
      </c>
      <c r="K18" s="331" t="s">
        <v>526</v>
      </c>
      <c r="P18" s="368"/>
      <c r="R18" s="343"/>
      <c r="V18" s="331" t="s">
        <v>179</v>
      </c>
      <c r="W18" s="342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529</v>
      </c>
      <c r="F19" s="323" t="s">
        <v>201</v>
      </c>
      <c r="H19" s="331" t="s">
        <v>530</v>
      </c>
      <c r="I19" s="331">
        <v>6.5</v>
      </c>
      <c r="J19" s="331" t="s">
        <v>526</v>
      </c>
      <c r="K19" s="331" t="s">
        <v>526</v>
      </c>
      <c r="P19" s="368"/>
      <c r="R19" s="343"/>
      <c r="V19" s="331" t="s">
        <v>527</v>
      </c>
      <c r="W19" s="342" t="s">
        <v>214</v>
      </c>
      <c r="X19" s="323"/>
      <c r="Y19" s="331" t="s">
        <v>200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531</v>
      </c>
      <c r="H20" s="331" t="s">
        <v>532</v>
      </c>
      <c r="I20" s="331">
        <v>7.5</v>
      </c>
      <c r="J20" s="331" t="s">
        <v>526</v>
      </c>
      <c r="K20" s="331" t="s">
        <v>526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533</v>
      </c>
      <c r="I21" s="331">
        <v>7.1</v>
      </c>
      <c r="J21" s="331">
        <v>10.6</v>
      </c>
      <c r="K21" s="331">
        <v>14.1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534</v>
      </c>
      <c r="I22" s="331">
        <v>8.5</v>
      </c>
      <c r="J22" s="331">
        <v>12.8</v>
      </c>
      <c r="K22" s="331">
        <v>17.1</v>
      </c>
      <c r="P22" s="368"/>
      <c r="R22" s="343"/>
      <c r="AG22" s="368"/>
    </row>
    <row r="23" ht="18.75">
      <c r="A23" s="343"/>
      <c r="H23" s="331" t="s">
        <v>535</v>
      </c>
      <c r="I23" s="331">
        <v>9.4</v>
      </c>
      <c r="J23" s="331">
        <v>14</v>
      </c>
      <c r="K23" s="331">
        <v>18.5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476</v>
      </c>
      <c r="C27" s="348" t="s">
        <v>29</v>
      </c>
      <c r="D27" s="348" t="s">
        <v>536</v>
      </c>
      <c r="E27" s="349" t="s">
        <v>448</v>
      </c>
      <c r="F27" s="348" t="s">
        <v>537</v>
      </c>
      <c r="G27" s="348" t="s">
        <v>442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538</v>
      </c>
      <c r="D28" s="331">
        <f>Sheet2!B12/1000</f>
        <v>65</v>
      </c>
      <c r="E28" s="324">
        <f>Table12[[#This Row],[سعر]]*Table12[[#This Row],[ميزان]]*Table12[[#This Row],[عدد]]</f>
        <v>10140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539</v>
      </c>
      <c r="D29" s="331">
        <f>Sheet2!B12/1000</f>
        <v>65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8" t="s">
        <v>133</v>
      </c>
      <c r="M29" s="628"/>
      <c r="N29" s="628"/>
      <c r="O29" s="628"/>
      <c r="P29" s="628"/>
      <c r="Q29" s="628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540</v>
      </c>
      <c r="D30" s="331">
        <f>Sheet2!B12/1000</f>
        <v>65</v>
      </c>
      <c r="E30" s="324">
        <f>Table12[[#This Row],[سعر]]*Table12[[#This Row],[ميزان]]*Table12[[#This Row],[عدد]]</f>
        <v>3640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541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542</v>
      </c>
      <c r="D31" s="331">
        <f>(Sheet2!B12/1000)+12</f>
        <v>77</v>
      </c>
      <c r="E31" s="324">
        <f>Table12[[#This Row],[سعر]]*Table12[[#This Row],[ميزان]]*Table12[[#This Row],[عدد]]</f>
        <v>2310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543</v>
      </c>
      <c r="D32" s="331">
        <f>(Sheet2!B12/1000)+12</f>
        <v>77</v>
      </c>
      <c r="E32" s="324">
        <f>Table12[[#This Row],[سعر]]*Table12[[#This Row],[ميزان]]*Table12[[#This Row],[عدد]]</f>
        <v>7084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544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545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546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510</v>
      </c>
      <c r="E37" s="353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250</v>
      </c>
      <c r="E38" s="353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250</v>
      </c>
      <c r="E39" s="353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400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547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548</v>
      </c>
      <c r="D48" s="331">
        <f>Sheet2!B12/1000</f>
        <v>65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549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550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551</v>
      </c>
      <c r="K49" s="214"/>
      <c r="L49" s="211"/>
      <c r="M49" s="290"/>
      <c r="N49" s="291">
        <f>Table12[[#Totals],[Column5]]+Table161243[[#Totals],[اجمالي]]</f>
        <v>57988</v>
      </c>
      <c r="U49" s="388"/>
    </row>
    <row r="50" ht="25.5" customHeight="1">
      <c r="A50" s="352">
        <f>A47*2</f>
        <v>4</v>
      </c>
      <c r="B50" s="331">
        <v>10</v>
      </c>
      <c r="C50" s="342" t="s">
        <v>552</v>
      </c>
      <c r="D50" s="331">
        <f>Sheet2!B12/1000</f>
        <v>65</v>
      </c>
      <c r="E50" s="353">
        <f>Table12[[#This Row],[سعر]]*Table12[[#This Row],[ميزان]]*Table12[[#This Row],[عدد]]</f>
        <v>2600</v>
      </c>
      <c r="J50" s="213" t="s">
        <v>155</v>
      </c>
      <c r="K50" s="214"/>
      <c r="L50" s="211"/>
      <c r="M50" s="290"/>
      <c r="N50" s="291">
        <f>N49+N48</f>
        <v>57988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75384.400000000009</v>
      </c>
      <c r="U51" s="388"/>
    </row>
    <row r="52" ht="25.5" customHeight="1">
      <c r="A52" s="352">
        <f>A48*4</f>
        <v>0</v>
      </c>
      <c r="B52" s="331">
        <v>1</v>
      </c>
      <c r="C52" s="342" t="s">
        <v>553</v>
      </c>
      <c r="D52" s="331">
        <f>Sheet2!B12/1000</f>
        <v>65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554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39143</v>
      </c>
      <c r="F54" s="356">
        <f>Table12[[#Totals],[Column5]]/(تسعير!T54*تسعير!T55/10000)</f>
        <v>1565.72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476</v>
      </c>
      <c r="C60" s="348" t="s">
        <v>29</v>
      </c>
      <c r="D60" s="348" t="s">
        <v>536</v>
      </c>
      <c r="E60" s="349" t="s">
        <v>448</v>
      </c>
      <c r="F60" s="348" t="s">
        <v>537</v>
      </c>
      <c r="G60" s="348" t="s">
        <v>442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538</v>
      </c>
      <c r="D61" s="331">
        <f>Sheet2!$B$12/1000</f>
        <v>65</v>
      </c>
      <c r="E61" s="324">
        <f>Table1257[[#This Row],[سعر]]*Table1257[[#This Row],[ميزان]]*Table1257[[#This Row],[عدد]]</f>
        <v>10140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539</v>
      </c>
      <c r="D62" s="331">
        <f>Sheet2!$B$12/1000</f>
        <v>65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8" t="s">
        <v>133</v>
      </c>
      <c r="M62" s="628"/>
      <c r="N62" s="628"/>
      <c r="O62" s="628"/>
      <c r="P62" s="628"/>
      <c r="Q62" s="628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540</v>
      </c>
      <c r="D63" s="331">
        <f>Sheet2!$B$12/1000</f>
        <v>65</v>
      </c>
      <c r="E63" s="324">
        <f>Table1257[[#This Row],[سعر]]*Table1257[[#This Row],[ميزان]]*Table1257[[#This Row],[عدد]]</f>
        <v>3640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542</v>
      </c>
      <c r="D64" s="331">
        <f>(Sheet2!B12/1000)+12</f>
        <v>77</v>
      </c>
      <c r="E64" s="324">
        <f>Table1257[[#This Row],[سعر]]*Table1257[[#This Row],[ميزان]]*Table1257[[#This Row],[عدد]]</f>
        <v>6930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555</v>
      </c>
      <c r="D65" s="331">
        <f>(Sheet2!B12/1000)+12</f>
        <v>77</v>
      </c>
      <c r="E65" s="324">
        <f>Table1257[[#This Row],[سعر]]*Table1257[[#This Row],[ميزان]]*Table1257[[#This Row],[عدد]]</f>
        <v>7084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544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545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510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546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510</v>
      </c>
      <c r="E71" s="353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250</v>
      </c>
      <c r="E72" s="353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400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547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549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548</v>
      </c>
      <c r="D82" s="331">
        <f>Sheet2!B12/1000</f>
        <v>65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551</v>
      </c>
      <c r="K82" s="214"/>
      <c r="L82" s="211"/>
      <c r="M82" s="290"/>
      <c r="N82" s="291">
        <f>Table1257[[#Totals],[Column5]]+Table16124360[[#Totals],[اجمالي]]</f>
        <v>70117</v>
      </c>
    </row>
    <row r="83" ht="18.75">
      <c r="A83" s="392">
        <f>A82*2</f>
        <v>0</v>
      </c>
      <c r="B83" s="331">
        <v>1</v>
      </c>
      <c r="C83" s="342" t="s">
        <v>550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70117</v>
      </c>
    </row>
    <row r="84" ht="18.75">
      <c r="A84" s="392">
        <f>A81*1.5</f>
        <v>3</v>
      </c>
      <c r="B84" s="331">
        <v>10</v>
      </c>
      <c r="C84" s="342" t="s">
        <v>552</v>
      </c>
      <c r="D84" s="331">
        <f>Sheet2!B12/1000</f>
        <v>65</v>
      </c>
      <c r="E84" s="353">
        <f>Table1257[[#This Row],[سعر]]*Table1257[[#This Row],[ميزان]]*Table1257[[#This Row],[عدد]]</f>
        <v>1950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94657.950000000012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553</v>
      </c>
      <c r="D86" s="331">
        <f>Sheet2!B12/1000</f>
        <v>65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554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44467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8CFE696-2EEE-44FA-AF3B-16791D60942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556</v>
      </c>
      <c r="B1" s="548">
        <f>(F1*D1)/10000</f>
        <v>50</v>
      </c>
      <c r="C1" s="549" t="s">
        <v>425</v>
      </c>
      <c r="D1" s="550">
        <f>تسعير!AT34</f>
        <v>200</v>
      </c>
      <c r="E1" s="549" t="s">
        <v>125</v>
      </c>
      <c r="F1" s="550">
        <f>تسعير!AT33</f>
        <v>2500</v>
      </c>
      <c r="G1" s="549" t="s">
        <v>173</v>
      </c>
      <c r="H1" s="550" t="str">
        <f>تسعير!AT26</f>
        <v>سادة</v>
      </c>
      <c r="I1" s="551">
        <v>125000</v>
      </c>
      <c r="J1" s="551"/>
      <c r="K1" s="192"/>
      <c r="L1" s="622" t="s">
        <v>0</v>
      </c>
      <c r="M1" s="623"/>
      <c r="N1" s="62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557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2" t="s">
        <v>0</v>
      </c>
      <c r="BH1" s="623"/>
      <c r="BI1" s="62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558</v>
      </c>
      <c r="D2" s="553" t="s">
        <v>30</v>
      </c>
      <c r="E2" s="553" t="s">
        <v>559</v>
      </c>
      <c r="F2" s="553" t="s">
        <v>560</v>
      </c>
      <c r="G2" s="543"/>
      <c r="H2" s="554" t="s">
        <v>561</v>
      </c>
      <c r="I2" s="554"/>
      <c r="J2" s="554" t="s">
        <v>562</v>
      </c>
      <c r="L2" s="625"/>
      <c r="M2" s="626"/>
      <c r="N2" s="62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65000</v>
      </c>
      <c r="T2" s="231">
        <f>Sheet2!B13</f>
        <v>75000</v>
      </c>
      <c r="U2" s="232">
        <f>Sheet2!B14</f>
        <v>240000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558</v>
      </c>
      <c r="AY2" s="194" t="s">
        <v>30</v>
      </c>
      <c r="AZ2" s="194" t="s">
        <v>559</v>
      </c>
      <c r="BA2" s="194" t="s">
        <v>560</v>
      </c>
      <c r="BC2" s="195" t="s">
        <v>561</v>
      </c>
      <c r="BD2" s="195"/>
      <c r="BE2" s="195" t="s">
        <v>562</v>
      </c>
      <c r="BG2" s="625"/>
      <c r="BH2" s="626"/>
      <c r="BI2" s="62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563</v>
      </c>
      <c r="B3" s="555">
        <f>ROUNDUP((12+((ROUNDUP((D1-210),15))/15)),0)</f>
        <v>12</v>
      </c>
      <c r="C3" s="556">
        <f>F1-16.5</f>
        <v>2483.5</v>
      </c>
      <c r="D3" s="553" t="s">
        <v>564</v>
      </c>
      <c r="E3" s="553">
        <v>2.3</v>
      </c>
      <c r="F3" s="553" t="e">
        <f>IF(($H$1="سادة"),(J3*H3*E3*($U$2+12000)/1000),(J3*H3*E3*($U$2+40000)/1000))</f>
        <v>#DIV/0!</v>
      </c>
      <c r="G3" s="543"/>
      <c r="H3" s="554">
        <f>IF(AND((C3&gt;=150),(C3&lt;201)),4,IF(AND((C3&gt;=201),(C3&lt;251)),5,IF(AND((C3&gt;=251),(C3&lt;401)),4,IF(AND((C3&gt;=401),(C3&lt;501)),5,0))))</f>
        <v>0</v>
      </c>
      <c r="I3" s="284">
        <f ref="I3:I8" t="shared" si="0">(H3*100)/C3</f>
        <v>0</v>
      </c>
      <c r="J3" s="557" t="e">
        <f ref="J3:J8" t="shared" si="1">B3/(ROUNDDOWN(I3,0))</f>
        <v>#DIV/0!</v>
      </c>
      <c r="L3" s="629" t="s">
        <v>17</v>
      </c>
      <c r="M3" s="630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1">
        <f>NOW()</f>
        <v>45341.384371967593</v>
      </c>
      <c r="S3" s="632"/>
      <c r="T3" s="63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563</v>
      </c>
      <c r="AW3" s="196">
        <f>ROUNDUP((12+((ROUNDUP((AY1-210),18))/18)),0)</f>
        <v>23</v>
      </c>
      <c r="AX3" s="197">
        <f>BA1-16.5</f>
        <v>483.5</v>
      </c>
      <c r="AY3" s="194" t="s">
        <v>564</v>
      </c>
      <c r="AZ3" s="194">
        <v>2</v>
      </c>
      <c r="BA3" s="194">
        <f>IF((تسعير!$AT$46="سادة"),(BE3*BC3*AZ3*(Sheet2!$B$14+12000)/1000),(BE3*BC3*AZ3*(Sheet2!$B$14+Sheet2!$B$15)/1000))</f>
        <v>66700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9" t="s">
        <v>17</v>
      </c>
      <c r="BH3" s="63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1">
        <f>NOW()</f>
        <v>45341.384371967593</v>
      </c>
      <c r="BN3" s="632"/>
      <c r="BO3" s="63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565</v>
      </c>
      <c r="B4" s="553">
        <v>2</v>
      </c>
      <c r="C4" s="555">
        <f>F1</f>
        <v>2500</v>
      </c>
      <c r="D4" s="553" t="s">
        <v>564</v>
      </c>
      <c r="E4" s="553">
        <v>3.8</v>
      </c>
      <c r="F4" s="553" t="e">
        <f ref="F4:F8" t="shared" si="2">IF(($H$1="سادة"),(J4*H4*E4*($U$2+12000)/1000),(J4*H4*E4*($U$2+40000)/1000))</f>
        <v>#DIV/0!</v>
      </c>
      <c r="G4" s="558"/>
      <c r="H4" s="554">
        <f>IF(AND((C4&gt;=200),(C4&lt;250)),5,IF(AND((C4&gt;=250),(C4&lt;=350)),7,IF(AND((C4&gt;350),(C4&lt;501)),5,IF(AND((C4&gt;=501),(C4&lt;701)),7,0))))</f>
        <v>0</v>
      </c>
      <c r="I4" s="284">
        <f t="shared" si="0"/>
        <v>0</v>
      </c>
      <c r="J4" s="557" t="e">
        <f t="shared" si="1"/>
        <v>#DIV/0!</v>
      </c>
      <c r="K4" s="1"/>
      <c r="L4" s="208"/>
      <c r="M4" s="208"/>
      <c r="N4" s="209"/>
      <c r="O4" s="628" t="s">
        <v>20</v>
      </c>
      <c r="P4" s="628"/>
      <c r="Q4" s="628"/>
      <c r="R4" s="628"/>
      <c r="S4" s="628"/>
      <c r="T4" s="62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566</v>
      </c>
      <c r="AW4" s="194">
        <v>2</v>
      </c>
      <c r="AX4" s="196">
        <f>BA1</f>
        <v>500</v>
      </c>
      <c r="AY4" s="194" t="s">
        <v>564</v>
      </c>
      <c r="AZ4" s="194">
        <v>1.7</v>
      </c>
      <c r="BA4" s="194">
        <f>IF((تسعير!$AT$46="سادة"),(BE4*BC4*AZ4*(Sheet2!$B$14+12000)/1000),(BE4*BC4*AZ4*(Sheet2!$B$14+Sheet2!$B$15)/1000))</f>
        <v>4930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8" t="s">
        <v>20</v>
      </c>
      <c r="BK4" s="628"/>
      <c r="BL4" s="628"/>
      <c r="BM4" s="628"/>
      <c r="BN4" s="628"/>
      <c r="BO4" s="62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52" t="s">
        <v>567</v>
      </c>
      <c r="B5" s="553">
        <v>2</v>
      </c>
      <c r="C5" s="555">
        <f>D1</f>
        <v>200</v>
      </c>
      <c r="D5" s="553" t="s">
        <v>564</v>
      </c>
      <c r="E5" s="553">
        <v>3.8</v>
      </c>
      <c r="F5" s="553">
        <f t="shared" si="2"/>
        <v>4788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2.5</v>
      </c>
      <c r="J5" s="557">
        <f t="shared" si="1"/>
        <v>1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568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567</v>
      </c>
      <c r="AW5" s="194">
        <v>2</v>
      </c>
      <c r="AX5" s="196">
        <f>AY1</f>
        <v>400</v>
      </c>
      <c r="AY5" s="194" t="s">
        <v>564</v>
      </c>
      <c r="AZ5" s="194">
        <v>1.7</v>
      </c>
      <c r="BA5" s="194">
        <f>IF((تسعير!$AT$46="سادة"),(BE5*BC5*AZ5*(Sheet2!$B$14+12000)/1000),(BE5*BC5*AZ5*(Sheet2!$B$14+Sheet2!$B$15)/1000))</f>
        <v>4930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568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569</v>
      </c>
      <c r="B6" s="553">
        <v>2</v>
      </c>
      <c r="C6" s="555">
        <f>F1</f>
        <v>2500</v>
      </c>
      <c r="D6" s="553" t="s">
        <v>564</v>
      </c>
      <c r="E6" s="553">
        <v>1.7</v>
      </c>
      <c r="F6" s="553" t="e">
        <f t="shared" si="2"/>
        <v>#DIV/0!</v>
      </c>
      <c r="G6" s="558"/>
      <c r="H6" s="554">
        <f>IF(AND((C6&gt;=200),(C6&lt;=250)),5,IF(AND((C6&gt;250),(C6&lt;=350)),7,IF(AND((C6&gt;350),(C6&lt;501)),5,IF(AND((C6&gt;=501),(C6&lt;701)),7,0))))</f>
        <v>0</v>
      </c>
      <c r="I6" s="284">
        <f t="shared" si="0"/>
        <v>0</v>
      </c>
      <c r="J6" s="557" t="e">
        <f t="shared" si="1"/>
        <v>#DIV/0!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570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3705</v>
      </c>
      <c r="V6" s="240">
        <f>M6*U6</f>
        <v>7410</v>
      </c>
      <c r="W6" s="241" t="e">
        <f>(V6)/$R$68</f>
        <v>#DIV/0!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571</v>
      </c>
      <c r="AW6" s="194">
        <v>1</v>
      </c>
      <c r="AX6" s="194">
        <f>(15.6*(AW3-1)+4)</f>
        <v>347.2</v>
      </c>
      <c r="AY6" s="194" t="s">
        <v>564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572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3705</v>
      </c>
      <c r="BQ6" s="240">
        <f>BH6*BP6</f>
        <v>3705</v>
      </c>
      <c r="BR6" s="241" t="e">
        <f>(BQ6)/$R$68</f>
        <v>#DIV/0!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573</v>
      </c>
      <c r="B7" s="553">
        <v>2</v>
      </c>
      <c r="C7" s="555">
        <f>D1</f>
        <v>200</v>
      </c>
      <c r="D7" s="553" t="s">
        <v>564</v>
      </c>
      <c r="E7" s="553">
        <v>1.7</v>
      </c>
      <c r="F7" s="553">
        <f t="shared" si="2"/>
        <v>2142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2.5</v>
      </c>
      <c r="J7" s="557">
        <f t="shared" si="1"/>
        <v>1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574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2405</v>
      </c>
      <c r="V7" s="240">
        <f>M7*U7</f>
        <v>0</v>
      </c>
      <c r="W7" s="241" t="e">
        <f>(V7)/$R$68</f>
        <v>#DIV/0!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575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574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2405</v>
      </c>
      <c r="BQ7" s="240">
        <f>BH7*BP7</f>
        <v>9620</v>
      </c>
      <c r="BR7" s="241" t="e">
        <f>(BQ7)/$R$68</f>
        <v>#DIV/0!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576</v>
      </c>
      <c r="B8" s="553">
        <v>2</v>
      </c>
      <c r="C8" s="553">
        <f>C3</f>
        <v>2483.5</v>
      </c>
      <c r="D8" s="553" t="s">
        <v>564</v>
      </c>
      <c r="E8" s="553">
        <v>0.65</v>
      </c>
      <c r="F8" s="553" t="e">
        <f t="shared" si="2"/>
        <v>#DIV/0!</v>
      </c>
      <c r="G8" s="558"/>
      <c r="H8" s="554">
        <f>IF(AND((C8&gt;=150),(C8&lt;201)),4,IF(AND((C8&gt;=201),(C8&lt;251)),5,IF(AND((C8&gt;=251),(C8&lt;401)),4,IF(AND((C8&gt;=401),(C8&lt;501)),5,0))))</f>
        <v>0</v>
      </c>
      <c r="I8" s="284">
        <f t="shared" si="0"/>
        <v>0</v>
      </c>
      <c r="J8" s="557" t="e">
        <f t="shared" si="1"/>
        <v>#DIV/0!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577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325</v>
      </c>
      <c r="V8" s="240">
        <f>M8*U8</f>
        <v>0</v>
      </c>
      <c r="W8" s="241" t="e">
        <f>(V8)/$R$68</f>
        <v>#DIV/0!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578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577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325</v>
      </c>
      <c r="BQ8" s="240">
        <f>BH8*BP8</f>
        <v>1300</v>
      </c>
      <c r="BR8" s="241" t="e">
        <f>(BQ8)/$R$68</f>
        <v>#DIV/0!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571</v>
      </c>
      <c r="B9" s="553">
        <v>2</v>
      </c>
      <c r="C9" s="553">
        <f>(15.6*(B3-1)+4)</f>
        <v>175.6</v>
      </c>
      <c r="D9" s="553" t="s">
        <v>564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572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5460</v>
      </c>
      <c r="V9" s="240">
        <f>M9*U9</f>
        <v>0</v>
      </c>
      <c r="W9" s="241" t="e">
        <f>(V9)/$R$68</f>
        <v>#DIV/0!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579</v>
      </c>
      <c r="AW9" s="194">
        <v>1</v>
      </c>
      <c r="AX9" s="196">
        <v>100</v>
      </c>
      <c r="AY9" s="194" t="s">
        <v>564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572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5460</v>
      </c>
      <c r="BQ9" s="240">
        <f>BH9*BP9</f>
        <v>0</v>
      </c>
      <c r="BR9" s="241" t="e">
        <f>(BQ9)/$R$68</f>
        <v>#DIV/0!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575</v>
      </c>
      <c r="B10" s="553"/>
      <c r="C10" s="553">
        <f>B3*2</f>
        <v>24</v>
      </c>
      <c r="D10" s="553" t="s">
        <v>28</v>
      </c>
      <c r="E10" s="553">
        <v>17</v>
      </c>
      <c r="F10" s="553">
        <f>E10*C10</f>
        <v>408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580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 t="e">
        <f>(V10)/$R$68</f>
        <v>#DIV/0!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581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580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 t="e">
        <f>(BQ10)/$R$68</f>
        <v>#DIV/0!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578</v>
      </c>
      <c r="B11" s="553"/>
      <c r="C11" s="553">
        <f>B3*2</f>
        <v>24</v>
      </c>
      <c r="D11" s="553" t="s">
        <v>28</v>
      </c>
      <c r="E11" s="553">
        <v>12</v>
      </c>
      <c r="F11" s="553">
        <f>E11*C11</f>
        <v>288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7410</v>
      </c>
      <c r="W11" s="244" t="e">
        <f>Table15880[[#Totals],[اجمالي]]/$R$68</f>
        <v>#DIV/0!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582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14625</v>
      </c>
      <c r="BR11" s="244" t="e">
        <f>Table1588090[[#Totals],[اجمالي]]/$R$68</f>
        <v>#DIV/0!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579</v>
      </c>
      <c r="B12" s="553">
        <v>1</v>
      </c>
      <c r="C12" s="555">
        <v>100</v>
      </c>
      <c r="D12" s="553" t="s">
        <v>564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8" t="s">
        <v>76</v>
      </c>
      <c r="P12" s="628"/>
      <c r="Q12" s="628"/>
      <c r="R12" s="628"/>
      <c r="S12" s="628"/>
      <c r="T12" s="62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583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8" t="s">
        <v>76</v>
      </c>
      <c r="BK12" s="628"/>
      <c r="BL12" s="628"/>
      <c r="BM12" s="628"/>
      <c r="BN12" s="628"/>
      <c r="BO12" s="62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584</v>
      </c>
      <c r="B13" s="553"/>
      <c r="C13" s="553">
        <v>4</v>
      </c>
      <c r="D13" s="553" t="s">
        <v>370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585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 t="e">
        <f>(V14)/$R$68</f>
        <v>#DIV/0!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5273.4825</v>
      </c>
      <c r="AX14" s="194"/>
      <c r="AY14" s="194"/>
      <c r="AZ14" s="194"/>
      <c r="BA14" s="194">
        <f>SUBTOTAL(109,Table8091[price])</f>
        <v>95881.5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 t="e">
        <f>(BQ14)/$R$68</f>
        <v>#DIV/0!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582</v>
      </c>
      <c r="B15" s="553"/>
      <c r="C15" s="553">
        <f>B3*2</f>
        <v>24</v>
      </c>
      <c r="D15" s="553" t="s">
        <v>28</v>
      </c>
      <c r="E15" s="553">
        <v>90</v>
      </c>
      <c r="F15" s="553">
        <f>C15*E15</f>
        <v>2160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 t="e">
        <f>(V15)/$R$68</f>
        <v>#DIV/0!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 t="e">
        <f>(BQ15)/$R$68</f>
        <v>#DIV/0!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583</v>
      </c>
      <c r="B16" s="553"/>
      <c r="C16" s="553">
        <f>B3*2</f>
        <v>24</v>
      </c>
      <c r="D16" s="553" t="s">
        <v>28</v>
      </c>
      <c r="E16" s="553">
        <v>90</v>
      </c>
      <c r="F16" s="553">
        <f>C16*E16</f>
        <v>2160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 t="e">
        <f>(V16)/$R$68</f>
        <v>#DIV/0!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 t="e">
        <f>(BQ16)/$R$68</f>
        <v>#DIV/0!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586</v>
      </c>
      <c r="B17" s="553">
        <v>2</v>
      </c>
      <c r="C17" s="553"/>
      <c r="D17" s="553" t="s">
        <v>564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 t="e">
        <f>(V17)/$R$68</f>
        <v>#DIV/0!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 t="e">
        <f>(BQ17)/$R$68</f>
        <v>#DIV/0!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587</v>
      </c>
      <c r="B18" s="553"/>
      <c r="C18" s="553">
        <f>ROUNDUP(((C3*B3)/100),0)</f>
        <v>299</v>
      </c>
      <c r="D18" s="553" t="s">
        <v>564</v>
      </c>
      <c r="E18" s="553">
        <v>5</v>
      </c>
      <c r="F18" s="553">
        <f>C18*E18</f>
        <v>1495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 t="e">
        <f>(V18)/$R$68</f>
        <v>#DIV/0!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 t="e">
        <f>(BQ18)/$R$68</f>
        <v>#DIV/0!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588</v>
      </c>
      <c r="B19" s="553" t="s">
        <v>589</v>
      </c>
      <c r="C19" s="553">
        <f>ROUNDUP((B3/3),0)</f>
        <v>4</v>
      </c>
      <c r="D19" s="553" t="s">
        <v>28</v>
      </c>
      <c r="E19" s="553">
        <v>175</v>
      </c>
      <c r="F19" s="553">
        <f>C19*E19</f>
        <v>700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 t="e">
        <f>Table156172[[#Totals],[اجمالي]]/$R$68</f>
        <v>#DIV/0!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 t="e">
        <f>Table15617282[[#Totals],[اجمالي]]/$R$68</f>
        <v>#DIV/0!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590</v>
      </c>
      <c r="B20" s="553" t="s">
        <v>591</v>
      </c>
      <c r="C20" s="553">
        <f>C19</f>
        <v>4</v>
      </c>
      <c r="D20" s="553" t="s">
        <v>28</v>
      </c>
      <c r="E20" s="553">
        <v>40</v>
      </c>
      <c r="F20" s="553">
        <f>E20*C20</f>
        <v>160</v>
      </c>
      <c r="G20" s="543"/>
      <c r="H20" s="543"/>
      <c r="I20" s="543"/>
      <c r="J20" s="543"/>
      <c r="L20" s="216"/>
      <c r="M20" s="216"/>
      <c r="N20" s="217"/>
      <c r="O20" s="628" t="s">
        <v>99</v>
      </c>
      <c r="P20" s="628"/>
      <c r="Q20" s="628"/>
      <c r="R20" s="628"/>
      <c r="S20" s="628"/>
      <c r="T20" s="62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8" t="s">
        <v>99</v>
      </c>
      <c r="BK20" s="628"/>
      <c r="BL20" s="628"/>
      <c r="BM20" s="628"/>
      <c r="BN20" s="628"/>
      <c r="BO20" s="62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592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780</v>
      </c>
      <c r="V22" s="240">
        <f>M22*U22</f>
        <v>1560</v>
      </c>
      <c r="W22" s="249" t="e">
        <f>(V22)/$R$68</f>
        <v>#DIV/0!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780</v>
      </c>
      <c r="BQ22" s="240">
        <f>BH22*BP22</f>
        <v>1560</v>
      </c>
      <c r="BR22" s="249" t="e">
        <f>(BQ22)/$R$68</f>
        <v>#DIV/0!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 t="e">
        <f>(Table80102114[[#Totals],[price]]*1.1)/(F1*D1/10000)</f>
        <v>#DIV/0!</v>
      </c>
      <c r="C23" s="563"/>
      <c r="D23" s="563"/>
      <c r="E23" s="563"/>
      <c r="F23" s="563" t="e">
        <f>SUBTOTAL(109,Table80102114[price])</f>
        <v>#DIV/0!</v>
      </c>
      <c r="G23" s="543"/>
      <c r="H23" s="543"/>
      <c r="I23" s="543"/>
      <c r="J23" s="543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455</v>
      </c>
      <c r="V23" s="240">
        <f>M23*U23</f>
        <v>910</v>
      </c>
      <c r="W23" s="241" t="e">
        <f>(V23)/$R$68</f>
        <v>#DIV/0!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455</v>
      </c>
      <c r="BQ23" s="240">
        <f>BH23*BP23</f>
        <v>910</v>
      </c>
      <c r="BR23" s="241" t="e">
        <f>(BQ23)/$R$68</f>
        <v>#DIV/0!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48.75</v>
      </c>
      <c r="V24" s="240">
        <f>M24*U24</f>
        <v>390</v>
      </c>
      <c r="W24" s="251" t="e">
        <f>(V24)/$R$68</f>
        <v>#DIV/0!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48.75</v>
      </c>
      <c r="BQ24" s="240">
        <f>BH24*BP24</f>
        <v>390</v>
      </c>
      <c r="BR24" s="251" t="e">
        <f>(BQ24)/$R$68</f>
        <v>#DIV/0!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2860</v>
      </c>
      <c r="W25" s="244" t="e">
        <f>Table166273[[#Totals],[اجمالي]]/$R$68</f>
        <v>#DIV/0!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2860</v>
      </c>
      <c r="BR25" s="244" t="e">
        <f>Table16627383[[#Totals],[اجمالي]]/$R$68</f>
        <v>#DIV/0!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8" t="s">
        <v>102</v>
      </c>
      <c r="P26" s="628"/>
      <c r="Q26" s="628"/>
      <c r="R26" s="628"/>
      <c r="S26" s="628"/>
      <c r="T26" s="62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8" t="s">
        <v>102</v>
      </c>
      <c r="BK26" s="628"/>
      <c r="BL26" s="628"/>
      <c r="BM26" s="628"/>
      <c r="BN26" s="628"/>
      <c r="BO26" s="62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 t="e">
        <f ref="W28:W42" t="shared" si="9" ca="1">(V28)/$R$68</f>
        <v>#DIV/0!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904.00000000000011</v>
      </c>
      <c r="BR28" s="241" t="e">
        <f ref="BR28:BR41" t="shared" si="11" ca="1">(BQ28)/$R$68</f>
        <v>#DIV/0!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 t="e">
        <f t="shared" si="9" ca="1"/>
        <v>#DIV/0!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 t="e">
        <f t="shared" si="11" ca="1"/>
        <v>#DIV/0!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 t="e">
        <f t="shared" si="9" ca="1"/>
        <v>#DIV/0!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 t="e">
        <f t="shared" si="11" ca="1"/>
        <v>#DIV/0!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 t="e">
        <f t="shared" si="9" ca="1"/>
        <v>#DIV/0!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 t="e">
        <f t="shared" si="11" ca="1"/>
        <v>#DIV/0!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 t="e">
        <f t="shared" si="9" ca="1"/>
        <v>#DIV/0!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 t="e">
        <f t="shared" si="11" ca="1"/>
        <v>#DIV/0!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 t="e">
        <f t="shared" si="9" ca="1"/>
        <v>#DIV/0!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 t="e">
        <f t="shared" si="11" ca="1"/>
        <v>#DIV/0!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 t="e">
        <f t="shared" si="9" ca="1"/>
        <v>#DIV/0!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2750</v>
      </c>
      <c r="BR34" s="251" t="e">
        <f t="shared" si="11" ca="1"/>
        <v>#DIV/0!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360</v>
      </c>
      <c r="W35" s="251" t="e">
        <f t="shared" si="9" ca="1"/>
        <v>#DIV/0!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 t="e">
        <f t="shared" si="11" ca="1"/>
        <v>#DIV/0!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 t="e">
        <f t="shared" si="9" ca="1"/>
        <v>#DIV/0!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3570</v>
      </c>
      <c r="BR36" s="251" t="e">
        <f t="shared" si="11" ca="1"/>
        <v>#DIV/0!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 t="e">
        <f t="shared" si="9" ca="1"/>
        <v>#DIV/0!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 t="e">
        <f t="shared" si="11" ca="1"/>
        <v>#DIV/0!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 t="e">
        <f t="shared" si="9" ca="1"/>
        <v>#DIV/0!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400</v>
      </c>
      <c r="BQ38" s="240">
        <f t="shared" si="10"/>
        <v>0</v>
      </c>
      <c r="BR38" s="251" t="e">
        <f t="shared" si="11" ca="1"/>
        <v>#DIV/0!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400</v>
      </c>
      <c r="V39" s="240">
        <f t="shared" si="12"/>
        <v>0</v>
      </c>
      <c r="W39" s="251" t="e">
        <f t="shared" si="9" ca="1"/>
        <v>#DIV/0!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500</v>
      </c>
      <c r="BQ39" s="240">
        <f t="shared" si="10"/>
        <v>0</v>
      </c>
      <c r="BR39" s="251" t="e">
        <f t="shared" si="11" ca="1"/>
        <v>#DIV/0!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500</v>
      </c>
      <c r="V40" s="240">
        <f t="shared" si="12"/>
        <v>0</v>
      </c>
      <c r="W40" s="251" t="e">
        <f t="shared" si="9" ca="1"/>
        <v>#DIV/0!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 t="e">
        <f t="shared" si="11" ca="1"/>
        <v>#DIV/0!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 t="e">
        <f t="shared" si="9" ca="1"/>
        <v>#DIV/0!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 t="e">
        <f t="shared" si="11" ca="1"/>
        <v>#DIV/0!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 t="e">
        <f t="shared" si="9" ca="1"/>
        <v>#DIV/0!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8217</v>
      </c>
      <c r="BR42" s="244" t="e">
        <f>Table13597166[[#Totals],[اجمالي]]/$R$68</f>
        <v>#DIV/0!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3430</v>
      </c>
      <c r="W43" s="244" t="e">
        <f>Table135971[[#Totals],[اجمالي]]/$R$68</f>
        <v>#DIV/0!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8" t="s">
        <v>131</v>
      </c>
      <c r="BK44" s="628"/>
      <c r="BL44" s="628"/>
      <c r="BM44" s="628"/>
      <c r="BN44" s="628"/>
      <c r="BO44" s="62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8" t="s">
        <v>131</v>
      </c>
      <c r="P45" s="628"/>
      <c r="Q45" s="628"/>
      <c r="R45" s="628"/>
      <c r="S45" s="628"/>
      <c r="T45" s="62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556</v>
      </c>
      <c r="BJ46" s="214"/>
      <c r="BK46" s="211"/>
      <c r="BL46" s="216"/>
      <c r="BM46" s="214"/>
      <c r="BN46" s="211"/>
      <c r="BO46" s="247"/>
      <c r="BP46" s="248">
        <f>Table8091[[#Totals],[price]]</f>
        <v>95881.5</v>
      </c>
      <c r="BQ46" s="252">
        <f>BH46*Table1613687787[[#This Row],[سعر الشبك ]]</f>
        <v>95881.5</v>
      </c>
      <c r="BR46" s="241" t="e">
        <f>(BQ46)/$R$68</f>
        <v>#DIV/0!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556</v>
      </c>
      <c r="O47" s="214"/>
      <c r="P47" s="211"/>
      <c r="Q47" s="216"/>
      <c r="R47" s="214"/>
      <c r="S47" s="211"/>
      <c r="T47" s="247"/>
      <c r="U47" s="248" t="e">
        <f>Table80102114[[#Totals],[price]]</f>
        <v>#DIV/0!</v>
      </c>
      <c r="V47" s="252" t="e">
        <f>M47*Table16136877[[#This Row],[سعر الشبك ]]</f>
        <v>#DIV/0!</v>
      </c>
      <c r="W47" s="241" t="e">
        <f>(V47)/$R$68</f>
        <v>#DIV/0!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95881.5</v>
      </c>
      <c r="BQ47" s="240">
        <f>BH47*Table1613687787[[#This Row],[سعر الشبك ]]</f>
        <v>9588.15</v>
      </c>
      <c r="BR47" s="241" t="e">
        <f>(BQ47)/$R$68</f>
        <v>#DIV/0!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 t="e">
        <f>Table80102114[[#Totals],[price]]</f>
        <v>#DIV/0!</v>
      </c>
      <c r="V48" s="240" t="e">
        <f>M48*Table16136877[[#This Row],[سعر الشبك ]]</f>
        <v>#DIV/0!</v>
      </c>
      <c r="W48" s="241" t="e">
        <f>(V48)/$R$68</f>
        <v>#DIV/0!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105469.65</v>
      </c>
      <c r="BR48" s="244" t="e">
        <f>Table1613687787[[#Totals],[اجمالي]]/$R$68</f>
        <v>#DIV/0!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 t="e">
        <f>SUBTOTAL(109,Table16136877[اجمالي])</f>
        <v>#DIV/0!</v>
      </c>
      <c r="W49" s="244" t="e">
        <f>Table16136877[[#Totals],[اجمالي]]/$R$68</f>
        <v>#DIV/0!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8" t="s">
        <v>133</v>
      </c>
      <c r="BK49" s="628"/>
      <c r="BL49" s="628"/>
      <c r="BM49" s="628"/>
      <c r="BN49" s="628"/>
      <c r="BO49" s="62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8" t="s">
        <v>133</v>
      </c>
      <c r="P50" s="628"/>
      <c r="Q50" s="628"/>
      <c r="R50" s="628"/>
      <c r="S50" s="628"/>
      <c r="T50" s="62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 t="e">
        <f ref="BR51:BR63" t="shared" si="16" ca="1">(BQ51)/$R$68</f>
        <v>#DIV/0!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 t="e">
        <f ref="W52:W64" t="shared" si="18" ca="1">(V52)/$R$68</f>
        <v>#DIV/0!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 t="e">
        <f t="shared" si="16" ca="1"/>
        <v>#DIV/0!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 t="e">
        <f t="shared" si="18" ca="1"/>
        <v>#DIV/0!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 t="e">
        <f t="shared" si="16" ca="1"/>
        <v>#DIV/0!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 t="e">
        <f t="shared" si="18" ca="1"/>
        <v>#DIV/0!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 t="e">
        <f t="shared" si="16" ca="1"/>
        <v>#DIV/0!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 t="e">
        <f t="shared" si="18" ca="1"/>
        <v>#DIV/0!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 t="e">
        <f t="shared" si="16" ca="1"/>
        <v>#DIV/0!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 t="e">
        <f t="shared" si="18" ca="1"/>
        <v>#DIV/0!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 t="e">
        <f t="shared" si="16" ca="1"/>
        <v>#DIV/0!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 t="e">
        <f t="shared" si="18" ca="1"/>
        <v>#DIV/0!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 t="e">
        <f t="shared" si="16" ca="1"/>
        <v>#DIV/0!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 t="e">
        <f t="shared" si="18" ca="1"/>
        <v>#DIV/0!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 t="e">
        <f t="shared" si="16" ca="1"/>
        <v>#DIV/0!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 t="e">
        <f t="shared" si="18" ca="1"/>
        <v>#DIV/0!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 t="e">
        <f t="shared" si="16" ca="1"/>
        <v>#DIV/0!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 t="e">
        <f t="shared" si="18" ca="1"/>
        <v>#DIV/0!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 t="e">
        <f t="shared" si="16" ca="1"/>
        <v>#DIV/0!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 t="e">
        <f t="shared" si="18" ca="1"/>
        <v>#DIV/0!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 t="e">
        <f t="shared" si="16" ca="1"/>
        <v>#DIV/0!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 t="e">
        <f t="shared" si="18" ca="1"/>
        <v>#DIV/0!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 t="e">
        <f t="shared" si="16" ca="1"/>
        <v>#DIV/0!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 t="e">
        <f t="shared" si="18" ca="1"/>
        <v>#DIV/0!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 t="e">
        <f t="shared" si="16" ca="1"/>
        <v>#DIV/0!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 t="e">
        <f t="shared" si="18" ca="1"/>
        <v>#DIV/0!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 t="e">
        <f>Table1612677686[[#Totals],[اجمالي]]/$R$68</f>
        <v>#DIV/0!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 t="e">
        <f>Table16126776[[#Totals],[اجمالي]]/$R$68</f>
        <v>#DIV/0!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1"/>
      <c r="BK65" s="621"/>
      <c r="BL65" s="621"/>
      <c r="BM65" s="621"/>
      <c r="BN65" s="621"/>
      <c r="BO65" s="62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1"/>
      <c r="P66" s="621"/>
      <c r="Q66" s="621"/>
      <c r="R66" s="621"/>
      <c r="S66" s="621"/>
      <c r="T66" s="62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151696.65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 t="e">
        <f>Table16126776[[#Totals],[اجمالي]]+Table16136877[[#Totals],[اجمالي]]+Table135971[[#Totals],[اجمالي]]+Table166273[[#Totals],[اجمالي]]+Table156172[[#Totals],[اجمالي]]+Table15880[[#Totals],[اجمالي]]</f>
        <v>#DIV/0!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197205.645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 t="e">
        <f>R68*(1+Table187079[[#This Row],[Column3]])</f>
        <v>#DIV/0!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3" t="s">
        <v>0</v>
      </c>
      <c r="BH71" s="623"/>
      <c r="BI71" s="623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3" t="s">
        <v>0</v>
      </c>
      <c r="M72" s="623"/>
      <c r="N72" s="623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3"/>
      <c r="BH72" s="633"/>
      <c r="BI72" s="633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3"/>
      <c r="M73" s="633"/>
      <c r="N73" s="633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65000</v>
      </c>
      <c r="T73" s="303">
        <f>Sheet2!B13</f>
        <v>75000</v>
      </c>
      <c r="U73" s="303">
        <f>Sheet2!B14</f>
        <v>240000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558</v>
      </c>
      <c r="AY73" s="194" t="s">
        <v>30</v>
      </c>
      <c r="AZ73" s="194" t="s">
        <v>559</v>
      </c>
      <c r="BA73" s="194" t="s">
        <v>560</v>
      </c>
      <c r="BB73" s="167"/>
      <c r="BC73" s="198" t="s">
        <v>561</v>
      </c>
      <c r="BD73" s="198"/>
      <c r="BE73" s="198" t="s">
        <v>562</v>
      </c>
      <c r="BF73" s="167"/>
      <c r="BG73" s="635" t="s">
        <v>17</v>
      </c>
      <c r="BH73" s="635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2">
        <f>NOW()</f>
        <v>45341.384371967593</v>
      </c>
      <c r="BN73" s="632"/>
      <c r="BO73" s="63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556</v>
      </c>
      <c r="B74" s="548">
        <f>(F74*D74)/10000</f>
        <v>20</v>
      </c>
      <c r="C74" s="549" t="s">
        <v>425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4" t="s">
        <v>17</v>
      </c>
      <c r="M74" s="634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2">
        <f>NOW()</f>
        <v>45341.384371967593</v>
      </c>
      <c r="S74" s="632"/>
      <c r="T74" s="63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563</v>
      </c>
      <c r="AW74" s="196">
        <f>ROUNDUP((12+((ROUNDUP((AY72-210),18))/18)),0)</f>
        <v>23</v>
      </c>
      <c r="AX74" s="197">
        <f>BA72-16.5</f>
        <v>483.5</v>
      </c>
      <c r="AY74" s="194" t="s">
        <v>564</v>
      </c>
      <c r="AZ74" s="194">
        <v>2</v>
      </c>
      <c r="BA74" s="194">
        <f>IF((تسعير!$BE$46="سادة"),(BE74*BC74*AZ74*(Sheet2!$B$14+12000)/1000),(BE74*BC74*AZ74*(Sheet2!$B$14+Sheet2!$B$15)/1000))</f>
        <v>66700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8" t="s">
        <v>20</v>
      </c>
      <c r="BK74" s="628"/>
      <c r="BL74" s="628"/>
      <c r="BM74" s="628"/>
      <c r="BN74" s="628"/>
      <c r="BO74" s="62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558</v>
      </c>
      <c r="D75" s="553" t="s">
        <v>30</v>
      </c>
      <c r="E75" s="553" t="s">
        <v>559</v>
      </c>
      <c r="F75" s="553" t="s">
        <v>560</v>
      </c>
      <c r="G75" s="543"/>
      <c r="H75" s="554" t="s">
        <v>561</v>
      </c>
      <c r="I75" s="554"/>
      <c r="J75" s="554" t="s">
        <v>562</v>
      </c>
      <c r="L75" s="208"/>
      <c r="M75" s="208"/>
      <c r="N75" s="209"/>
      <c r="O75" s="628" t="s">
        <v>20</v>
      </c>
      <c r="P75" s="628"/>
      <c r="Q75" s="628"/>
      <c r="R75" s="628"/>
      <c r="S75" s="628"/>
      <c r="T75" s="62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565</v>
      </c>
      <c r="AW75" s="194">
        <v>2</v>
      </c>
      <c r="AX75" s="196">
        <f>BA72</f>
        <v>500</v>
      </c>
      <c r="AY75" s="194" t="s">
        <v>564</v>
      </c>
      <c r="AZ75" s="194">
        <v>1.7</v>
      </c>
      <c r="BA75" s="194">
        <f>IF((تسعير!$BE$46="سادة"),(BE75*BC75*AZ75*(Sheet2!$B$14+12000)/1000),(BE75*BC75*AZ75*(Sheet2!$B$14+Sheet2!$B$15)/1000))</f>
        <v>4930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568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563</v>
      </c>
      <c r="B76" s="555">
        <f>ROUNDUP((12+((ROUNDUP((D74-210),15))/15)),0)</f>
        <v>32</v>
      </c>
      <c r="C76" s="556">
        <f>F74-16.5</f>
        <v>383.5</v>
      </c>
      <c r="D76" s="553" t="s">
        <v>564</v>
      </c>
      <c r="E76" s="553">
        <v>2.3</v>
      </c>
      <c r="F76" s="553">
        <f ref="F76:F81" t="shared" si="21">IF(($H$74="سادة"),(J76*H76*E76*($U$73+12000)/1000),(J76*H76*E76*($U$73+40000)/1000))</f>
        <v>82432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568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567</v>
      </c>
      <c r="AW76" s="194">
        <v>2</v>
      </c>
      <c r="AX76" s="196">
        <f>AY72</f>
        <v>400</v>
      </c>
      <c r="AY76" s="194" t="s">
        <v>564</v>
      </c>
      <c r="AZ76" s="194">
        <v>1.7</v>
      </c>
      <c r="BA76" s="194">
        <f>IF((تسعير!$BE$46="سادة"),(BE76*BC76*AZ76*(Sheet2!$B$14+12000)/1000),(BE76*BC76*AZ76*(Sheet2!$B$14+Sheet2!$B$15)/1000))</f>
        <v>4930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572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5460</v>
      </c>
      <c r="BQ76" s="240">
        <f>BH76*BP76</f>
        <v>10920</v>
      </c>
      <c r="BR76" s="241" t="e">
        <f>(BQ76)/$R$68</f>
        <v>#DIV/0!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565</v>
      </c>
      <c r="B77" s="553">
        <v>2</v>
      </c>
      <c r="C77" s="555">
        <f>F74</f>
        <v>400</v>
      </c>
      <c r="D77" s="553" t="s">
        <v>564</v>
      </c>
      <c r="E77" s="553">
        <v>3.8</v>
      </c>
      <c r="F77" s="553">
        <f t="shared" si="21"/>
        <v>10640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572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5460</v>
      </c>
      <c r="V77" s="240">
        <f>M77*U77</f>
        <v>21840</v>
      </c>
      <c r="W77" s="241" t="e">
        <f>(V77)/$R$68</f>
        <v>#DIV/0!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571</v>
      </c>
      <c r="AW77" s="194">
        <v>1</v>
      </c>
      <c r="AX77" s="194">
        <f>(15.6*(AW74-1)+4)</f>
        <v>347.2</v>
      </c>
      <c r="AY77" s="194" t="s">
        <v>564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574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2405</v>
      </c>
      <c r="BQ77" s="240">
        <f>BH77*BP77</f>
        <v>9620</v>
      </c>
      <c r="BR77" s="241" t="e">
        <f>(BQ77)/$R$68</f>
        <v>#DIV/0!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567</v>
      </c>
      <c r="B78" s="553">
        <v>2</v>
      </c>
      <c r="C78" s="555">
        <f>D74</f>
        <v>500</v>
      </c>
      <c r="D78" s="553" t="s">
        <v>564</v>
      </c>
      <c r="E78" s="553">
        <v>3.8</v>
      </c>
      <c r="F78" s="553">
        <f t="shared" si="21"/>
        <v>10640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574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2405</v>
      </c>
      <c r="V78" s="240">
        <f>M78*U78</f>
        <v>0</v>
      </c>
      <c r="W78" s="241" t="e">
        <f>(V78)/$R$68</f>
        <v>#DIV/0!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575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577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325</v>
      </c>
      <c r="BQ78" s="240">
        <f>BH78*BP78</f>
        <v>1300</v>
      </c>
      <c r="BR78" s="241" t="e">
        <f>(BQ78)/$R$68</f>
        <v>#DIV/0!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52" t="s">
        <v>569</v>
      </c>
      <c r="B79" s="553">
        <v>2</v>
      </c>
      <c r="C79" s="555">
        <f>F74</f>
        <v>400</v>
      </c>
      <c r="D79" s="553" t="s">
        <v>564</v>
      </c>
      <c r="E79" s="553">
        <v>1.7</v>
      </c>
      <c r="F79" s="553">
        <f t="shared" si="21"/>
        <v>4760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577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325</v>
      </c>
      <c r="V79" s="240">
        <f>M79*U79</f>
        <v>0</v>
      </c>
      <c r="W79" s="241" t="e">
        <f>(V79)/$R$68</f>
        <v>#DIV/0!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578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572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5460</v>
      </c>
      <c r="BQ79" s="240">
        <f>BH79*BP79</f>
        <v>0</v>
      </c>
      <c r="BR79" s="241" t="e">
        <f>(BQ79)/$R$68</f>
        <v>#DIV/0!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573</v>
      </c>
      <c r="B80" s="553">
        <v>2</v>
      </c>
      <c r="C80" s="555">
        <f>D74</f>
        <v>500</v>
      </c>
      <c r="D80" s="553" t="s">
        <v>564</v>
      </c>
      <c r="E80" s="553">
        <v>1.7</v>
      </c>
      <c r="F80" s="553">
        <f t="shared" si="21"/>
        <v>4760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572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5460</v>
      </c>
      <c r="V80" s="240">
        <f>M80*U80</f>
        <v>0</v>
      </c>
      <c r="W80" s="241" t="e">
        <f>(V80)/$R$68</f>
        <v>#DIV/0!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579</v>
      </c>
      <c r="AW80" s="194">
        <v>1</v>
      </c>
      <c r="AX80" s="196">
        <v>100</v>
      </c>
      <c r="AY80" s="194" t="s">
        <v>564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580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 t="e">
        <f>(BQ80)/$R$68</f>
        <v>#DIV/0!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576</v>
      </c>
      <c r="B81" s="553">
        <v>2</v>
      </c>
      <c r="C81" s="553">
        <f>C76</f>
        <v>383.5</v>
      </c>
      <c r="D81" s="553" t="s">
        <v>564</v>
      </c>
      <c r="E81" s="553">
        <v>0.65</v>
      </c>
      <c r="F81" s="553">
        <f t="shared" si="21"/>
        <v>1456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580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 t="e">
        <f>(V81)/$R$68</f>
        <v>#DIV/0!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584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21840</v>
      </c>
      <c r="BR81" s="244" t="e">
        <f>Table15880101112[[#Totals],[اجمالي]]/$R$68</f>
        <v>#DIV/0!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571</v>
      </c>
      <c r="B82" s="553">
        <v>2</v>
      </c>
      <c r="C82" s="553">
        <f>(15.6*(B76-1)+4)</f>
        <v>487.59999999999997</v>
      </c>
      <c r="D82" s="553" t="s">
        <v>564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21840</v>
      </c>
      <c r="W82" s="244" t="e">
        <f>Table15880101[[#Totals],[اجمالي]]/$R$68</f>
        <v>#DIV/0!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582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8" t="s">
        <v>76</v>
      </c>
      <c r="BK82" s="628"/>
      <c r="BL82" s="628"/>
      <c r="BM82" s="628"/>
      <c r="BN82" s="628"/>
      <c r="BO82" s="62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575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8" t="s">
        <v>76</v>
      </c>
      <c r="P83" s="628"/>
      <c r="Q83" s="628"/>
      <c r="R83" s="628"/>
      <c r="S83" s="628"/>
      <c r="T83" s="62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583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578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 t="e">
        <f>(BQ84)/$R$68</f>
        <v>#DIV/0!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579</v>
      </c>
      <c r="B85" s="553">
        <v>1</v>
      </c>
      <c r="C85" s="555">
        <v>100</v>
      </c>
      <c r="D85" s="553" t="s">
        <v>564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 t="e">
        <f>(V85)/$R$68</f>
        <v>#DIV/0!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5273.4825</v>
      </c>
      <c r="AX85" s="310"/>
      <c r="AY85" s="310"/>
      <c r="AZ85" s="310"/>
      <c r="BA85" s="310">
        <f>SUBTOTAL(109,Table80102113[price])</f>
        <v>95881.5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 t="e">
        <f>(BQ85)/$R$68</f>
        <v>#DIV/0!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584</v>
      </c>
      <c r="B86" s="553"/>
      <c r="C86" s="553">
        <v>4</v>
      </c>
      <c r="D86" s="553" t="s">
        <v>370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 t="e">
        <f>(V86)/$R$68</f>
        <v>#DIV/0!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 t="e">
        <f>(BQ86)/$R$68</f>
        <v>#DIV/0!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585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 t="e">
        <f>(V87)/$R$68</f>
        <v>#DIV/0!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 t="e">
        <f>(BQ87)/$R$68</f>
        <v>#DIV/0!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582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 t="e">
        <f>(V88)/$R$68</f>
        <v>#DIV/0!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 t="e">
        <f>(BQ88)/$R$68</f>
        <v>#DIV/0!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583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 t="e">
        <f>(V89)/$R$68</f>
        <v>#DIV/0!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 t="e">
        <f>Table15617293104[[#Totals],[اجمالي]]/$R$68</f>
        <v>#DIV/0!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586</v>
      </c>
      <c r="B90" s="553">
        <v>2</v>
      </c>
      <c r="C90" s="553"/>
      <c r="D90" s="553" t="s">
        <v>564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 t="e">
        <f>Table15617293[[#Totals],[اجمالي]]/$R$68</f>
        <v>#DIV/0!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8" t="s">
        <v>99</v>
      </c>
      <c r="BK90" s="628"/>
      <c r="BL90" s="628"/>
      <c r="BM90" s="628"/>
      <c r="BN90" s="628"/>
      <c r="BO90" s="62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587</v>
      </c>
      <c r="B91" s="553"/>
      <c r="C91" s="553">
        <f>ROUNDUP(((C76*B76)/100),0)</f>
        <v>123</v>
      </c>
      <c r="D91" s="553" t="s">
        <v>564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8" t="s">
        <v>99</v>
      </c>
      <c r="P91" s="628"/>
      <c r="Q91" s="628"/>
      <c r="R91" s="628"/>
      <c r="S91" s="628"/>
      <c r="T91" s="62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588</v>
      </c>
      <c r="B92" s="553" t="s">
        <v>589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780</v>
      </c>
      <c r="BQ92" s="240">
        <f>BH92*BP92</f>
        <v>3120</v>
      </c>
      <c r="BR92" s="249" t="e">
        <f>(BQ92)/$R$68</f>
        <v>#DIV/0!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590</v>
      </c>
      <c r="B93" s="553" t="s">
        <v>591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780</v>
      </c>
      <c r="V93" s="240">
        <f>M93*U93</f>
        <v>0</v>
      </c>
      <c r="W93" s="249" t="e">
        <f>(V93)/$R$68</f>
        <v>#DIV/0!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455</v>
      </c>
      <c r="BQ93" s="240">
        <f>BH93*BP93</f>
        <v>0</v>
      </c>
      <c r="BR93" s="241" t="e">
        <f>(BQ93)/$R$68</f>
        <v>#DIV/0!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592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455</v>
      </c>
      <c r="V94" s="240">
        <f>M94*U94</f>
        <v>0</v>
      </c>
      <c r="W94" s="241" t="e">
        <f>(V94)/$R$68</f>
        <v>#DIV/0!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48.75</v>
      </c>
      <c r="BQ94" s="240">
        <f>BH94*BP94</f>
        <v>780</v>
      </c>
      <c r="BR94" s="251" t="e">
        <f>(BQ94)/$R$68</f>
        <v>#DIV/0!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48.75</v>
      </c>
      <c r="V95" s="240">
        <f>M95*U95</f>
        <v>0</v>
      </c>
      <c r="W95" s="251" t="e">
        <f>(V95)/$R$68</f>
        <v>#DIV/0!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3900</v>
      </c>
      <c r="BR95" s="244" t="e">
        <f>Table16627394105[[#Totals],[اجمالي]]/$R$68</f>
        <v>#DIV/0!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7820.670000000001</v>
      </c>
      <c r="C96" s="563"/>
      <c r="D96" s="563"/>
      <c r="E96" s="563"/>
      <c r="F96" s="563">
        <f>SUBTOTAL(109,Table80102114115[price])</f>
        <v>142194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 t="e">
        <f>Table16627394[[#Totals],[اجمالي]]/$R$68</f>
        <v>#DIV/0!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8" t="s">
        <v>102</v>
      </c>
      <c r="BK96" s="628"/>
      <c r="BL96" s="628"/>
      <c r="BM96" s="628"/>
      <c r="BN96" s="628"/>
      <c r="BO96" s="62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8" t="s">
        <v>102</v>
      </c>
      <c r="P97" s="628"/>
      <c r="Q97" s="628"/>
      <c r="R97" s="628"/>
      <c r="S97" s="628"/>
      <c r="T97" s="62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6">BH98*BP98</f>
        <v>1014.6666666666666</v>
      </c>
      <c r="BR98" s="241" t="e">
        <f ref="BR98:BR112" t="shared" si="27" ca="1">(BQ98)/$R$68</f>
        <v>#DIV/0!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 t="e">
        <f ref="W99:W113" t="shared" si="29" ca="1">(V99)/$R$68</f>
        <v>#DIV/0!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 t="e">
        <f t="shared" si="27" ca="1"/>
        <v>#DIV/0!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 t="e">
        <f t="shared" si="29" ca="1"/>
        <v>#DIV/0!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 t="e">
        <f t="shared" si="27" ca="1"/>
        <v>#DIV/0!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 t="e">
        <f t="shared" si="29" ca="1"/>
        <v>#DIV/0!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 t="e">
        <f t="shared" si="27" ca="1"/>
        <v>#DIV/0!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 t="e">
        <f t="shared" si="29" ca="1"/>
        <v>#DIV/0!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 t="e">
        <f t="shared" si="27" ca="1"/>
        <v>#DIV/0!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 t="e">
        <f t="shared" si="29" ca="1"/>
        <v>#DIV/0!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 t="e">
        <f t="shared" si="27" ca="1"/>
        <v>#DIV/0!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 t="e">
        <f t="shared" si="29" ca="1"/>
        <v>#DIV/0!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1250</v>
      </c>
      <c r="BR104" s="251" t="e">
        <f t="shared" si="27" ca="1"/>
        <v>#DIV/0!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 t="e">
        <f t="shared" si="29" ca="1"/>
        <v>#DIV/0!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 t="e">
        <f t="shared" si="27" ca="1"/>
        <v>#DIV/0!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 t="e">
        <f t="shared" si="29" ca="1"/>
        <v>#DIV/0!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4080</v>
      </c>
      <c r="BR106" s="251" t="e">
        <f t="shared" si="27" ca="1"/>
        <v>#DIV/0!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 t="e">
        <f t="shared" si="29" ca="1"/>
        <v>#DIV/0!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 t="e">
        <f t="shared" si="27" ca="1"/>
        <v>#DIV/0!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 t="e">
        <f t="shared" si="29" ca="1"/>
        <v>#DIV/0!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400</v>
      </c>
      <c r="BQ108" s="240">
        <f t="shared" si="26"/>
        <v>0</v>
      </c>
      <c r="BR108" s="251" t="e">
        <f t="shared" si="27" ca="1"/>
        <v>#DIV/0!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 t="e">
        <f t="shared" si="29" ca="1"/>
        <v>#DIV/0!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500</v>
      </c>
      <c r="BQ109" s="240">
        <f t="shared" si="26"/>
        <v>0</v>
      </c>
      <c r="BR109" s="251" t="e">
        <f t="shared" si="27" ca="1"/>
        <v>#DIV/0!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400</v>
      </c>
      <c r="V110" s="240">
        <f t="shared" si="31"/>
        <v>6000</v>
      </c>
      <c r="W110" s="251" t="e">
        <f t="shared" si="29" ca="1"/>
        <v>#DIV/0!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 t="e">
        <f t="shared" si="27" ca="1"/>
        <v>#DIV/0!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500</v>
      </c>
      <c r="V111" s="240">
        <f t="shared" si="31"/>
        <v>7500</v>
      </c>
      <c r="W111" s="251" t="e">
        <f t="shared" si="29" ca="1"/>
        <v>#DIV/0!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 t="e">
        <f t="shared" si="27" ca="1"/>
        <v>#DIV/0!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 t="e">
        <f t="shared" si="29" ca="1"/>
        <v>#DIV/0!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 t="e">
        <f t="shared" si="27" ca="1"/>
        <v>#DIV/0!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 t="e">
        <f t="shared" si="29" ca="1"/>
        <v>#DIV/0!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7247.6666666666661</v>
      </c>
      <c r="BR113" s="528" t="e">
        <f>Table13597192103[[#Totals],[اجمالي]]/$R$68</f>
        <v>#DIV/0!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15050</v>
      </c>
      <c r="W114" s="528" t="e">
        <f>Table13597192[[#Totals],[اجمالي]]/$R$68</f>
        <v>#DIV/0!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8" t="s">
        <v>131</v>
      </c>
      <c r="BK115" s="628"/>
      <c r="BL115" s="628"/>
      <c r="BM115" s="628"/>
      <c r="BN115" s="628"/>
      <c r="BO115" s="62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8" t="s">
        <v>131</v>
      </c>
      <c r="P116" s="628"/>
      <c r="Q116" s="628"/>
      <c r="R116" s="628"/>
      <c r="S116" s="628"/>
      <c r="T116" s="62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556</v>
      </c>
      <c r="BJ117" s="214"/>
      <c r="BK117" s="211"/>
      <c r="BL117" s="216"/>
      <c r="BM117" s="214"/>
      <c r="BN117" s="211"/>
      <c r="BO117" s="247"/>
      <c r="BP117" s="248">
        <f>Table80102113[[#Totals],[price]]</f>
        <v>95881.5</v>
      </c>
      <c r="BQ117" s="252">
        <f>BH117*Table1613687798109[[#This Row],[سعر الشبك ]]</f>
        <v>95881.5</v>
      </c>
      <c r="BR117" s="241" t="e">
        <f>(BQ117)/$R$68</f>
        <v>#DIV/0!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556</v>
      </c>
      <c r="O118" s="214"/>
      <c r="P118" s="211"/>
      <c r="Q118" s="216"/>
      <c r="R118" s="214"/>
      <c r="S118" s="211"/>
      <c r="T118" s="247"/>
      <c r="U118" s="248">
        <f>F96</f>
        <v>142194</v>
      </c>
      <c r="V118" s="252">
        <f>M118*Table1613687798[[#This Row],[سعر الشبك ]]</f>
        <v>142194</v>
      </c>
      <c r="W118" s="241" t="e">
        <f>(V118)/$R$68</f>
        <v>#DIV/0!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95881.5</v>
      </c>
      <c r="BQ118" s="240">
        <f>BH118*Table1613687798109[[#This Row],[سعر الشبك ]]</f>
        <v>9588.15</v>
      </c>
      <c r="BR118" s="241" t="e">
        <f>(BQ118)/$R$68</f>
        <v>#DIV/0!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142194</v>
      </c>
      <c r="V119" s="240">
        <f>M119*Table1613687798[[#This Row],[سعر الشبك ]]</f>
        <v>35548.5</v>
      </c>
      <c r="W119" s="241" t="e">
        <f>(V119)/$R$68</f>
        <v>#DIV/0!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105469.65</v>
      </c>
      <c r="BR119" s="244" t="e">
        <f>Table1613687798109[[#Totals],[اجمالي]]/$R$68</f>
        <v>#DIV/0!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177742.5</v>
      </c>
      <c r="W120" s="244" t="e">
        <f>Table1613687798[[#Totals],[اجمالي]]/$R$68</f>
        <v>#DIV/0!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8" t="s">
        <v>133</v>
      </c>
      <c r="BK120" s="628"/>
      <c r="BL120" s="628"/>
      <c r="BM120" s="628"/>
      <c r="BN120" s="628"/>
      <c r="BO120" s="62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8" t="s">
        <v>133</v>
      </c>
      <c r="P121" s="628"/>
      <c r="Q121" s="628"/>
      <c r="R121" s="628"/>
      <c r="S121" s="628"/>
      <c r="T121" s="62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 t="e">
        <f ref="BR122:BR134" t="shared" si="34" ca="1">(BQ122)/$R$68</f>
        <v>#DIV/0!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 t="e">
        <f ref="W123:W135" t="shared" si="36" ca="1">(V123)/$R$68</f>
        <v>#DIV/0!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 t="e">
        <f t="shared" si="34" ca="1"/>
        <v>#DIV/0!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 t="e">
        <f t="shared" si="36" ca="1"/>
        <v>#DIV/0!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 t="e">
        <f t="shared" si="34" ca="1"/>
        <v>#DIV/0!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 t="e">
        <f t="shared" si="36" ca="1"/>
        <v>#DIV/0!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 t="e">
        <f t="shared" si="34" ca="1"/>
        <v>#DIV/0!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 t="e">
        <f t="shared" si="36" ca="1"/>
        <v>#DIV/0!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 t="e">
        <f t="shared" si="34" ca="1"/>
        <v>#DIV/0!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 t="e">
        <f t="shared" si="36" ca="1"/>
        <v>#DIV/0!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 t="e">
        <f t="shared" si="34" ca="1"/>
        <v>#DIV/0!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 t="e">
        <f t="shared" si="36" ca="1"/>
        <v>#DIV/0!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 t="e">
        <f t="shared" si="34" ca="1"/>
        <v>#DIV/0!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 t="e">
        <f t="shared" si="36" ca="1"/>
        <v>#DIV/0!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 t="e">
        <f t="shared" si="34" ca="1"/>
        <v>#DIV/0!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 t="e">
        <f t="shared" si="36" ca="1"/>
        <v>#DIV/0!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 t="e">
        <f t="shared" si="34" ca="1"/>
        <v>#DIV/0!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 t="e">
        <f t="shared" si="36" ca="1"/>
        <v>#DIV/0!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 t="e">
        <f t="shared" si="34" ca="1"/>
        <v>#DIV/0!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 t="e">
        <f t="shared" si="36" ca="1"/>
        <v>#DIV/0!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 t="e">
        <f t="shared" si="34" ca="1"/>
        <v>#DIV/0!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 t="e">
        <f t="shared" si="36" ca="1"/>
        <v>#DIV/0!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 t="e">
        <f t="shared" si="34" ca="1"/>
        <v>#DIV/0!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 t="e">
        <f t="shared" si="36" ca="1"/>
        <v>#DIV/0!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 t="e">
        <f t="shared" si="34" ca="1"/>
        <v>#DIV/0!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 t="e">
        <f t="shared" si="36" ca="1"/>
        <v>#DIV/0!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 t="e">
        <f>Table1612677697108[[#Totals],[اجمالي]]/$R$68</f>
        <v>#DIV/0!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 t="e">
        <f>Table1612677697[[#Totals],[اجمالي]]/$R$68</f>
        <v>#DIV/0!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1"/>
      <c r="BK136" s="621"/>
      <c r="BL136" s="621"/>
      <c r="BM136" s="621"/>
      <c r="BN136" s="621"/>
      <c r="BO136" s="62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1"/>
      <c r="P137" s="621"/>
      <c r="Q137" s="621"/>
      <c r="R137" s="621"/>
      <c r="S137" s="621"/>
      <c r="T137" s="62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159382.31666666665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228077.5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207197.01166666666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342116.25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5AA9DEC0-69B4-4141-9DA8-4AB686318983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47" t="s">
        <v>420</v>
      </c>
      <c r="K1" s="647"/>
      <c r="L1" s="647"/>
      <c r="M1" s="647"/>
      <c r="N1" s="647"/>
      <c r="O1" s="647"/>
      <c r="P1" s="647"/>
      <c r="Q1" s="647"/>
      <c r="R1" s="647"/>
      <c r="S1" s="647"/>
    </row>
    <row r="2" ht="18" customHeight="1">
      <c r="A2" s="11" t="s">
        <v>358</v>
      </c>
      <c r="B2" s="636">
        <f>Royal!C3</f>
        <v>0</v>
      </c>
      <c r="C2" s="637"/>
      <c r="D2" s="637"/>
      <c r="E2" s="637"/>
      <c r="F2" s="638"/>
      <c r="G2" s="1">
        <v>1</v>
      </c>
      <c r="J2" s="647"/>
      <c r="K2" s="647"/>
      <c r="L2" s="647"/>
      <c r="M2" s="647"/>
      <c r="N2" s="647"/>
      <c r="O2" s="647"/>
      <c r="P2" s="647"/>
      <c r="Q2" s="647"/>
      <c r="R2" s="647"/>
      <c r="S2" s="647"/>
    </row>
    <row r="3" ht="18" customHeight="1">
      <c r="A3" s="11" t="s">
        <v>421</v>
      </c>
      <c r="F3" s="639" t="s">
        <v>422</v>
      </c>
      <c r="G3" s="639"/>
    </row>
    <row r="4" ht="18" customHeight="1">
      <c r="A4" s="11" t="s">
        <v>290</v>
      </c>
      <c r="F4" s="640" t="s">
        <v>423</v>
      </c>
      <c r="G4" s="641"/>
      <c r="H4" s="641"/>
      <c r="I4" s="642"/>
      <c r="J4" s="10"/>
    </row>
    <row r="5" ht="18" customHeight="1">
      <c r="A5" s="11" t="s">
        <v>291</v>
      </c>
      <c r="F5" s="643" t="s">
        <v>424</v>
      </c>
      <c r="G5" s="644"/>
      <c r="H5" s="644"/>
      <c r="I5" s="645"/>
      <c r="J5" s="10"/>
    </row>
    <row r="6" ht="18" customHeight="1">
      <c r="A6" s="11" t="s">
        <v>362</v>
      </c>
      <c r="Q6" s="646"/>
      <c r="R6" s="646"/>
      <c r="S6" s="646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48" t="s">
        <v>426</v>
      </c>
      <c r="C11" s="649"/>
      <c r="D11" s="644" t="s">
        <v>427</v>
      </c>
      <c r="E11" s="645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6"/>
      <c r="R15" s="646"/>
      <c r="S15" s="646"/>
    </row>
    <row r="16" ht="18" customHeight="1">
      <c r="C16" s="639" t="s">
        <v>429</v>
      </c>
      <c r="D16" s="639"/>
      <c r="E16" s="639"/>
      <c r="F16" s="1" t="s">
        <v>430</v>
      </c>
    </row>
    <row r="17" ht="18" customHeight="1">
      <c r="A17" s="639" t="s">
        <v>295</v>
      </c>
      <c r="B17" s="639"/>
      <c r="C17" s="639"/>
    </row>
    <row r="18" ht="18" customHeight="1">
      <c r="A18" s="650" t="s">
        <v>431</v>
      </c>
      <c r="B18" s="651"/>
      <c r="C18" s="14">
        <f>'Format Φωτισμου'!B9</f>
        <v>5</v>
      </c>
    </row>
    <row r="19" ht="18" customHeight="1">
      <c r="A19" s="650" t="s">
        <v>432</v>
      </c>
      <c r="B19" s="651"/>
      <c r="C19" s="14">
        <f>'Format Φωτισμου'!B12</f>
        <v>15</v>
      </c>
    </row>
    <row r="20" ht="18" customHeight="1">
      <c r="A20" s="650" t="s">
        <v>433</v>
      </c>
      <c r="B20" s="651"/>
      <c r="C20" s="14">
        <f>C19/C18</f>
        <v>3</v>
      </c>
    </row>
    <row r="21" ht="18" customHeight="1">
      <c r="A21" s="652" t="s">
        <v>434</v>
      </c>
      <c r="B21" s="653"/>
      <c r="C21" s="654">
        <v>20</v>
      </c>
      <c r="D21" s="655"/>
      <c r="E21" s="648" t="s">
        <v>435</v>
      </c>
      <c r="F21" s="649"/>
      <c r="G21" s="649"/>
      <c r="H21" s="14">
        <f>C21/C18</f>
        <v>4</v>
      </c>
      <c r="J21" s="657"/>
      <c r="K21" s="657"/>
      <c r="L21" s="657"/>
      <c r="M21" s="657"/>
      <c r="N21" s="657"/>
      <c r="O21" s="657"/>
      <c r="P21" s="657"/>
      <c r="Q21" s="657"/>
      <c r="R21" s="657"/>
      <c r="S21" s="657"/>
    </row>
    <row r="22" ht="18" customHeight="1">
      <c r="A22" s="650" t="s">
        <v>436</v>
      </c>
      <c r="B22" s="651"/>
      <c r="C22" s="179">
        <v>50</v>
      </c>
      <c r="D22" s="184" t="s">
        <v>437</v>
      </c>
      <c r="J22" s="657"/>
      <c r="K22" s="657"/>
      <c r="L22" s="657"/>
      <c r="M22" s="657"/>
      <c r="N22" s="657"/>
      <c r="O22" s="657"/>
      <c r="P22" s="657"/>
      <c r="Q22" s="657"/>
      <c r="R22" s="657"/>
      <c r="S22" s="657"/>
    </row>
    <row r="23" ht="18" customHeight="1">
      <c r="J23" s="657"/>
      <c r="K23" s="657"/>
      <c r="L23" s="657"/>
      <c r="M23" s="657"/>
      <c r="N23" s="657"/>
      <c r="O23" s="657"/>
      <c r="P23" s="657"/>
      <c r="Q23" s="657"/>
      <c r="R23" s="657"/>
      <c r="S23" s="657"/>
    </row>
    <row r="24" ht="18" customHeight="1"/>
    <row r="25" ht="18" customHeight="1">
      <c r="A25" s="11" t="s">
        <v>438</v>
      </c>
      <c r="J25" s="656"/>
      <c r="K25" s="656"/>
      <c r="L25" s="656"/>
      <c r="M25" s="656"/>
      <c r="N25" s="656"/>
      <c r="O25" s="656"/>
      <c r="P25" s="656"/>
      <c r="Q25" s="656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6"/>
      <c r="K27" s="646"/>
      <c r="L27" s="646"/>
      <c r="M27" s="646"/>
      <c r="N27" s="646"/>
      <c r="O27" s="646"/>
      <c r="P27" s="646"/>
      <c r="Q27" s="646"/>
      <c r="R27" s="646"/>
      <c r="S27" s="646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2024-02-17T12:09:20Z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